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Dijon\ESSART DE MORTEAU\"/>
    </mc:Choice>
  </mc:AlternateContent>
  <xr:revisionPtr revIDLastSave="0" documentId="13_ncr:1_{30210E77-AC05-4266-8D1D-C6A63828D48F}" xr6:coauthVersionLast="47" xr6:coauthVersionMax="47" xr10:uidLastSave="{00000000-0000-0000-0000-000000000000}"/>
  <bookViews>
    <workbookView xWindow="-120" yWindow="-120" windowWidth="23280" windowHeight="126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0" i="1" l="1"/>
  <c r="B69" i="1"/>
  <c r="B68" i="1"/>
  <c r="B67" i="1"/>
  <c r="B66" i="1"/>
  <c r="B65" i="1"/>
  <c r="B64" i="1"/>
  <c r="B63" i="1"/>
  <c r="B43" i="1"/>
  <c r="D43" i="1" s="1"/>
  <c r="D42" i="1"/>
  <c r="D41" i="1"/>
  <c r="D40" i="1"/>
  <c r="D39" i="1"/>
  <c r="D38" i="1"/>
  <c r="D37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FS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EB57" i="2"/>
  <c r="HG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B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EA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I163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I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A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HG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H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G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<sst xmlns="http://schemas.openxmlformats.org/spreadsheetml/2006/main" count="1171" uniqueCount="324">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</sst>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9" fillId="14" borderId="1" xfId="0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I25" sqref="I2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0" t="s">
        <v>231</v>
      </c>
      <c r="B5" s="270"/>
      <c r="C5" s="24">
        <v>10.86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0.5</v>
      </c>
      <c r="D9" s="33">
        <f t="shared" ref="D9:D18" si="0">C9*$C$5</f>
        <v>5.43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0.5</v>
      </c>
      <c r="D10" s="33">
        <f t="shared" si="0"/>
        <v>5.43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10.86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257">
        <v>10</v>
      </c>
      <c r="B36" s="258">
        <v>20</v>
      </c>
      <c r="C36" s="257"/>
      <c r="D36" s="257">
        <v>0</v>
      </c>
      <c r="E36" s="63"/>
      <c r="F36" s="63"/>
      <c r="G36" s="63"/>
      <c r="H36" s="51"/>
      <c r="I36" s="49">
        <f>IFERROR(B36/A36,"")</f>
        <v>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257">
        <v>20</v>
      </c>
      <c r="B37" s="258">
        <v>195</v>
      </c>
      <c r="C37" s="257">
        <v>1</v>
      </c>
      <c r="D37" s="257">
        <f>21+63</f>
        <v>84</v>
      </c>
      <c r="E37" s="63"/>
      <c r="F37" s="63">
        <v>0.5</v>
      </c>
      <c r="G37" s="63">
        <v>0.5</v>
      </c>
      <c r="H37" s="51"/>
      <c r="I37" s="53">
        <f t="shared" ref="I37:I55" si="1">IF(A37&lt;&gt;0,(B37-(B36-D36))/(A37-A36),"")</f>
        <v>17.5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257">
        <v>30</v>
      </c>
      <c r="B38" s="258">
        <v>360</v>
      </c>
      <c r="C38" s="257">
        <v>2</v>
      </c>
      <c r="D38" s="257">
        <f>63+63</f>
        <v>126</v>
      </c>
      <c r="E38" s="63">
        <v>0.2</v>
      </c>
      <c r="F38" s="63">
        <v>0.4</v>
      </c>
      <c r="G38" s="63">
        <v>0.4</v>
      </c>
      <c r="H38" s="51"/>
      <c r="I38" s="53">
        <f t="shared" si="1"/>
        <v>24.9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257">
        <v>40</v>
      </c>
      <c r="B39" s="258">
        <v>477</v>
      </c>
      <c r="C39" s="257">
        <v>3</v>
      </c>
      <c r="D39" s="257">
        <f>63+63</f>
        <v>126</v>
      </c>
      <c r="E39" s="63"/>
      <c r="F39" s="63"/>
      <c r="G39" s="63"/>
      <c r="H39" s="51"/>
      <c r="I39" s="49">
        <f t="shared" si="1"/>
        <v>24.3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257">
        <v>50</v>
      </c>
      <c r="B40" s="258">
        <v>561</v>
      </c>
      <c r="C40" s="257">
        <v>4</v>
      </c>
      <c r="D40" s="257">
        <f>63+56</f>
        <v>119</v>
      </c>
      <c r="E40" s="63"/>
      <c r="F40" s="63"/>
      <c r="G40" s="63"/>
      <c r="H40" s="51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257">
        <v>60</v>
      </c>
      <c r="B41" s="258">
        <v>622</v>
      </c>
      <c r="C41" s="257">
        <v>5</v>
      </c>
      <c r="D41" s="257">
        <f>48+42</f>
        <v>90</v>
      </c>
      <c r="E41" s="63"/>
      <c r="F41" s="63"/>
      <c r="G41" s="63"/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257">
        <v>70</v>
      </c>
      <c r="B42" s="258">
        <v>677</v>
      </c>
      <c r="C42" s="257">
        <v>6</v>
      </c>
      <c r="D42" s="257">
        <f>39+36</f>
        <v>75</v>
      </c>
      <c r="E42" s="63"/>
      <c r="F42" s="63"/>
      <c r="G42" s="63"/>
      <c r="H42" s="51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257">
        <v>80</v>
      </c>
      <c r="B43" s="258">
        <f>654+65</f>
        <v>719</v>
      </c>
      <c r="C43" s="257">
        <v>7</v>
      </c>
      <c r="D43" s="257">
        <f>B43</f>
        <v>719</v>
      </c>
      <c r="E43" s="63"/>
      <c r="F43" s="63"/>
      <c r="G43" s="63"/>
      <c r="H43" s="51"/>
      <c r="I43" s="49">
        <f t="shared" si="1"/>
        <v>11.7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50">
        <v>158</v>
      </c>
      <c r="C62" s="50">
        <v>1</v>
      </c>
      <c r="D62" s="50">
        <v>12.5</v>
      </c>
      <c r="E62" s="63"/>
      <c r="F62" s="63">
        <v>0.5</v>
      </c>
      <c r="G62" s="63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50">
        <f>250-D62</f>
        <v>237.5</v>
      </c>
      <c r="C63" s="50">
        <v>2</v>
      </c>
      <c r="D63" s="50">
        <v>45.9</v>
      </c>
      <c r="E63" s="63">
        <v>0.2</v>
      </c>
      <c r="F63" s="63">
        <v>0.4</v>
      </c>
      <c r="G63" s="63">
        <v>0.4</v>
      </c>
      <c r="H63" s="51"/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50">
        <f>350-SUM(D62:D63)</f>
        <v>291.60000000000002</v>
      </c>
      <c r="C64" s="50">
        <v>3</v>
      </c>
      <c r="D64" s="50">
        <v>83.4</v>
      </c>
      <c r="E64" s="63"/>
      <c r="F64" s="63"/>
      <c r="G64" s="51"/>
      <c r="H64" s="51"/>
      <c r="I64" s="49">
        <f>IF(A64&lt;&gt;0,(B64-(B63-D63))/(A64-A63),"")</f>
        <v>10.000000000000004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50">
        <f>465-SUM(D62:D64)</f>
        <v>323.2</v>
      </c>
      <c r="C65" s="50">
        <v>4</v>
      </c>
      <c r="D65" s="50">
        <v>83.4</v>
      </c>
      <c r="E65" s="63"/>
      <c r="F65" s="63"/>
      <c r="G65" s="51"/>
      <c r="H65" s="51"/>
      <c r="I65" s="49">
        <f>IF(A65&lt;&gt;0,(B65-(B64-D64))/(A65-A64),"")</f>
        <v>11.499999999999996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50">
        <f>600-SUM(D62:D65)</f>
        <v>374.79999999999995</v>
      </c>
      <c r="C66" s="50">
        <v>5</v>
      </c>
      <c r="D66" s="50">
        <v>83.4</v>
      </c>
      <c r="E66" s="63"/>
      <c r="F66" s="63"/>
      <c r="G66" s="51"/>
      <c r="H66" s="51"/>
      <c r="I66" s="49">
        <f t="shared" ref="I66:I81" si="2">IF(A66&lt;&gt;0,(B66-(B65-D65))/(A66-A65),"")</f>
        <v>13.499999999999996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50">
        <f>755-SUM(D62:D66)</f>
        <v>446.4</v>
      </c>
      <c r="C67" s="50">
        <v>6</v>
      </c>
      <c r="D67" s="50">
        <v>83.4</v>
      </c>
      <c r="E67" s="63"/>
      <c r="F67" s="63"/>
      <c r="G67" s="51"/>
      <c r="H67" s="51"/>
      <c r="I67" s="49">
        <f t="shared" si="2"/>
        <v>15.5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50">
        <f>925-SUM(D62:D67)</f>
        <v>533</v>
      </c>
      <c r="C68" s="50">
        <v>7</v>
      </c>
      <c r="D68" s="50">
        <v>83.4</v>
      </c>
      <c r="E68" s="63"/>
      <c r="F68" s="63"/>
      <c r="G68" s="63"/>
      <c r="H68" s="51"/>
      <c r="I68" s="49">
        <f t="shared" si="2"/>
        <v>17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1100-SUM(D62:D68)</f>
        <v>624.6</v>
      </c>
      <c r="C69" s="50">
        <v>8</v>
      </c>
      <c r="D69" s="50">
        <v>83.4</v>
      </c>
      <c r="E69" s="63"/>
      <c r="F69" s="63"/>
      <c r="G69" s="63"/>
      <c r="H69" s="51"/>
      <c r="I69" s="49">
        <f t="shared" si="2"/>
        <v>17.5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1285-SUM(D62:D69)</f>
        <v>726.2</v>
      </c>
      <c r="C70" s="50">
        <v>9</v>
      </c>
      <c r="D70" s="50">
        <v>726.2</v>
      </c>
      <c r="E70" s="63"/>
      <c r="F70" s="63"/>
      <c r="G70" s="51"/>
      <c r="H70" s="51"/>
      <c r="I70" s="49">
        <f t="shared" si="2"/>
        <v>18.5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Cèdre de l'Atlas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/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401.06118089678654</v>
      </c>
      <c r="T3" s="59">
        <f>IF('Données projet'!E9&gt;30,$R$33-$H$33,LOOKUP('Données projet'!$E$9,$A$3:$A$203,R3:R203)-LOOKUP('Données projet'!$E$9,$A$3:$A$203,$H$3:$H$203))</f>
        <v>399.58193819355591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252.98248842635206</v>
      </c>
      <c r="AO3" s="59">
        <f>IF('Données projet'!E10&gt;30,$AM$33-$H$33,LOOKUP('Données projet'!$E$10,$A$3:$A$203,AM3:AM203)-LOOKUP('Données projet'!$E$10,$A$3:$A$203,$H$3:$H$203))</f>
        <v>207.11938580878308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</v>
      </c>
      <c r="N4" s="13">
        <f>IF('Données projet'!$A$36&gt;35,N3+M4-V3,IF(A4&lt;'Données projet'!$A$36,$K$205^A4,IF(A4='Données projet'!$A$36,'Données projet'!$B$36,N3+M4-V3)))</f>
        <v>1.3492828476735632</v>
      </c>
      <c r="O4" s="13">
        <f>N4*VLOOKUP('Données projet'!$B$9,Paramètres!$A$1:$I$89,3,0)*VLOOKUP('Données projet'!$B$9,Paramètres!$A$1:$I$89,5,0)</f>
        <v>0.75424911184952181</v>
      </c>
      <c r="P4" s="13">
        <f>EXP(-1.0587+0.8836*LN(O4)+0.284)</f>
        <v>0.3591899268142314</v>
      </c>
      <c r="Q4" s="20">
        <f t="shared" ref="Q4:Q34" si="2">(O4+P4)*0.475*44/12</f>
        <v>1.9392396590060368</v>
      </c>
      <c r="R4" s="59">
        <f t="shared" si="0"/>
        <v>295.27257299233935</v>
      </c>
      <c r="S4" s="59">
        <f ca="1">AVERAGE(OFFSET($R$3,0,0,'Données projet'!$E$9+1,1))-AVERAGE(OFFSET($H$3,0,0,'Données projet'!$E$9+1,1))</f>
        <v>401.06118089678654</v>
      </c>
      <c r="T4" s="59">
        <f>$T$3</f>
        <v>399.58193819355591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294.89641891074018</v>
      </c>
      <c r="AN4" s="59">
        <f ca="1">AVERAGE(OFFSET($AM$3,0,0,'Données projet'!$E$10+1,1))-AVERAGE(OFFSET($H$3,0,0,'Données projet'!$E$10+1,1))</f>
        <v>252.98248842635206</v>
      </c>
      <c r="AO4" s="59">
        <f>$AO$3</f>
        <v>207.11938580878308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</v>
      </c>
      <c r="N5" s="13">
        <f>IF('Données projet'!$A$36&gt;35,N4+M5-V4,IF(A5&lt;'Données projet'!$A$36,$K$205^A5,IF(A5='Données projet'!$A$36,'Données projet'!$B$36,N4+M5-V4)))</f>
        <v>1.82056420302608</v>
      </c>
      <c r="O5" s="13">
        <f>N5*VLOOKUP('Données projet'!$B$9,Paramètres!$A$1:$I$89,3,0)*VLOOKUP('Données projet'!$B$9,Paramètres!$A$1:$I$89,5,0)</f>
        <v>1.0176953894915788</v>
      </c>
      <c r="P5" s="13">
        <f t="shared" ref="P5:P68" si="33">EXP(-1.0587+0.8836*LN(O5)+0.284)</f>
        <v>0.46804020312241645</v>
      </c>
      <c r="Q5" s="20">
        <f t="shared" si="2"/>
        <v>2.5876561571360415</v>
      </c>
      <c r="R5" s="59">
        <f t="shared" si="0"/>
        <v>295.92098949046937</v>
      </c>
      <c r="S5" s="59">
        <f ca="1">AVERAGE(OFFSET($R$3,0,0,'Données projet'!$E$9+1,1))-AVERAGE(OFFSET($H$3,0,0,'Données projet'!$E$9+1,1))</f>
        <v>401.06118089678654</v>
      </c>
      <c r="T5" s="59">
        <f t="shared" ref="T5:T68" si="34">$T$3</f>
        <v>399.58193819355591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295.32747390874374</v>
      </c>
      <c r="AN5" s="59">
        <f ca="1">AVERAGE(OFFSET($AM$3,0,0,'Données projet'!$E$10+1,1))-AVERAGE(OFFSET($H$3,0,0,'Données projet'!$E$10+1,1))</f>
        <v>252.98248842635206</v>
      </c>
      <c r="AO5" s="59">
        <f t="shared" ref="AO5:AO68" si="36">$AO$3</f>
        <v>207.11938580878308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</v>
      </c>
      <c r="N6" s="13">
        <f>IF('Données projet'!$A$36&gt;35,N5+M6-V5,IF(A6&lt;'Données projet'!$A$36,$K$205^A6,IF(A6='Données projet'!$A$36,'Données projet'!$B$36,N5+M6-V5)))</f>
        <v>2.4564560522315801</v>
      </c>
      <c r="O6" s="13">
        <f>N6*VLOOKUP('Données projet'!$B$9,Paramètres!$A$1:$I$89,3,0)*VLOOKUP('Données projet'!$B$9,Paramètres!$A$1:$I$89,5,0)</f>
        <v>1.3731589331974534</v>
      </c>
      <c r="P6" s="13">
        <f t="shared" si="33"/>
        <v>0.60987687957120462</v>
      </c>
      <c r="Q6" s="20">
        <f t="shared" si="2"/>
        <v>3.453787373905413</v>
      </c>
      <c r="R6" s="59">
        <f t="shared" si="0"/>
        <v>296.78712070723873</v>
      </c>
      <c r="S6" s="59">
        <f ca="1">AVERAGE(OFFSET($R$3,0,0,'Données projet'!$E$9+1,1))-AVERAGE(OFFSET($H$3,0,0,'Données projet'!$E$9+1,1))</f>
        <v>401.06118089678654</v>
      </c>
      <c r="T6" s="59">
        <f t="shared" si="34"/>
        <v>399.58193819355591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295.8778838402435</v>
      </c>
      <c r="AN6" s="59">
        <f ca="1">AVERAGE(OFFSET($AM$3,0,0,'Données projet'!$E$10+1,1))-AVERAGE(OFFSET($H$3,0,0,'Données projet'!$E$10+1,1))</f>
        <v>252.98248842635206</v>
      </c>
      <c r="AO6" s="59">
        <f t="shared" si="36"/>
        <v>207.11938580878308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</v>
      </c>
      <c r="N7" s="13">
        <f>IF('Données projet'!$A$36&gt;35,N6+M7-V6,IF(A7&lt;'Données projet'!$A$36,$K$205^A7,IF(A7='Données projet'!$A$36,'Données projet'!$B$36,N6+M7-V6)))</f>
        <v>3.3144540173399859</v>
      </c>
      <c r="O7" s="13">
        <f>N7*VLOOKUP('Données projet'!$B$9,Paramètres!$A$1:$I$89,3,0)*VLOOKUP('Données projet'!$B$9,Paramètres!$A$1:$I$89,5,0)</f>
        <v>1.8527797956930523</v>
      </c>
      <c r="P7" s="13">
        <f t="shared" si="33"/>
        <v>0.79469627983693913</v>
      </c>
      <c r="Q7" s="20">
        <f t="shared" si="2"/>
        <v>4.6110208315480676</v>
      </c>
      <c r="R7" s="59">
        <f t="shared" si="0"/>
        <v>297.94435416488136</v>
      </c>
      <c r="S7" s="59">
        <f ca="1">AVERAGE(OFFSET($R$3,0,0,'Données projet'!$E$9+1,1))-AVERAGE(OFFSET($H$3,0,0,'Données projet'!$E$9+1,1))</f>
        <v>401.06118089678654</v>
      </c>
      <c r="T7" s="59">
        <f t="shared" si="34"/>
        <v>399.58193819355591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296.58082314457886</v>
      </c>
      <c r="AN7" s="59">
        <f ca="1">AVERAGE(OFFSET($AM$3,0,0,'Données projet'!$E$10+1,1))-AVERAGE(OFFSET($H$3,0,0,'Données projet'!$E$10+1,1))</f>
        <v>252.98248842635206</v>
      </c>
      <c r="AO7" s="59">
        <f t="shared" si="36"/>
        <v>207.11938580878308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</v>
      </c>
      <c r="N8" s="13">
        <f>IF('Données projet'!$A$36&gt;35,N7+M8-V7,IF(A8&lt;'Données projet'!$A$36,$K$205^A8,IF(A8='Données projet'!$A$36,'Données projet'!$B$36,N7+M8-V7)))</f>
        <v>4.4721359549995778</v>
      </c>
      <c r="O8" s="13">
        <f>N8*VLOOKUP('Données projet'!$B$9,Paramètres!$A$1:$I$89,3,0)*VLOOKUP('Données projet'!$B$9,Paramètres!$A$1:$I$89,5,0)</f>
        <v>2.4999239988447641</v>
      </c>
      <c r="P8" s="13">
        <f t="shared" si="33"/>
        <v>1.035524051396568</v>
      </c>
      <c r="Q8" s="20">
        <f t="shared" si="2"/>
        <v>6.1575720208369864</v>
      </c>
      <c r="R8" s="59">
        <f t="shared" si="0"/>
        <v>299.49090535417031</v>
      </c>
      <c r="S8" s="59">
        <f ca="1">AVERAGE(OFFSET($R$3,0,0,'Données projet'!$E$9+1,1))-AVERAGE(OFFSET($H$3,0,0,'Données projet'!$E$9+1,1))</f>
        <v>401.06118089678654</v>
      </c>
      <c r="T8" s="59">
        <f t="shared" si="34"/>
        <v>399.58193819355591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297.47871993550461</v>
      </c>
      <c r="AN8" s="59">
        <f ca="1">AVERAGE(OFFSET($AM$3,0,0,'Données projet'!$E$10+1,1))-AVERAGE(OFFSET($H$3,0,0,'Données projet'!$E$10+1,1))</f>
        <v>252.98248842635206</v>
      </c>
      <c r="AO8" s="59">
        <f t="shared" si="36"/>
        <v>207.11938580878308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</v>
      </c>
      <c r="N9" s="13">
        <f>IF('Données projet'!$A$36&gt;35,N8+M9-V8,IF(A9&lt;'Données projet'!$A$36,$K$205^A9,IF(A9='Données projet'!$A$36,'Données projet'!$B$36,N8+M9-V8)))</f>
        <v>6.0341763365451611</v>
      </c>
      <c r="O9" s="13">
        <f>N9*VLOOKUP('Données projet'!$B$9,Paramètres!$A$1:$I$89,3,0)*VLOOKUP('Données projet'!$B$9,Paramètres!$A$1:$I$89,5,0)</f>
        <v>3.3731045721287449</v>
      </c>
      <c r="P9" s="13">
        <f t="shared" si="33"/>
        <v>1.3493331832895774</v>
      </c>
      <c r="Q9" s="20">
        <f t="shared" si="2"/>
        <v>8.2249124240202445</v>
      </c>
      <c r="R9" s="59">
        <f t="shared" si="0"/>
        <v>301.55824575735357</v>
      </c>
      <c r="S9" s="59">
        <f ca="1">AVERAGE(OFFSET($R$3,0,0,'Données projet'!$E$9+1,1))-AVERAGE(OFFSET($H$3,0,0,'Données projet'!$E$9+1,1))</f>
        <v>401.06118089678654</v>
      </c>
      <c r="T9" s="59">
        <f t="shared" si="34"/>
        <v>399.58193819355591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298.62584576955311</v>
      </c>
      <c r="AN9" s="59">
        <f ca="1">AVERAGE(OFFSET($AM$3,0,0,'Données projet'!$E$10+1,1))-AVERAGE(OFFSET($H$3,0,0,'Données projet'!$E$10+1,1))</f>
        <v>252.98248842635206</v>
      </c>
      <c r="AO9" s="59">
        <f t="shared" si="36"/>
        <v>207.11938580878308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</v>
      </c>
      <c r="N10" s="13">
        <f>IF('Données projet'!$A$36&gt;35,N9+M10-V9,IF(A10&lt;'Données projet'!$A$36,$K$205^A10,IF(A10='Données projet'!$A$36,'Données projet'!$B$36,N9+M10-V9)))</f>
        <v>8.1418106307380835</v>
      </c>
      <c r="O10" s="13">
        <f>N10*VLOOKUP('Données projet'!$B$9,Paramètres!$A$1:$I$89,3,0)*VLOOKUP('Données projet'!$B$9,Paramètres!$A$1:$I$89,5,0)</f>
        <v>4.5512721425825893</v>
      </c>
      <c r="P10" s="13">
        <f t="shared" si="33"/>
        <v>1.7582402234606553</v>
      </c>
      <c r="Q10" s="20">
        <f t="shared" si="2"/>
        <v>10.989067370858649</v>
      </c>
      <c r="R10" s="59">
        <f t="shared" si="0"/>
        <v>304.32240070419198</v>
      </c>
      <c r="S10" s="59">
        <f ca="1">AVERAGE(OFFSET($R$3,0,0,'Données projet'!$E$9+1,1))-AVERAGE(OFFSET($H$3,0,0,'Données projet'!$E$9+1,1))</f>
        <v>401.06118089678654</v>
      </c>
      <c r="T10" s="59">
        <f t="shared" si="34"/>
        <v>399.58193819355591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300.09163240970821</v>
      </c>
      <c r="AN10" s="59">
        <f ca="1">AVERAGE(OFFSET($AM$3,0,0,'Données projet'!$E$10+1,1))-AVERAGE(OFFSET($H$3,0,0,'Données projet'!$E$10+1,1))</f>
        <v>252.98248842635206</v>
      </c>
      <c r="AO10" s="59">
        <f t="shared" si="36"/>
        <v>207.11938580878308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</v>
      </c>
      <c r="N11" s="13">
        <f>IF('Données projet'!$A$36&gt;35,N10+M11-V10,IF(A11&lt;'Données projet'!$A$36,$K$205^A11,IF(A11='Données projet'!$A$36,'Données projet'!$B$36,N10+M11-V10)))</f>
        <v>10.985605433061172</v>
      </c>
      <c r="O11" s="13">
        <f>N11*VLOOKUP('Données projet'!$B$9,Paramètres!$A$1:$I$89,3,0)*VLOOKUP('Données projet'!$B$9,Paramètres!$A$1:$I$89,5,0)</f>
        <v>6.1409534370811958</v>
      </c>
      <c r="P11" s="13">
        <f t="shared" si="33"/>
        <v>2.29106400233806</v>
      </c>
      <c r="Q11" s="20">
        <f t="shared" si="2"/>
        <v>14.685763706988537</v>
      </c>
      <c r="R11" s="59">
        <f t="shared" si="0"/>
        <v>308.01909704032187</v>
      </c>
      <c r="S11" s="59">
        <f ca="1">AVERAGE(OFFSET($R$3,0,0,'Données projet'!$E$9+1,1))-AVERAGE(OFFSET($H$3,0,0,'Données projet'!$E$9+1,1))</f>
        <v>401.06118089678654</v>
      </c>
      <c r="T11" s="59">
        <f t="shared" si="34"/>
        <v>399.58193819355591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301.96492023616713</v>
      </c>
      <c r="AN11" s="59">
        <f ca="1">AVERAGE(OFFSET($AM$3,0,0,'Données projet'!$E$10+1,1))-AVERAGE(OFFSET($H$3,0,0,'Données projet'!$E$10+1,1))</f>
        <v>252.98248842635206</v>
      </c>
      <c r="AO11" s="59">
        <f t="shared" si="36"/>
        <v>207.11938580878308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</v>
      </c>
      <c r="N12" s="13">
        <f>IF('Données projet'!$A$36&gt;35,N11+M12-V11,IF(A12&lt;'Données projet'!$A$36,$K$205^A12,IF(A12='Données projet'!$A$36,'Données projet'!$B$36,N11+M12-V11)))</f>
        <v>14.822688982138946</v>
      </c>
      <c r="O12" s="13">
        <f>N12*VLOOKUP('Données projet'!$B$9,Paramètres!$A$1:$I$89,3,0)*VLOOKUP('Données projet'!$B$9,Paramètres!$A$1:$I$89,5,0)</f>
        <v>8.2858831410156704</v>
      </c>
      <c r="P12" s="13">
        <f t="shared" si="33"/>
        <v>2.9853567179108209</v>
      </c>
      <c r="Q12" s="20">
        <f t="shared" si="2"/>
        <v>19.630742754296975</v>
      </c>
      <c r="R12" s="59">
        <f t="shared" si="0"/>
        <v>312.9640760876303</v>
      </c>
      <c r="S12" s="59">
        <f ca="1">AVERAGE(OFFSET($R$3,0,0,'Données projet'!$E$9+1,1))-AVERAGE(OFFSET($H$3,0,0,'Données projet'!$E$9+1,1))</f>
        <v>401.06118089678654</v>
      </c>
      <c r="T12" s="59">
        <f t="shared" si="34"/>
        <v>399.58193819355591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304.35940071300303</v>
      </c>
      <c r="AN12" s="59">
        <f ca="1">AVERAGE(OFFSET($AM$3,0,0,'Données projet'!$E$10+1,1))-AVERAGE(OFFSET($H$3,0,0,'Données projet'!$E$10+1,1))</f>
        <v>252.98248842635206</v>
      </c>
      <c r="AO12" s="59">
        <f t="shared" si="36"/>
        <v>207.11938580878308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20</v>
      </c>
      <c r="L13" s="12">
        <f>VLOOKUP(A13,'Données projet'!$A$35:$I$55,9,0)</f>
        <v>2</v>
      </c>
      <c r="M13" s="12">
        <f t="array" ref="M13">INDEX(L:L,MIN(IF(ISNUMBER(L13:L209),ROW(L13:L209),"")))</f>
        <v>2</v>
      </c>
      <c r="N13" s="13">
        <f>IF('Données projet'!$A$36&gt;35,N12+M13-V12,IF(A13&lt;'Données projet'!$A$36,$K$205^A13,IF(A13='Données projet'!$A$36,'Données projet'!$B$36,N12+M13-V12)))</f>
        <v>20</v>
      </c>
      <c r="O13" s="13">
        <f>N13*VLOOKUP('Données projet'!$B$9,Paramètres!$A$1:$I$89,3,0)*VLOOKUP('Données projet'!$B$9,Paramètres!$A$1:$I$89,5,0)</f>
        <v>11.18</v>
      </c>
      <c r="P13" s="13">
        <f t="shared" si="33"/>
        <v>3.8900505285230369</v>
      </c>
      <c r="Q13" s="20">
        <f t="shared" si="2"/>
        <v>26.247004670510957</v>
      </c>
      <c r="R13" s="59">
        <f t="shared" si="0"/>
        <v>319.58033800384425</v>
      </c>
      <c r="S13" s="59">
        <f ca="1">AVERAGE(OFFSET($R$3,0,0,'Données projet'!$E$9+1,1))-AVERAGE(OFFSET($H$3,0,0,'Données projet'!$E$9+1,1))</f>
        <v>401.06118089678654</v>
      </c>
      <c r="T13" s="59">
        <f t="shared" si="34"/>
        <v>399.58193819355591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307.42058941449875</v>
      </c>
      <c r="AN13" s="59">
        <f ca="1">AVERAGE(OFFSET($AM$3,0,0,'Données projet'!$E$10+1,1))-AVERAGE(OFFSET($H$3,0,0,'Données projet'!$E$10+1,1))</f>
        <v>252.98248842635206</v>
      </c>
      <c r="AO13" s="59">
        <f t="shared" si="36"/>
        <v>207.11938580878308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17.5</v>
      </c>
      <c r="N14" s="13">
        <f>IF('Données projet'!$A$36&gt;35,N13+M14-V13,IF(A14&lt;'Données projet'!$A$36,$K$205^A14,IF(A14='Données projet'!$A$36,'Données projet'!$B$36,N13+M14-V13)))</f>
        <v>37.5</v>
      </c>
      <c r="O14" s="13">
        <f>N14*VLOOKUP('Données projet'!$B$9,Paramètres!$A$1:$I$89,3,0)*VLOOKUP('Données projet'!$B$9,Paramètres!$A$1:$I$89,5,0)</f>
        <v>20.962500000000002</v>
      </c>
      <c r="P14" s="13">
        <f t="shared" si="33"/>
        <v>6.7792112362552857</v>
      </c>
      <c r="Q14" s="20">
        <f t="shared" si="2"/>
        <v>48.316813736477961</v>
      </c>
      <c r="R14" s="59">
        <f t="shared" si="0"/>
        <v>341.65014706981128</v>
      </c>
      <c r="S14" s="59">
        <f ca="1">AVERAGE(OFFSET($R$3,0,0,'Données projet'!$E$9+1,1))-AVERAGE(OFFSET($H$3,0,0,'Données projet'!$E$9+1,1))</f>
        <v>401.06118089678654</v>
      </c>
      <c r="T14" s="59">
        <f t="shared" si="34"/>
        <v>399.58193819355591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311.33476117897868</v>
      </c>
      <c r="AN14" s="59">
        <f ca="1">AVERAGE(OFFSET($AM$3,0,0,'Données projet'!$E$10+1,1))-AVERAGE(OFFSET($H$3,0,0,'Données projet'!$E$10+1,1))</f>
        <v>252.98248842635206</v>
      </c>
      <c r="AO14" s="59">
        <f t="shared" si="36"/>
        <v>207.11938580878308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17.5</v>
      </c>
      <c r="N15" s="13">
        <f>IF('Données projet'!$A$36&gt;35,N14+M15-V14,IF(A15&lt;'Données projet'!$A$36,$K$205^A15,IF(A15='Données projet'!$A$36,'Données projet'!$B$36,N14+M15-V14)))</f>
        <v>55</v>
      </c>
      <c r="O15" s="13">
        <f>N15*VLOOKUP('Données projet'!$B$9,Paramètres!$A$1:$I$89,3,0)*VLOOKUP('Données projet'!$B$9,Paramètres!$A$1:$I$89,5,0)</f>
        <v>30.744999999999997</v>
      </c>
      <c r="P15" s="13">
        <f t="shared" si="33"/>
        <v>9.5093232533499226</v>
      </c>
      <c r="Q15" s="20">
        <f t="shared" si="2"/>
        <v>70.109612999584456</v>
      </c>
      <c r="R15" s="59">
        <f t="shared" si="0"/>
        <v>363.44294633291776</v>
      </c>
      <c r="S15" s="59">
        <f ca="1">AVERAGE(OFFSET($R$3,0,0,'Données projet'!$E$9+1,1))-AVERAGE(OFFSET($H$3,0,0,'Données projet'!$E$9+1,1))</f>
        <v>401.06118089678654</v>
      </c>
      <c r="T15" s="59">
        <f t="shared" si="34"/>
        <v>399.58193819355591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316.3404009375538</v>
      </c>
      <c r="AN15" s="59">
        <f ca="1">AVERAGE(OFFSET($AM$3,0,0,'Données projet'!$E$10+1,1))-AVERAGE(OFFSET($H$3,0,0,'Données projet'!$E$10+1,1))</f>
        <v>252.98248842635206</v>
      </c>
      <c r="AO15" s="59">
        <f t="shared" si="36"/>
        <v>207.11938580878308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17.5</v>
      </c>
      <c r="N16" s="13">
        <f>IF('Données projet'!$A$36&gt;35,N15+M16-V15,IF(A16&lt;'Données projet'!$A$36,$K$205^A16,IF(A16='Données projet'!$A$36,'Données projet'!$B$36,N15+M16-V15)))</f>
        <v>72.5</v>
      </c>
      <c r="O16" s="13">
        <f>N16*VLOOKUP('Données projet'!$B$9,Paramètres!$A$1:$I$89,3,0)*VLOOKUP('Données projet'!$B$9,Paramètres!$A$1:$I$89,5,0)</f>
        <v>40.527500000000003</v>
      </c>
      <c r="P16" s="13">
        <f t="shared" si="33"/>
        <v>12.13835405384425</v>
      </c>
      <c r="Q16" s="20">
        <f t="shared" si="2"/>
        <v>91.726362477112062</v>
      </c>
      <c r="R16" s="59">
        <f t="shared" si="0"/>
        <v>385.05969581044536</v>
      </c>
      <c r="S16" s="59">
        <f ca="1">AVERAGE(OFFSET($R$3,0,0,'Données projet'!$E$9+1,1))-AVERAGE(OFFSET($H$3,0,0,'Données projet'!$E$9+1,1))</f>
        <v>401.06118089678654</v>
      </c>
      <c r="T16" s="59">
        <f t="shared" si="34"/>
        <v>399.58193819355591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322.74288029609767</v>
      </c>
      <c r="AN16" s="59">
        <f ca="1">AVERAGE(OFFSET($AM$3,0,0,'Données projet'!$E$10+1,1))-AVERAGE(OFFSET($H$3,0,0,'Données projet'!$E$10+1,1))</f>
        <v>252.98248842635206</v>
      </c>
      <c r="AO16" s="59">
        <f t="shared" si="36"/>
        <v>207.11938580878308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17.5</v>
      </c>
      <c r="N17" s="13">
        <f>IF('Données projet'!$A$36&gt;35,N16+M17-V16,IF(A17&lt;'Données projet'!$A$36,$K$205^A17,IF(A17='Données projet'!$A$36,'Données projet'!$B$36,N16+M17-V16)))</f>
        <v>90</v>
      </c>
      <c r="O17" s="13">
        <f>N17*VLOOKUP('Données projet'!$B$9,Paramètres!$A$1:$I$89,3,0)*VLOOKUP('Données projet'!$B$9,Paramètres!$A$1:$I$89,5,0)</f>
        <v>50.31</v>
      </c>
      <c r="P17" s="13">
        <f t="shared" si="33"/>
        <v>14.693789693291551</v>
      </c>
      <c r="Q17" s="20">
        <f t="shared" si="2"/>
        <v>113.21493371581612</v>
      </c>
      <c r="R17" s="59">
        <f t="shared" si="0"/>
        <v>406.54826704914944</v>
      </c>
      <c r="S17" s="59">
        <f ca="1">AVERAGE(OFFSET($R$3,0,0,'Données projet'!$E$9+1,1))-AVERAGE(OFFSET($H$3,0,0,'Données projet'!$E$9+1,1))</f>
        <v>401.06118089678654</v>
      </c>
      <c r="T17" s="59">
        <f t="shared" si="34"/>
        <v>399.58193819355591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330.93327083690383</v>
      </c>
      <c r="AN17" s="59">
        <f ca="1">AVERAGE(OFFSET($AM$3,0,0,'Données projet'!$E$10+1,1))-AVERAGE(OFFSET($H$3,0,0,'Données projet'!$E$10+1,1))</f>
        <v>252.98248842635206</v>
      </c>
      <c r="AO17" s="59">
        <f t="shared" si="36"/>
        <v>207.11938580878308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60.092500000000001</v>
      </c>
      <c r="P18" s="13">
        <f t="shared" si="33"/>
        <v>17.191653817497027</v>
      </c>
      <c r="Q18" s="20">
        <f t="shared" si="2"/>
        <v>134.603234565474</v>
      </c>
      <c r="R18" s="59">
        <f t="shared" si="0"/>
        <v>427.93656789880731</v>
      </c>
      <c r="S18" s="59">
        <f ca="1">AVERAGE(OFFSET($R$3,0,0,'Données projet'!$E$9+1,1))-AVERAGE(OFFSET($H$3,0,0,'Données projet'!$E$9+1,1))</f>
        <v>401.06118089678654</v>
      </c>
      <c r="T18" s="59">
        <f t="shared" si="34"/>
        <v>399.58193819355591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341.41246294557129</v>
      </c>
      <c r="AN18" s="59">
        <f ca="1">AVERAGE(OFFSET($AM$3,0,0,'Données projet'!$E$10+1,1))-AVERAGE(OFFSET($H$3,0,0,'Données projet'!$E$10+1,1))</f>
        <v>252.98248842635206</v>
      </c>
      <c r="AO18" s="59">
        <f t="shared" si="36"/>
        <v>207.11938580878308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17.5</v>
      </c>
      <c r="N19" s="13">
        <f>IF('Données projet'!$A$36&gt;35,N18+M19-V18,IF(A19&lt;'Données projet'!$A$36,$K$205^A19,IF(A19='Données projet'!$A$36,'Données projet'!$B$36,N18+M19-V18)))</f>
        <v>125</v>
      </c>
      <c r="O19" s="13">
        <f>N19*VLOOKUP('Données projet'!$B$9,Paramètres!$A$1:$I$89,3,0)*VLOOKUP('Données projet'!$B$9,Paramètres!$A$1:$I$89,5,0)</f>
        <v>69.875</v>
      </c>
      <c r="P19" s="13">
        <f t="shared" si="33"/>
        <v>19.64241243753855</v>
      </c>
      <c r="Q19" s="20">
        <f t="shared" si="2"/>
        <v>155.90949332871295</v>
      </c>
      <c r="R19" s="59">
        <f t="shared" si="0"/>
        <v>449.24282666204624</v>
      </c>
      <c r="S19" s="59">
        <f ca="1">AVERAGE(OFFSET($R$3,0,0,'Données projet'!$E$9+1,1))-AVERAGE(OFFSET($H$3,0,0,'Données projet'!$E$9+1,1))</f>
        <v>401.06118089678654</v>
      </c>
      <c r="T19" s="59">
        <f t="shared" si="34"/>
        <v>399.58193819355591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354.82208993415543</v>
      </c>
      <c r="AN19" s="59">
        <f ca="1">AVERAGE(OFFSET($AM$3,0,0,'Données projet'!$E$10+1,1))-AVERAGE(OFFSET($H$3,0,0,'Données projet'!$E$10+1,1))</f>
        <v>252.98248842635206</v>
      </c>
      <c r="AO19" s="59">
        <f t="shared" si="36"/>
        <v>207.11938580878308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17.5</v>
      </c>
      <c r="N20" s="13">
        <f>IF('Données projet'!$A$36&gt;35,N19+M20-V19,IF(A20&lt;'Données projet'!$A$36,$K$205^A20,IF(A20='Données projet'!$A$36,'Données projet'!$B$36,N19+M20-V19)))</f>
        <v>142.5</v>
      </c>
      <c r="O20" s="13">
        <f>N20*VLOOKUP('Données projet'!$B$9,Paramètres!$A$1:$I$89,3,0)*VLOOKUP('Données projet'!$B$9,Paramètres!$A$1:$I$89,5,0)</f>
        <v>79.657499999999999</v>
      </c>
      <c r="P20" s="13">
        <f t="shared" si="33"/>
        <v>22.05342019864063</v>
      </c>
      <c r="Q20" s="20">
        <f t="shared" si="2"/>
        <v>177.14651934596574</v>
      </c>
      <c r="R20" s="59">
        <f t="shared" si="0"/>
        <v>470.47985267929903</v>
      </c>
      <c r="S20" s="59">
        <f ca="1">AVERAGE(OFFSET($R$3,0,0,'Données projet'!$E$9+1,1))-AVERAGE(OFFSET($H$3,0,0,'Données projet'!$E$9+1,1))</f>
        <v>401.06118089678654</v>
      </c>
      <c r="T20" s="59">
        <f t="shared" si="34"/>
        <v>399.58193819355591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371.98418210076898</v>
      </c>
      <c r="AN20" s="59">
        <f ca="1">AVERAGE(OFFSET($AM$3,0,0,'Données projet'!$E$10+1,1))-AVERAGE(OFFSET($H$3,0,0,'Données projet'!$E$10+1,1))</f>
        <v>252.98248842635206</v>
      </c>
      <c r="AO20" s="59">
        <f t="shared" si="36"/>
        <v>207.11938580878308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17.5</v>
      </c>
      <c r="N21" s="13">
        <f>IF('Données projet'!$A$36&gt;35,N20+M21-V20,IF(A21&lt;'Données projet'!$A$36,$K$205^A21,IF(A21='Données projet'!$A$36,'Données projet'!$B$36,N20+M21-V20)))</f>
        <v>160</v>
      </c>
      <c r="O21" s="13">
        <f>N21*VLOOKUP('Données projet'!$B$9,Paramètres!$A$1:$I$89,3,0)*VLOOKUP('Données projet'!$B$9,Paramètres!$A$1:$I$89,5,0)</f>
        <v>89.44</v>
      </c>
      <c r="P21" s="13">
        <f t="shared" si="33"/>
        <v>24.430117455867048</v>
      </c>
      <c r="Q21" s="20">
        <f t="shared" si="2"/>
        <v>198.32378790230177</v>
      </c>
      <c r="R21" s="59">
        <f t="shared" si="0"/>
        <v>491.65712123563509</v>
      </c>
      <c r="S21" s="59">
        <f ca="1">AVERAGE(OFFSET($R$3,0,0,'Données projet'!$E$9+1,1))-AVERAGE(OFFSET($H$3,0,0,'Données projet'!$E$9+1,1))</f>
        <v>401.06118089678654</v>
      </c>
      <c r="T21" s="59">
        <f t="shared" si="34"/>
        <v>399.58193819355591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393.95202082891387</v>
      </c>
      <c r="AN21" s="59">
        <f ca="1">AVERAGE(OFFSET($AM$3,0,0,'Données projet'!$E$10+1,1))-AVERAGE(OFFSET($H$3,0,0,'Données projet'!$E$10+1,1))</f>
        <v>252.98248842635206</v>
      </c>
      <c r="AO21" s="59">
        <f t="shared" si="36"/>
        <v>207.11938580878308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17.5</v>
      </c>
      <c r="N22" s="13">
        <f>IF('Données projet'!$A$36&gt;35,N21+M22-V21,IF(A22&lt;'Données projet'!$A$36,$K$205^A22,IF(A22='Données projet'!$A$36,'Données projet'!$B$36,N21+M22-V21)))</f>
        <v>177.5</v>
      </c>
      <c r="O22" s="13">
        <f>N22*VLOOKUP('Données projet'!$B$9,Paramètres!$A$1:$I$89,3,0)*VLOOKUP('Données projet'!$B$9,Paramètres!$A$1:$I$89,5,0)</f>
        <v>99.222500000000011</v>
      </c>
      <c r="P22" s="13">
        <f t="shared" si="33"/>
        <v>26.776684834408954</v>
      </c>
      <c r="Q22" s="20">
        <f t="shared" si="2"/>
        <v>219.44858025326224</v>
      </c>
      <c r="R22" s="59">
        <f t="shared" si="0"/>
        <v>512.78191358659558</v>
      </c>
      <c r="S22" s="59">
        <f ca="1">AVERAGE(OFFSET($R$3,0,0,'Données projet'!$E$9+1,1))-AVERAGE(OFFSET($H$3,0,0,'Données projet'!$E$9+1,1))</f>
        <v>401.06118089678654</v>
      </c>
      <c r="T22" s="59">
        <f t="shared" si="34"/>
        <v>399.58193819355591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422.07536317537841</v>
      </c>
      <c r="AN22" s="59">
        <f ca="1">AVERAGE(OFFSET($AM$3,0,0,'Données projet'!$E$10+1,1))-AVERAGE(OFFSET($H$3,0,0,'Données projet'!$E$10+1,1))</f>
        <v>252.98248842635206</v>
      </c>
      <c r="AO22" s="59">
        <f t="shared" si="36"/>
        <v>207.11938580878308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17.5</v>
      </c>
      <c r="M23" s="12">
        <f t="array" ref="M23">INDEX(L:L,MIN(IF(ISNUMBER(L23:L219),ROW(L23:L219),"")))</f>
        <v>17.5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401.06118089678654</v>
      </c>
      <c r="T23" s="59">
        <f t="shared" si="34"/>
        <v>399.58193819355591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458.08410667645524</v>
      </c>
      <c r="AN23" s="59">
        <f ca="1">AVERAGE(OFFSET($AM$3,0,0,'Données projet'!$E$10+1,1))-AVERAGE(OFFSET($H$3,0,0,'Données projet'!$E$10+1,1))</f>
        <v>252.98248842635206</v>
      </c>
      <c r="AO23" s="59">
        <f t="shared" si="36"/>
        <v>207.11938580878308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12.5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2.1257077612234943</v>
      </c>
      <c r="AW23" s="21">
        <f>EXP(-LN(2)/2)*AW22+(1-EXP(-LN(2)/2))/(LN(2)/2)*AQ23*AT23*VLOOKUP('Données projet'!$B$10,Paramètres!$A$1:$I$89,3,0)*0.475*44/12</f>
        <v>3.3117794702649124</v>
      </c>
      <c r="AX23" s="21">
        <f t="shared" si="6"/>
        <v>5.4374872314884062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401.06118089678654</v>
      </c>
      <c r="T24" s="59">
        <f t="shared" si="34"/>
        <v>399.58193819355591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154.69999999999999</v>
      </c>
      <c r="AJ24" s="13">
        <f>AI24*VLOOKUP('Données projet'!$B$10,Paramètres!$A$1:$I$89,3,0)*VLOOKUP('Données projet'!$B$10,Paramètres!$A$1:$I$89,5,0)</f>
        <v>72.399599999999992</v>
      </c>
      <c r="AK24" s="13">
        <f t="shared" si="35"/>
        <v>20.268188832715463</v>
      </c>
      <c r="AL24" s="20">
        <f t="shared" si="4"/>
        <v>161.3963988836461</v>
      </c>
      <c r="AM24" s="59">
        <f t="shared" si="5"/>
        <v>454.72973221697941</v>
      </c>
      <c r="AN24" s="59">
        <f ca="1">AVERAGE(OFFSET($AM$3,0,0,'Données projet'!$E$10+1,1))-AVERAGE(OFFSET($H$3,0,0,'Données projet'!$E$10+1,1))</f>
        <v>252.98248842635206</v>
      </c>
      <c r="AO24" s="59">
        <f t="shared" si="36"/>
        <v>207.11938580878308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2.0675801707067252</v>
      </c>
      <c r="AW24" s="21">
        <f>EXP(-LN(2)/2)*AW23+(1-EXP(-LN(2)/2))/(LN(2)/2)*AQ24*AT24*VLOOKUP('Données projet'!$B$10,Paramètres!$A$1:$I$89,3,0)*0.475*44/12</f>
        <v>2.341781721218712</v>
      </c>
      <c r="AX24" s="21">
        <f t="shared" si="6"/>
        <v>4.4093618919254371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401.06118089678654</v>
      </c>
      <c r="T25" s="59">
        <f t="shared" si="34"/>
        <v>399.58193819355591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163.89999999999998</v>
      </c>
      <c r="AJ25" s="13">
        <f>AI25*VLOOKUP('Données projet'!$B$10,Paramètres!$A$1:$I$89,3,0)*VLOOKUP('Données projet'!$B$10,Paramètres!$A$1:$I$89,5,0)</f>
        <v>76.705199999999991</v>
      </c>
      <c r="AK25" s="13">
        <f t="shared" si="35"/>
        <v>21.32962715676695</v>
      </c>
      <c r="AL25" s="20">
        <f t="shared" si="4"/>
        <v>170.74399063136909</v>
      </c>
      <c r="AM25" s="59">
        <f t="shared" si="5"/>
        <v>464.07732396470237</v>
      </c>
      <c r="AN25" s="59">
        <f ca="1">AVERAGE(OFFSET($AM$3,0,0,'Données projet'!$E$10+1,1))-AVERAGE(OFFSET($H$3,0,0,'Données projet'!$E$10+1,1))</f>
        <v>252.98248842635206</v>
      </c>
      <c r="AO25" s="59">
        <f t="shared" si="36"/>
        <v>207.11938580878308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2.0110420822094341</v>
      </c>
      <c r="AW25" s="21">
        <f>EXP(-LN(2)/2)*AW24+(1-EXP(-LN(2)/2))/(LN(2)/2)*AQ25*AT25*VLOOKUP('Données projet'!$B$10,Paramètres!$A$1:$I$89,3,0)*0.475*44/12</f>
        <v>1.6558897351324564</v>
      </c>
      <c r="AX25" s="21">
        <f t="shared" si="6"/>
        <v>3.6669318173418906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401.06118089678654</v>
      </c>
      <c r="T26" s="59">
        <f t="shared" si="34"/>
        <v>399.58193819355591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173.09999999999997</v>
      </c>
      <c r="AJ26" s="13">
        <f>AI26*VLOOKUP('Données projet'!$B$10,Paramètres!$A$1:$I$89,3,0)*VLOOKUP('Données projet'!$B$10,Paramètres!$A$1:$I$89,5,0)</f>
        <v>81.010799999999989</v>
      </c>
      <c r="AK26" s="13">
        <f t="shared" si="35"/>
        <v>22.384149091932141</v>
      </c>
      <c r="AL26" s="20">
        <f t="shared" si="4"/>
        <v>180.07953633511511</v>
      </c>
      <c r="AM26" s="59">
        <f t="shared" si="5"/>
        <v>473.41286966844842</v>
      </c>
      <c r="AN26" s="59">
        <f ca="1">AVERAGE(OFFSET($AM$3,0,0,'Données projet'!$E$10+1,1))-AVERAGE(OFFSET($H$3,0,0,'Données projet'!$E$10+1,1))</f>
        <v>252.98248842635206</v>
      </c>
      <c r="AO26" s="59">
        <f t="shared" si="36"/>
        <v>207.11938580878308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1.9560500307153104</v>
      </c>
      <c r="AW26" s="21">
        <f>EXP(-LN(2)/2)*AW25+(1-EXP(-LN(2)/2))/(LN(2)/2)*AQ26*AT26*VLOOKUP('Données projet'!$B$10,Paramètres!$A$1:$I$89,3,0)*0.475*44/12</f>
        <v>1.170890860609356</v>
      </c>
      <c r="AX26" s="21">
        <f t="shared" si="6"/>
        <v>3.1269408913246663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401.06118089678654</v>
      </c>
      <c r="T27" s="59">
        <f t="shared" si="34"/>
        <v>399.58193819355591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182.29999999999995</v>
      </c>
      <c r="AJ27" s="13">
        <f>AI27*VLOOKUP('Données projet'!$B$10,Paramètres!$A$1:$I$89,3,0)*VLOOKUP('Données projet'!$B$10,Paramètres!$A$1:$I$89,5,0)</f>
        <v>85.316399999999987</v>
      </c>
      <c r="AK27" s="13">
        <f t="shared" si="35"/>
        <v>23.432164150529264</v>
      </c>
      <c r="AL27" s="20">
        <f t="shared" si="4"/>
        <v>189.40374922883845</v>
      </c>
      <c r="AM27" s="59">
        <f t="shared" si="5"/>
        <v>482.73708256217174</v>
      </c>
      <c r="AN27" s="59">
        <f ca="1">AVERAGE(OFFSET($AM$3,0,0,'Données projet'!$E$10+1,1))-AVERAGE(OFFSET($H$3,0,0,'Données projet'!$E$10+1,1))</f>
        <v>252.98248842635206</v>
      </c>
      <c r="AO27" s="59">
        <f t="shared" si="36"/>
        <v>207.11938580878308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1.9025617397611998</v>
      </c>
      <c r="AW27" s="21">
        <f>EXP(-LN(2)/2)*AW26+(1-EXP(-LN(2)/2))/(LN(2)/2)*AQ27*AT27*VLOOKUP('Données projet'!$B$10,Paramètres!$A$1:$I$89,3,0)*0.475*44/12</f>
        <v>0.8279448675662282</v>
      </c>
      <c r="AX27" s="21">
        <f t="shared" si="6"/>
        <v>2.730506607327428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401.06118089678654</v>
      </c>
      <c r="T28" s="59">
        <f t="shared" si="34"/>
        <v>399.58193819355591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191.49999999999994</v>
      </c>
      <c r="AJ28" s="13">
        <f>AI28*VLOOKUP('Données projet'!$B$10,Paramètres!$A$1:$I$89,3,0)*VLOOKUP('Données projet'!$B$10,Paramètres!$A$1:$I$89,5,0)</f>
        <v>89.621999999999986</v>
      </c>
      <c r="AK28" s="13">
        <f t="shared" si="35"/>
        <v>24.47403817697321</v>
      </c>
      <c r="AL28" s="20">
        <f t="shared" si="4"/>
        <v>198.71726649156165</v>
      </c>
      <c r="AM28" s="59">
        <f t="shared" si="5"/>
        <v>492.05059982489496</v>
      </c>
      <c r="AN28" s="59">
        <f ca="1">AVERAGE(OFFSET($AM$3,0,0,'Données projet'!$E$10+1,1))-AVERAGE(OFFSET($H$3,0,0,'Données projet'!$E$10+1,1))</f>
        <v>252.98248842635206</v>
      </c>
      <c r="AO28" s="59">
        <f t="shared" si="36"/>
        <v>207.11938580878308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1.8505360889360563</v>
      </c>
      <c r="AW28" s="21">
        <f>EXP(-LN(2)/2)*AW27+(1-EXP(-LN(2)/2))/(LN(2)/2)*AQ28*AT28*VLOOKUP('Données projet'!$B$10,Paramètres!$A$1:$I$89,3,0)*0.475*44/12</f>
        <v>0.58544543030467799</v>
      </c>
      <c r="AX28" s="21">
        <f t="shared" si="6"/>
        <v>2.4359815192407344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401.06118089678654</v>
      </c>
      <c r="T29" s="59">
        <f t="shared" si="34"/>
        <v>399.58193819355591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200.69999999999993</v>
      </c>
      <c r="AJ29" s="13">
        <f>AI29*VLOOKUP('Données projet'!$B$10,Paramètres!$A$1:$I$89,3,0)*VLOOKUP('Données projet'!$B$10,Paramètres!$A$1:$I$89,5,0)</f>
        <v>93.927599999999956</v>
      </c>
      <c r="AK29" s="13">
        <f t="shared" si="35"/>
        <v>25.510099877901624</v>
      </c>
      <c r="AL29" s="20">
        <f t="shared" si="4"/>
        <v>208.02066062067857</v>
      </c>
      <c r="AM29" s="59">
        <f t="shared" si="5"/>
        <v>501.35399395401191</v>
      </c>
      <c r="AN29" s="59">
        <f ca="1">AVERAGE(OFFSET($AM$3,0,0,'Données projet'!$E$10+1,1))-AVERAGE(OFFSET($H$3,0,0,'Données projet'!$E$10+1,1))</f>
        <v>252.98248842635206</v>
      </c>
      <c r="AO29" s="59">
        <f t="shared" si="36"/>
        <v>207.11938580878308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1.7999330822686364</v>
      </c>
      <c r="AW29" s="21">
        <f>EXP(-LN(2)/2)*AW28+(1-EXP(-LN(2)/2))/(LN(2)/2)*AQ29*AT29*VLOOKUP('Données projet'!$B$10,Paramètres!$A$1:$I$89,3,0)*0.475*44/12</f>
        <v>0.4139724337831141</v>
      </c>
      <c r="AX29" s="21">
        <f t="shared" si="6"/>
        <v>2.2139055160517502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401.06118089678654</v>
      </c>
      <c r="T30" s="59">
        <f t="shared" si="34"/>
        <v>399.58193819355591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209.89999999999992</v>
      </c>
      <c r="AJ30" s="13">
        <f>AI30*VLOOKUP('Données projet'!$B$10,Paramètres!$A$1:$I$89,3,0)*VLOOKUP('Données projet'!$B$10,Paramètres!$A$1:$I$89,5,0)</f>
        <v>98.233199999999954</v>
      </c>
      <c r="AK30" s="13">
        <f t="shared" si="35"/>
        <v>26.540646121089583</v>
      </c>
      <c r="AL30" s="20">
        <f t="shared" si="4"/>
        <v>217.3144486608976</v>
      </c>
      <c r="AM30" s="59">
        <f t="shared" si="5"/>
        <v>510.64778199423091</v>
      </c>
      <c r="AN30" s="59">
        <f ca="1">AVERAGE(OFFSET($AM$3,0,0,'Données projet'!$E$10+1,1))-AVERAGE(OFFSET($H$3,0,0,'Données projet'!$E$10+1,1))</f>
        <v>252.98248842635206</v>
      </c>
      <c r="AO30" s="59">
        <f t="shared" si="36"/>
        <v>207.11938580878308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1.7507138174796335</v>
      </c>
      <c r="AW30" s="21">
        <f>EXP(-LN(2)/2)*AW29+(1-EXP(-LN(2)/2))/(LN(2)/2)*AQ30*AT30*VLOOKUP('Données projet'!$B$10,Paramètres!$A$1:$I$89,3,0)*0.475*44/12</f>
        <v>0.292722715152339</v>
      </c>
      <c r="AX30" s="21">
        <f t="shared" si="6"/>
        <v>2.0434365326319726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401.06118089678654</v>
      </c>
      <c r="T31" s="59">
        <f t="shared" si="34"/>
        <v>399.58193819355591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219.09999999999991</v>
      </c>
      <c r="AJ31" s="13">
        <f>AI31*VLOOKUP('Données projet'!$B$10,Paramètres!$A$1:$I$89,3,0)*VLOOKUP('Données projet'!$B$10,Paramètres!$A$1:$I$89,5,0)</f>
        <v>102.53879999999995</v>
      </c>
      <c r="AK31" s="13">
        <f t="shared" si="35"/>
        <v>27.565946279127878</v>
      </c>
      <c r="AL31" s="20">
        <f t="shared" si="4"/>
        <v>226.59909976948094</v>
      </c>
      <c r="AM31" s="59">
        <f t="shared" si="5"/>
        <v>519.93243310281423</v>
      </c>
      <c r="AN31" s="59">
        <f ca="1">AVERAGE(OFFSET($AM$3,0,0,'Données projet'!$E$10+1,1))-AVERAGE(OFFSET($H$3,0,0,'Données projet'!$E$10+1,1))</f>
        <v>252.98248842635206</v>
      </c>
      <c r="AO31" s="59">
        <f t="shared" si="36"/>
        <v>207.11938580878308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1.7028404560746147</v>
      </c>
      <c r="AW31" s="21">
        <f>EXP(-LN(2)/2)*AW30+(1-EXP(-LN(2)/2))/(LN(2)/2)*AQ31*AT31*VLOOKUP('Données projet'!$B$10,Paramètres!$A$1:$I$89,3,0)*0.475*44/12</f>
        <v>0.20698621689155705</v>
      </c>
      <c r="AX31" s="21">
        <f t="shared" si="6"/>
        <v>1.9098266729661717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401.06118089678654</v>
      </c>
      <c r="T32" s="59">
        <f t="shared" si="34"/>
        <v>399.58193819355591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228.2999999999999</v>
      </c>
      <c r="AJ32" s="13">
        <f>AI32*VLOOKUP('Données projet'!$B$10,Paramètres!$A$1:$I$89,3,0)*VLOOKUP('Données projet'!$B$10,Paramètres!$A$1:$I$89,5,0)</f>
        <v>106.84439999999995</v>
      </c>
      <c r="AK32" s="13">
        <f t="shared" si="35"/>
        <v>28.586245822975961</v>
      </c>
      <c r="AL32" s="20">
        <f t="shared" si="4"/>
        <v>235.87504147501636</v>
      </c>
      <c r="AM32" s="59">
        <f t="shared" si="5"/>
        <v>529.20837480834962</v>
      </c>
      <c r="AN32" s="59">
        <f ca="1">AVERAGE(OFFSET($AM$3,0,0,'Données projet'!$E$10+1,1))-AVERAGE(OFFSET($H$3,0,0,'Données projet'!$E$10+1,1))</f>
        <v>252.98248842635206</v>
      </c>
      <c r="AO32" s="59">
        <f t="shared" si="36"/>
        <v>207.11938580878308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1.6562761942547666</v>
      </c>
      <c r="AW32" s="21">
        <f>EXP(-LN(2)/2)*AW31+(1-EXP(-LN(2)/2))/(LN(2)/2)*AQ32*AT32*VLOOKUP('Données projet'!$B$10,Paramètres!$A$1:$I$89,3,0)*0.475*44/12</f>
        <v>0.1463613575761695</v>
      </c>
      <c r="AX32" s="21">
        <f t="shared" si="6"/>
        <v>1.8026375518309361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401.06118089678654</v>
      </c>
      <c r="T33" s="59">
        <f t="shared" si="34"/>
        <v>399.58193819355591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237.5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237.49999999999989</v>
      </c>
      <c r="AJ33" s="13">
        <f>AI33*VLOOKUP('Données projet'!$B$10,Paramètres!$A$1:$I$89,3,0)*VLOOKUP('Données projet'!$B$10,Paramètres!$A$1:$I$89,5,0)</f>
        <v>111.14999999999995</v>
      </c>
      <c r="AK33" s="13">
        <f t="shared" si="35"/>
        <v>29.601769319956546</v>
      </c>
      <c r="AL33" s="20">
        <f t="shared" si="4"/>
        <v>245.14266489892427</v>
      </c>
      <c r="AM33" s="59">
        <f t="shared" si="5"/>
        <v>538.47599823225755</v>
      </c>
      <c r="AN33" s="59">
        <f ca="1">AVERAGE(OFFSET($AM$3,0,0,'Données projet'!$E$10+1,1))-AVERAGE(OFFSET($H$3,0,0,'Données projet'!$E$10+1,1))</f>
        <v>252.98248842635206</v>
      </c>
      <c r="AO33" s="59">
        <f t="shared" si="36"/>
        <v>207.11938580878308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45.9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3.1345816018206638</v>
      </c>
      <c r="AV33" s="21">
        <f>EXP(-LN(2)/25)*AV32+(1-EXP(-LN(2)/25))/(LN(2)/25)*Calculateur!AQ33*Calculateur!AS33*VLOOKUP('Données projet'!$B$10,Paramètres!$A$1:$I$89,3,0)*0.475*44/12</f>
        <v>7.8554643539932272</v>
      </c>
      <c r="AW33" s="21">
        <f>EXP(-LN(2)/2)*AW32+(1-EXP(-LN(2)/2))/(LN(2)/2)*AQ33*AT33*VLOOKUP('Données projet'!$B$10,Paramètres!$A$1:$I$89,3,0)*0.475*44/12</f>
        <v>9.8321764802959866</v>
      </c>
      <c r="AX33" s="21">
        <f t="shared" si="6"/>
        <v>20.822222436109875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401.06118089678654</v>
      </c>
      <c r="T34" s="59">
        <f t="shared" si="34"/>
        <v>399.58193819355591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10.000000000000004</v>
      </c>
      <c r="AI34" s="13">
        <f>IF('Données projet'!$A$62&gt;35,AI33+AH34-AQ33,IF(A34&lt;'Données projet'!$A$62,$AF$205^A34,IF(A34='Données projet'!$A$62,'Données projet'!$B$62,AI33+AH34-AQ33)))</f>
        <v>201.59999999999988</v>
      </c>
      <c r="AJ34" s="13">
        <f>AI34*VLOOKUP('Données projet'!$B$10,Paramètres!$A$1:$I$89,3,0)*VLOOKUP('Données projet'!$B$10,Paramètres!$A$1:$I$89,5,0)</f>
        <v>94.34879999999994</v>
      </c>
      <c r="AK34" s="13">
        <f t="shared" si="35"/>
        <v>25.611153022386439</v>
      </c>
      <c r="AL34" s="20">
        <f t="shared" si="4"/>
        <v>208.93025151398959</v>
      </c>
      <c r="AM34" s="59">
        <f t="shared" si="5"/>
        <v>502.26358484732293</v>
      </c>
      <c r="AN34" s="59">
        <f ca="1">AVERAGE(OFFSET($AM$3,0,0,'Données projet'!$E$10+1,1))-AVERAGE(OFFSET($H$3,0,0,'Données projet'!$E$10+1,1))</f>
        <v>252.98248842635206</v>
      </c>
      <c r="AO34" s="59">
        <f t="shared" si="36"/>
        <v>207.11938580878308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3.0731143685149527</v>
      </c>
      <c r="AV34" s="21">
        <f>EXP(-LN(2)/25)*AV33+(1-EXP(-LN(2)/25))/(LN(2)/25)*Calculateur!AQ34*Calculateur!AS34*VLOOKUP('Données projet'!$B$10,Paramètres!$A$1:$I$89,3,0)*0.475*44/12</f>
        <v>7.640656268132366</v>
      </c>
      <c r="AW34" s="21">
        <f>EXP(-LN(2)/2)*AW33+(1-EXP(-LN(2)/2))/(LN(2)/2)*AQ34*AT34*VLOOKUP('Données projet'!$B$10,Paramètres!$A$1:$I$89,3,0)*0.475*44/12</f>
        <v>6.9523986630401735</v>
      </c>
      <c r="AX34" s="21">
        <f t="shared" si="6"/>
        <v>17.666169299687493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401.06118089678654</v>
      </c>
      <c r="T35" s="59">
        <f t="shared" si="34"/>
        <v>399.58193819355591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10.000000000000004</v>
      </c>
      <c r="AI35" s="13">
        <f>IF('Données projet'!$A$62&gt;35,AI34+AH35-AQ34,IF(A35&lt;'Données projet'!$A$62,$AF$205^A35,IF(A35='Données projet'!$A$62,'Données projet'!$B$62,AI34+AH35-AQ34)))</f>
        <v>211.59999999999988</v>
      </c>
      <c r="AJ35" s="13">
        <f>AI35*VLOOKUP('Données projet'!$B$10,Paramètres!$A$1:$I$89,3,0)*VLOOKUP('Données projet'!$B$10,Paramètres!$A$1:$I$89,5,0)</f>
        <v>99.028799999999947</v>
      </c>
      <c r="AK35" s="13">
        <f t="shared" si="35"/>
        <v>26.730491283721712</v>
      </c>
      <c r="AL35" s="20">
        <f t="shared" si="4"/>
        <v>219.0307656524819</v>
      </c>
      <c r="AM35" s="59">
        <f t="shared" si="5"/>
        <v>512.36409898581519</v>
      </c>
      <c r="AN35" s="59">
        <f ca="1">AVERAGE(OFFSET($AM$3,0,0,'Données projet'!$E$10+1,1))-AVERAGE(OFFSET($H$3,0,0,'Données projet'!$E$10+1,1))</f>
        <v>252.98248842635206</v>
      </c>
      <c r="AO35" s="59">
        <f t="shared" si="36"/>
        <v>207.11938580878308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3.0128524701630561</v>
      </c>
      <c r="AV35" s="21">
        <f>EXP(-LN(2)/25)*AV34+(1-EXP(-LN(2)/25))/(LN(2)/25)*Calculateur!AQ35*Calculateur!AS35*VLOOKUP('Données projet'!$B$10,Paramètres!$A$1:$I$89,3,0)*0.475*44/12</f>
        <v>7.4317221206756363</v>
      </c>
      <c r="AW35" s="21">
        <f>EXP(-LN(2)/2)*AW34+(1-EXP(-LN(2)/2))/(LN(2)/2)*AQ35*AT35*VLOOKUP('Données projet'!$B$10,Paramètres!$A$1:$I$89,3,0)*0.475*44/12</f>
        <v>4.9160882401479942</v>
      </c>
      <c r="AX35" s="21">
        <f t="shared" si="6"/>
        <v>15.360662830986687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401.06118089678654</v>
      </c>
      <c r="T36" s="59">
        <f t="shared" si="34"/>
        <v>399.58193819355591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10.000000000000004</v>
      </c>
      <c r="AI36" s="13">
        <f>IF('Données projet'!$A$62&gt;35,AI35+AH36-AQ35,IF(A36&lt;'Données projet'!$A$62,$AF$205^A36,IF(A36='Données projet'!$A$62,'Données projet'!$B$62,AI35+AH36-AQ35)))</f>
        <v>221.59999999999988</v>
      </c>
      <c r="AJ36" s="13">
        <f>AI36*VLOOKUP('Données projet'!$B$10,Paramètres!$A$1:$I$89,3,0)*VLOOKUP('Données projet'!$B$10,Paramètres!$A$1:$I$89,5,0)</f>
        <v>103.70879999999994</v>
      </c>
      <c r="AK36" s="13">
        <f t="shared" si="35"/>
        <v>27.84368661708951</v>
      </c>
      <c r="AL36" s="20">
        <f t="shared" si="4"/>
        <v>229.12058085809744</v>
      </c>
      <c r="AM36" s="59">
        <f t="shared" si="5"/>
        <v>522.45391419143073</v>
      </c>
      <c r="AN36" s="59">
        <f ca="1">AVERAGE(OFFSET($AM$3,0,0,'Données projet'!$E$10+1,1))-AVERAGE(OFFSET($H$3,0,0,'Données projet'!$E$10+1,1))</f>
        <v>252.98248842635206</v>
      </c>
      <c r="AO36" s="59">
        <f t="shared" si="36"/>
        <v>207.11938580878308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2.9537722708817116</v>
      </c>
      <c r="AV36" s="21">
        <f>EXP(-LN(2)/25)*AV35+(1-EXP(-LN(2)/25))/(LN(2)/25)*Calculateur!AQ36*Calculateur!AS36*VLOOKUP('Données projet'!$B$10,Paramètres!$A$1:$I$89,3,0)*0.475*44/12</f>
        <v>7.2285012884684798</v>
      </c>
      <c r="AW36" s="21">
        <f>EXP(-LN(2)/2)*AW35+(1-EXP(-LN(2)/2))/(LN(2)/2)*AQ36*AT36*VLOOKUP('Données projet'!$B$10,Paramètres!$A$1:$I$89,3,0)*0.475*44/12</f>
        <v>3.4761993315200876</v>
      </c>
      <c r="AX36" s="21">
        <f t="shared" si="6"/>
        <v>13.658472890870279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401.06118089678654</v>
      </c>
      <c r="T37" s="59">
        <f t="shared" si="34"/>
        <v>399.58193819355591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10.000000000000004</v>
      </c>
      <c r="AI37" s="13">
        <f>IF('Données projet'!$A$62&gt;35,AI36+AH37-AQ36,IF(A37&lt;'Données projet'!$A$62,$AF$205^A37,IF(A37='Données projet'!$A$62,'Données projet'!$B$62,AI36+AH37-AQ36)))</f>
        <v>231.59999999999988</v>
      </c>
      <c r="AJ37" s="13">
        <f>AI37*VLOOKUP('Données projet'!$B$10,Paramètres!$A$1:$I$89,3,0)*VLOOKUP('Données projet'!$B$10,Paramètres!$A$1:$I$89,5,0)</f>
        <v>108.38879999999993</v>
      </c>
      <c r="AK37" s="13">
        <f t="shared" si="35"/>
        <v>28.951047900249165</v>
      </c>
      <c r="AL37" s="20">
        <f t="shared" si="4"/>
        <v>239.20023509293381</v>
      </c>
      <c r="AM37" s="59">
        <f t="shared" si="5"/>
        <v>532.53356842626715</v>
      </c>
      <c r="AN37" s="59">
        <f ca="1">AVERAGE(OFFSET($AM$3,0,0,'Données projet'!$E$10+1,1))-AVERAGE(OFFSET($H$3,0,0,'Données projet'!$E$10+1,1))</f>
        <v>252.98248842635206</v>
      </c>
      <c r="AO37" s="59">
        <f t="shared" si="36"/>
        <v>207.11938580878308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2.895850598272911</v>
      </c>
      <c r="AV37" s="21">
        <f>EXP(-LN(2)/25)*AV36+(1-EXP(-LN(2)/25))/(LN(2)/25)*Calculateur!AQ37*Calculateur!AS37*VLOOKUP('Données projet'!$B$10,Paramètres!$A$1:$I$89,3,0)*0.475*44/12</f>
        <v>7.0308375406049475</v>
      </c>
      <c r="AW37" s="21">
        <f>EXP(-LN(2)/2)*AW36+(1-EXP(-LN(2)/2))/(LN(2)/2)*AQ37*AT37*VLOOKUP('Données projet'!$B$10,Paramètres!$A$1:$I$89,3,0)*0.475*44/12</f>
        <v>2.4580441200739975</v>
      </c>
      <c r="AX37" s="21">
        <f t="shared" si="6"/>
        <v>12.384732258951857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401.06118089678654</v>
      </c>
      <c r="T38" s="59">
        <f t="shared" si="34"/>
        <v>399.58193819355591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10.000000000000004</v>
      </c>
      <c r="AI38" s="13">
        <f>IF('Données projet'!$A$62&gt;35,AI37+AH38-AQ37,IF(A38&lt;'Données projet'!$A$62,$AF$205^A38,IF(A38='Données projet'!$A$62,'Données projet'!$B$62,AI37+AH38-AQ37)))</f>
        <v>241.59999999999988</v>
      </c>
      <c r="AJ38" s="13">
        <f>AI38*VLOOKUP('Données projet'!$B$10,Paramètres!$A$1:$I$89,3,0)*VLOOKUP('Données projet'!$B$10,Paramètres!$A$1:$I$89,5,0)</f>
        <v>113.06879999999995</v>
      </c>
      <c r="AK38" s="13">
        <f t="shared" si="35"/>
        <v>30.052855829090237</v>
      </c>
      <c r="AL38" s="20">
        <f t="shared" si="4"/>
        <v>249.27021723566543</v>
      </c>
      <c r="AM38" s="59">
        <f t="shared" si="5"/>
        <v>542.6035505689988</v>
      </c>
      <c r="AN38" s="59">
        <f ca="1">AVERAGE(OFFSET($AM$3,0,0,'Données projet'!$E$10+1,1))-AVERAGE(OFFSET($H$3,0,0,'Données projet'!$E$10+1,1))</f>
        <v>252.98248842635206</v>
      </c>
      <c r="AO38" s="59">
        <f t="shared" si="36"/>
        <v>207.11938580878308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2.8390647343352371</v>
      </c>
      <c r="AV38" s="21">
        <f>EXP(-LN(2)/25)*AV37+(1-EXP(-LN(2)/25))/(LN(2)/25)*Calculateur!AQ38*Calculateur!AS38*VLOOKUP('Données projet'!$B$10,Paramètres!$A$1:$I$89,3,0)*0.475*44/12</f>
        <v>6.8385789183214278</v>
      </c>
      <c r="AW38" s="21">
        <f>EXP(-LN(2)/2)*AW37+(1-EXP(-LN(2)/2))/(LN(2)/2)*AQ38*AT38*VLOOKUP('Données projet'!$B$10,Paramètres!$A$1:$I$89,3,0)*0.475*44/12</f>
        <v>1.738099665760044</v>
      </c>
      <c r="AX38" s="21">
        <f t="shared" si="6"/>
        <v>11.415743318416709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401.06118089678654</v>
      </c>
      <c r="T39" s="59">
        <f t="shared" si="34"/>
        <v>399.58193819355591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10.000000000000004</v>
      </c>
      <c r="AI39" s="13">
        <f>IF('Données projet'!$A$62&gt;35,AI38+AH39-AQ38,IF(A39&lt;'Données projet'!$A$62,$AF$205^A39,IF(A39='Données projet'!$A$62,'Données projet'!$B$62,AI38+AH39-AQ38)))</f>
        <v>251.59999999999988</v>
      </c>
      <c r="AJ39" s="13">
        <f>AI39*VLOOKUP('Données projet'!$B$10,Paramètres!$A$1:$I$89,3,0)*VLOOKUP('Données projet'!$B$10,Paramètres!$A$1:$I$89,5,0)</f>
        <v>117.74879999999995</v>
      </c>
      <c r="AK39" s="13">
        <f t="shared" si="35"/>
        <v>31.149366548366</v>
      </c>
      <c r="AL39" s="20">
        <f t="shared" si="4"/>
        <v>259.33097340507067</v>
      </c>
      <c r="AM39" s="59">
        <f t="shared" si="5"/>
        <v>552.66430673840398</v>
      </c>
      <c r="AN39" s="59">
        <f ca="1">AVERAGE(OFFSET($AM$3,0,0,'Données projet'!$E$10+1,1))-AVERAGE(OFFSET($H$3,0,0,'Données projet'!$E$10+1,1))</f>
        <v>252.98248842635206</v>
      </c>
      <c r="AO39" s="59">
        <f t="shared" si="36"/>
        <v>207.11938580878308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2.7833924065534239</v>
      </c>
      <c r="AV39" s="21">
        <f>EXP(-LN(2)/25)*AV38+(1-EXP(-LN(2)/25))/(LN(2)/25)*Calculateur!AQ39*Calculateur!AS39*VLOOKUP('Données projet'!$B$10,Paramètres!$A$1:$I$89,3,0)*0.475*44/12</f>
        <v>6.6515776181746933</v>
      </c>
      <c r="AW39" s="21">
        <f>EXP(-LN(2)/2)*AW38+(1-EXP(-LN(2)/2))/(LN(2)/2)*AQ39*AT39*VLOOKUP('Données projet'!$B$10,Paramètres!$A$1:$I$89,3,0)*0.475*44/12</f>
        <v>1.229022060036999</v>
      </c>
      <c r="AX39" s="21">
        <f t="shared" si="6"/>
        <v>10.663992084765116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401.06118089678654</v>
      </c>
      <c r="T40" s="59">
        <f t="shared" si="34"/>
        <v>399.58193819355591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10.000000000000004</v>
      </c>
      <c r="AI40" s="13">
        <f>IF('Données projet'!$A$62&gt;35,AI39+AH40-AQ39,IF(A40&lt;'Données projet'!$A$62,$AF$205^A40,IF(A40='Données projet'!$A$62,'Données projet'!$B$62,AI39+AH40-AQ39)))</f>
        <v>261.59999999999991</v>
      </c>
      <c r="AJ40" s="13">
        <f>AI40*VLOOKUP('Données projet'!$B$10,Paramètres!$A$1:$I$89,3,0)*VLOOKUP('Données projet'!$B$10,Paramètres!$A$1:$I$89,5,0)</f>
        <v>122.42879999999995</v>
      </c>
      <c r="AK40" s="13">
        <f t="shared" si="35"/>
        <v>32.240814688958388</v>
      </c>
      <c r="AL40" s="20">
        <f t="shared" si="4"/>
        <v>269.38291224993577</v>
      </c>
      <c r="AM40" s="59">
        <f t="shared" si="5"/>
        <v>562.71624558326903</v>
      </c>
      <c r="AN40" s="59">
        <f ca="1">AVERAGE(OFFSET($AM$3,0,0,'Données projet'!$E$10+1,1))-AVERAGE(OFFSET($H$3,0,0,'Données projet'!$E$10+1,1))</f>
        <v>252.98248842635206</v>
      </c>
      <c r="AO40" s="59">
        <f t="shared" si="36"/>
        <v>207.11938580878308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2.7288117791626449</v>
      </c>
      <c r="AV40" s="21">
        <f>EXP(-LN(2)/25)*AV39+(1-EXP(-LN(2)/25))/(LN(2)/25)*Calculateur!AQ40*Calculateur!AS40*VLOOKUP('Données projet'!$B$10,Paramètres!$A$1:$I$89,3,0)*0.475*44/12</f>
        <v>6.4696898784144414</v>
      </c>
      <c r="AW40" s="21">
        <f>EXP(-LN(2)/2)*AW39+(1-EXP(-LN(2)/2))/(LN(2)/2)*AQ40*AT40*VLOOKUP('Données projet'!$B$10,Paramètres!$A$1:$I$89,3,0)*0.475*44/12</f>
        <v>0.86904983288002213</v>
      </c>
      <c r="AX40" s="21">
        <f t="shared" si="6"/>
        <v>10.067551490457108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401.06118089678654</v>
      </c>
      <c r="T41" s="59">
        <f t="shared" si="34"/>
        <v>399.58193819355591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10.000000000000004</v>
      </c>
      <c r="AI41" s="13">
        <f>IF('Données projet'!$A$62&gt;35,AI40+AH41-AQ40,IF(A41&lt;'Données projet'!$A$62,$AF$205^A41,IF(A41='Données projet'!$A$62,'Données projet'!$B$62,AI40+AH41-AQ40)))</f>
        <v>271.59999999999991</v>
      </c>
      <c r="AJ41" s="13">
        <f>AI41*VLOOKUP('Données projet'!$B$10,Paramètres!$A$1:$I$89,3,0)*VLOOKUP('Données projet'!$B$10,Paramètres!$A$1:$I$89,5,0)</f>
        <v>127.10879999999996</v>
      </c>
      <c r="AK41" s="13">
        <f t="shared" si="35"/>
        <v>33.32741592766736</v>
      </c>
      <c r="AL41" s="20">
        <f t="shared" si="4"/>
        <v>279.4264094073539</v>
      </c>
      <c r="AM41" s="59">
        <f t="shared" si="5"/>
        <v>572.75974274068722</v>
      </c>
      <c r="AN41" s="59">
        <f ca="1">AVERAGE(OFFSET($AM$3,0,0,'Données projet'!$E$10+1,1))-AVERAGE(OFFSET($H$3,0,0,'Données projet'!$E$10+1,1))</f>
        <v>252.98248842635206</v>
      </c>
      <c r="AO41" s="59">
        <f t="shared" si="36"/>
        <v>207.11938580878308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2.6753014445841039</v>
      </c>
      <c r="AV41" s="21">
        <f>EXP(-LN(2)/25)*AV40+(1-EXP(-LN(2)/25))/(LN(2)/25)*Calculateur!AQ41*Calculateur!AS41*VLOOKUP('Données projet'!$B$10,Paramètres!$A$1:$I$89,3,0)*0.475*44/12</f>
        <v>6.2927758684629946</v>
      </c>
      <c r="AW41" s="21">
        <f>EXP(-LN(2)/2)*AW40+(1-EXP(-LN(2)/2))/(LN(2)/2)*AQ41*AT41*VLOOKUP('Données projet'!$B$10,Paramètres!$A$1:$I$89,3,0)*0.475*44/12</f>
        <v>0.61451103001849949</v>
      </c>
      <c r="AX41" s="21">
        <f t="shared" si="6"/>
        <v>9.5825883430655985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401.06118089678654</v>
      </c>
      <c r="T42" s="59">
        <f t="shared" si="34"/>
        <v>399.58193819355591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10.000000000000004</v>
      </c>
      <c r="AI42" s="13">
        <f>IF('Données projet'!$A$62&gt;35,AI41+AH42-AQ41,IF(A42&lt;'Données projet'!$A$62,$AF$205^A42,IF(A42='Données projet'!$A$62,'Données projet'!$B$62,AI41+AH42-AQ41)))</f>
        <v>281.59999999999991</v>
      </c>
      <c r="AJ42" s="13">
        <f>AI42*VLOOKUP('Données projet'!$B$10,Paramètres!$A$1:$I$89,3,0)*VLOOKUP('Données projet'!$B$10,Paramètres!$A$1:$I$89,5,0)</f>
        <v>131.78879999999995</v>
      </c>
      <c r="AK42" s="13">
        <f t="shared" si="35"/>
        <v>34.409369159409614</v>
      </c>
      <c r="AL42" s="20">
        <f t="shared" si="4"/>
        <v>289.46181128597163</v>
      </c>
      <c r="AM42" s="59">
        <f t="shared" si="5"/>
        <v>582.79514461930489</v>
      </c>
      <c r="AN42" s="59">
        <f ca="1">AVERAGE(OFFSET($AM$3,0,0,'Données projet'!$E$10+1,1))-AVERAGE(OFFSET($H$3,0,0,'Données projet'!$E$10+1,1))</f>
        <v>252.98248842635206</v>
      </c>
      <c r="AO42" s="59">
        <f t="shared" si="36"/>
        <v>207.11938580878308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2.6228404150285667</v>
      </c>
      <c r="AV42" s="21">
        <f>EXP(-LN(2)/25)*AV41+(1-EXP(-LN(2)/25))/(LN(2)/25)*Calculateur!AQ42*Calculateur!AS42*VLOOKUP('Données projet'!$B$10,Paramètres!$A$1:$I$89,3,0)*0.475*44/12</f>
        <v>6.1206995814171732</v>
      </c>
      <c r="AW42" s="21">
        <f>EXP(-LN(2)/2)*AW41+(1-EXP(-LN(2)/2))/(LN(2)/2)*AQ42*AT42*VLOOKUP('Données projet'!$B$10,Paramètres!$A$1:$I$89,3,0)*0.475*44/12</f>
        <v>0.43452491644001107</v>
      </c>
      <c r="AX42" s="21">
        <f t="shared" si="6"/>
        <v>9.1780649128857519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401.06118089678654</v>
      </c>
      <c r="T43" s="59">
        <f t="shared" si="34"/>
        <v>399.58193819355591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291.60000000000002</v>
      </c>
      <c r="AG43" s="12">
        <f>VLOOKUP(A43,'Données projet'!$A$61:$I$81,9,0)</f>
        <v>10.000000000000004</v>
      </c>
      <c r="AH43" s="12">
        <f t="array" ref="AH43">INDEX(AG:AG,MIN(IF(ISNUMBER(AG43:AG239),ROW(AG43:AG239),"")))</f>
        <v>10.000000000000004</v>
      </c>
      <c r="AI43" s="13">
        <f>IF('Données projet'!$A$62&gt;35,AI42+AH43-AQ42,IF(A43&lt;'Données projet'!$A$62,$AF$205^A43,IF(A43='Données projet'!$A$62,'Données projet'!$B$62,AI42+AH43-AQ42)))</f>
        <v>291.59999999999991</v>
      </c>
      <c r="AJ43" s="13">
        <f>AI43*VLOOKUP('Données projet'!$B$10,Paramètres!$A$1:$I$89,3,0)*VLOOKUP('Données projet'!$B$10,Paramètres!$A$1:$I$89,5,0)</f>
        <v>136.46879999999996</v>
      </c>
      <c r="AK43" s="13">
        <f t="shared" si="35"/>
        <v>35.486858352195874</v>
      </c>
      <c r="AL43" s="20">
        <f t="shared" si="4"/>
        <v>299.48943829674107</v>
      </c>
      <c r="AM43" s="59">
        <f t="shared" si="5"/>
        <v>592.82277163007439</v>
      </c>
      <c r="AN43" s="59">
        <f ca="1">AVERAGE(OFFSET($AM$3,0,0,'Données projet'!$E$10+1,1))-AVERAGE(OFFSET($H$3,0,0,'Données projet'!$E$10+1,1))</f>
        <v>252.98248842635206</v>
      </c>
      <c r="AO43" s="59">
        <f t="shared" si="36"/>
        <v>207.11938580878308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83.4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2.5714081142645449</v>
      </c>
      <c r="AV43" s="21">
        <f>EXP(-LN(2)/25)*AV42+(1-EXP(-LN(2)/25))/(LN(2)/25)*Calculateur!AQ43*Calculateur!AS43*VLOOKUP('Données projet'!$B$10,Paramètres!$A$1:$I$89,3,0)*0.475*44/12</f>
        <v>5.9533287294897184</v>
      </c>
      <c r="AW43" s="21">
        <f>EXP(-LN(2)/2)*AW42+(1-EXP(-LN(2)/2))/(LN(2)/2)*AQ43*AT43*VLOOKUP('Données projet'!$B$10,Paramètres!$A$1:$I$89,3,0)*0.475*44/12</f>
        <v>0.30725551500924975</v>
      </c>
      <c r="AX43" s="21">
        <f t="shared" si="6"/>
        <v>8.8319923587635127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401.06118089678654</v>
      </c>
      <c r="T44" s="59">
        <f t="shared" si="34"/>
        <v>399.58193819355591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11.499999999999996</v>
      </c>
      <c r="AI44" s="13">
        <f>IF('Données projet'!$A$62&gt;35,AI43+AH44-AQ43,IF(A44&lt;'Données projet'!$A$62,$AF$205^A44,IF(A44='Données projet'!$A$62,'Données projet'!$B$62,AI43+AH44-AQ43)))</f>
        <v>219.6999999999999</v>
      </c>
      <c r="AJ44" s="13">
        <f>AI44*VLOOKUP('Données projet'!$B$10,Paramètres!$A$1:$I$89,3,0)*VLOOKUP('Données projet'!$B$10,Paramètres!$A$1:$I$89,5,0)</f>
        <v>102.81959999999995</v>
      </c>
      <c r="AK44" s="13">
        <f t="shared" si="35"/>
        <v>27.632637448562328</v>
      </c>
      <c r="AL44" s="20">
        <f t="shared" si="4"/>
        <v>227.20431355624598</v>
      </c>
      <c r="AM44" s="59">
        <f t="shared" si="5"/>
        <v>520.53764688957926</v>
      </c>
      <c r="AN44" s="59">
        <f ca="1">AVERAGE(OFFSET($AM$3,0,0,'Données projet'!$E$10+1,1))-AVERAGE(OFFSET($H$3,0,0,'Données projet'!$E$10+1,1))</f>
        <v>252.98248842635206</v>
      </c>
      <c r="AO44" s="59">
        <f t="shared" si="36"/>
        <v>207.11938580878308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2.5209843695478997</v>
      </c>
      <c r="AV44" s="21">
        <f>EXP(-LN(2)/25)*AV43+(1-EXP(-LN(2)/25))/(LN(2)/25)*Calculateur!AQ44*Calculateur!AS44*VLOOKUP('Données projet'!$B$10,Paramètres!$A$1:$I$89,3,0)*0.475*44/12</f>
        <v>5.7905346423098703</v>
      </c>
      <c r="AW44" s="21">
        <f>EXP(-LN(2)/2)*AW43+(1-EXP(-LN(2)/2))/(LN(2)/2)*AQ44*AT44*VLOOKUP('Données projet'!$B$10,Paramètres!$A$1:$I$89,3,0)*0.475*44/12</f>
        <v>0.21726245822000553</v>
      </c>
      <c r="AX44" s="21">
        <f t="shared" si="6"/>
        <v>8.5287814700777762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401.06118089678654</v>
      </c>
      <c r="T45" s="59">
        <f t="shared" si="34"/>
        <v>399.58193819355591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11.499999999999996</v>
      </c>
      <c r="AI45" s="13">
        <f>IF('Données projet'!$A$62&gt;35,AI44+AH45-AQ44,IF(A45&lt;'Données projet'!$A$62,$AF$205^A45,IF(A45='Données projet'!$A$62,'Données projet'!$B$62,AI44+AH45-AQ44)))</f>
        <v>231.1999999999999</v>
      </c>
      <c r="AJ45" s="13">
        <f>AI45*VLOOKUP('Données projet'!$B$10,Paramètres!$A$1:$I$89,3,0)*VLOOKUP('Données projet'!$B$10,Paramètres!$A$1:$I$89,5,0)</f>
        <v>108.20159999999994</v>
      </c>
      <c r="AK45" s="13">
        <f t="shared" si="35"/>
        <v>28.906861857161235</v>
      </c>
      <c r="AL45" s="20">
        <f t="shared" si="4"/>
        <v>238.79723773455569</v>
      </c>
      <c r="AM45" s="59">
        <f t="shared" si="5"/>
        <v>532.13057106788904</v>
      </c>
      <c r="AN45" s="59">
        <f ca="1">AVERAGE(OFFSET($AM$3,0,0,'Données projet'!$E$10+1,1))-AVERAGE(OFFSET($H$3,0,0,'Données projet'!$E$10+1,1))</f>
        <v>252.98248842635206</v>
      </c>
      <c r="AO45" s="59">
        <f t="shared" si="36"/>
        <v>207.11938580878308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2.4715494037097008</v>
      </c>
      <c r="AV45" s="21">
        <f>EXP(-LN(2)/25)*AV44+(1-EXP(-LN(2)/25))/(LN(2)/25)*Calculateur!AQ45*Calculateur!AS45*VLOOKUP('Données projet'!$B$10,Paramètres!$A$1:$I$89,3,0)*0.475*44/12</f>
        <v>5.6321921680049245</v>
      </c>
      <c r="AW45" s="21">
        <f>EXP(-LN(2)/2)*AW44+(1-EXP(-LN(2)/2))/(LN(2)/2)*AQ45*AT45*VLOOKUP('Données projet'!$B$10,Paramètres!$A$1:$I$89,3,0)*0.475*44/12</f>
        <v>0.15362775750462487</v>
      </c>
      <c r="AX45" s="21">
        <f t="shared" si="6"/>
        <v>8.2573693292192498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401.06118089678654</v>
      </c>
      <c r="T46" s="59">
        <f t="shared" si="34"/>
        <v>399.58193819355591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11.499999999999996</v>
      </c>
      <c r="AI46" s="13">
        <f>IF('Données projet'!$A$62&gt;35,AI45+AH46-AQ45,IF(A46&lt;'Données projet'!$A$62,$AF$205^A46,IF(A46='Données projet'!$A$62,'Données projet'!$B$62,AI45+AH46-AQ45)))</f>
        <v>242.6999999999999</v>
      </c>
      <c r="AJ46" s="13">
        <f>AI46*VLOOKUP('Données projet'!$B$10,Paramètres!$A$1:$I$89,3,0)*VLOOKUP('Données projet'!$B$10,Paramètres!$A$1:$I$89,5,0)</f>
        <v>113.58359999999995</v>
      </c>
      <c r="AK46" s="13">
        <f t="shared" si="35"/>
        <v>30.17372688298952</v>
      </c>
      <c r="AL46" s="20">
        <f t="shared" si="4"/>
        <v>250.37734432120666</v>
      </c>
      <c r="AM46" s="59">
        <f t="shared" si="5"/>
        <v>543.71067765453995</v>
      </c>
      <c r="AN46" s="59">
        <f ca="1">AVERAGE(OFFSET($AM$3,0,0,'Données projet'!$E$10+1,1))-AVERAGE(OFFSET($H$3,0,0,'Données projet'!$E$10+1,1))</f>
        <v>252.98248842635206</v>
      </c>
      <c r="AO46" s="59">
        <f t="shared" si="36"/>
        <v>207.11938580878308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2.4230838273992368</v>
      </c>
      <c r="AV46" s="21">
        <f>EXP(-LN(2)/25)*AV45+(1-EXP(-LN(2)/25))/(LN(2)/25)*Calculateur!AQ46*Calculateur!AS46*VLOOKUP('Données projet'!$B$10,Paramètres!$A$1:$I$89,3,0)*0.475*44/12</f>
        <v>5.4781795769867161</v>
      </c>
      <c r="AW46" s="21">
        <f>EXP(-LN(2)/2)*AW45+(1-EXP(-LN(2)/2))/(LN(2)/2)*AQ46*AT46*VLOOKUP('Données projet'!$B$10,Paramètres!$A$1:$I$89,3,0)*0.475*44/12</f>
        <v>0.10863122911000277</v>
      </c>
      <c r="AX46" s="21">
        <f t="shared" si="6"/>
        <v>8.0098946334959553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401.06118089678654</v>
      </c>
      <c r="T47" s="59">
        <f t="shared" si="34"/>
        <v>399.58193819355591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11.499999999999996</v>
      </c>
      <c r="AI47" s="13">
        <f>IF('Données projet'!$A$62&gt;35,AI46+AH47-AQ46,IF(A47&lt;'Données projet'!$A$62,$AF$205^A47,IF(A47='Données projet'!$A$62,'Données projet'!$B$62,AI46+AH47-AQ46)))</f>
        <v>254.1999999999999</v>
      </c>
      <c r="AJ47" s="13">
        <f>AI47*VLOOKUP('Données projet'!$B$10,Paramètres!$A$1:$I$89,3,0)*VLOOKUP('Données projet'!$B$10,Paramètres!$A$1:$I$89,5,0)</f>
        <v>118.96559999999995</v>
      </c>
      <c r="AK47" s="13">
        <f t="shared" si="35"/>
        <v>31.433621056182272</v>
      </c>
      <c r="AL47" s="20">
        <f t="shared" si="4"/>
        <v>261.945310006184</v>
      </c>
      <c r="AM47" s="59">
        <f t="shared" si="5"/>
        <v>555.27864333951732</v>
      </c>
      <c r="AN47" s="59">
        <f ca="1">AVERAGE(OFFSET($AM$3,0,0,'Données projet'!$E$10+1,1))-AVERAGE(OFFSET($H$3,0,0,'Données projet'!$E$10+1,1))</f>
        <v>252.98248842635206</v>
      </c>
      <c r="AO47" s="59">
        <f t="shared" si="36"/>
        <v>207.11938580878308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2.3755686314791387</v>
      </c>
      <c r="AV47" s="21">
        <f>EXP(-LN(2)/25)*AV46+(1-EXP(-LN(2)/25))/(LN(2)/25)*Calculateur!AQ47*Calculateur!AS47*VLOOKUP('Données projet'!$B$10,Paramètres!$A$1:$I$89,3,0)*0.475*44/12</f>
        <v>5.3283784683690714</v>
      </c>
      <c r="AW47" s="21">
        <f>EXP(-LN(2)/2)*AW46+(1-EXP(-LN(2)/2))/(LN(2)/2)*AQ47*AT47*VLOOKUP('Données projet'!$B$10,Paramètres!$A$1:$I$89,3,0)*0.475*44/12</f>
        <v>7.6813878752312437E-2</v>
      </c>
      <c r="AX47" s="21">
        <f t="shared" si="6"/>
        <v>7.7807609786005223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401.06118089678654</v>
      </c>
      <c r="T48" s="59">
        <f t="shared" si="34"/>
        <v>399.58193819355591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11.499999999999996</v>
      </c>
      <c r="AI48" s="13">
        <f>IF('Données projet'!$A$62&gt;35,AI47+AH48-AQ47,IF(A48&lt;'Données projet'!$A$62,$AF$205^A48,IF(A48='Données projet'!$A$62,'Données projet'!$B$62,AI47+AH48-AQ47)))</f>
        <v>265.69999999999987</v>
      </c>
      <c r="AJ48" s="13">
        <f>AI48*VLOOKUP('Données projet'!$B$10,Paramètres!$A$1:$I$89,3,0)*VLOOKUP('Données projet'!$B$10,Paramètres!$A$1:$I$89,5,0)</f>
        <v>124.34759999999994</v>
      </c>
      <c r="AK48" s="13">
        <f t="shared" si="35"/>
        <v>32.68689576547478</v>
      </c>
      <c r="AL48" s="20">
        <f t="shared" si="4"/>
        <v>273.50174679153514</v>
      </c>
      <c r="AM48" s="59">
        <f t="shared" si="5"/>
        <v>566.83508012486845</v>
      </c>
      <c r="AN48" s="59">
        <f ca="1">AVERAGE(OFFSET($AM$3,0,0,'Données projet'!$E$10+1,1))-AVERAGE(OFFSET($H$3,0,0,'Données projet'!$E$10+1,1))</f>
        <v>252.98248842635206</v>
      </c>
      <c r="AO48" s="59">
        <f t="shared" si="36"/>
        <v>207.11938580878308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2.3289851795696257</v>
      </c>
      <c r="AV48" s="21">
        <f>EXP(-LN(2)/25)*AV47+(1-EXP(-LN(2)/25))/(LN(2)/25)*Calculateur!AQ48*Calculateur!AS48*VLOOKUP('Données projet'!$B$10,Paramètres!$A$1:$I$89,3,0)*0.475*44/12</f>
        <v>5.1826736789442736</v>
      </c>
      <c r="AW48" s="21">
        <f>EXP(-LN(2)/2)*AW47+(1-EXP(-LN(2)/2))/(LN(2)/2)*AQ48*AT48*VLOOKUP('Données projet'!$B$10,Paramètres!$A$1:$I$89,3,0)*0.475*44/12</f>
        <v>5.4315614555001383E-2</v>
      </c>
      <c r="AX48" s="21">
        <f t="shared" si="6"/>
        <v>7.5659744730689003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401.06118089678654</v>
      </c>
      <c r="T49" s="59">
        <f t="shared" si="34"/>
        <v>399.58193819355591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11.499999999999996</v>
      </c>
      <c r="AI49" s="13">
        <f>IF('Données projet'!$A$62&gt;35,AI48+AH49-AQ48,IF(A49&lt;'Données projet'!$A$62,$AF$205^A49,IF(A49='Données projet'!$A$62,'Données projet'!$B$62,AI48+AH49-AQ48)))</f>
        <v>277.19999999999987</v>
      </c>
      <c r="AJ49" s="13">
        <f>AI49*VLOOKUP('Données projet'!$B$10,Paramètres!$A$1:$I$89,3,0)*VLOOKUP('Données projet'!$B$10,Paramètres!$A$1:$I$89,5,0)</f>
        <v>129.72959999999992</v>
      </c>
      <c r="AK49" s="13">
        <f t="shared" si="35"/>
        <v>33.933870261867483</v>
      </c>
      <c r="AL49" s="20">
        <f t="shared" si="4"/>
        <v>285.04721070608576</v>
      </c>
      <c r="AM49" s="59">
        <f t="shared" si="5"/>
        <v>578.38054403941908</v>
      </c>
      <c r="AN49" s="59">
        <f ca="1">AVERAGE(OFFSET($AM$3,0,0,'Données projet'!$E$10+1,1))-AVERAGE(OFFSET($H$3,0,0,'Données projet'!$E$10+1,1))</f>
        <v>252.98248842635206</v>
      </c>
      <c r="AO49" s="59">
        <f t="shared" si="36"/>
        <v>207.11938580878308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2.2833152007389583</v>
      </c>
      <c r="AV49" s="21">
        <f>EXP(-LN(2)/25)*AV48+(1-EXP(-LN(2)/25))/(LN(2)/25)*Calculateur!AQ49*Calculateur!AS49*VLOOKUP('Données projet'!$B$10,Paramètres!$A$1:$I$89,3,0)*0.475*44/12</f>
        <v>5.040953194648579</v>
      </c>
      <c r="AW49" s="21">
        <f>EXP(-LN(2)/2)*AW48+(1-EXP(-LN(2)/2))/(LN(2)/2)*AQ49*AT49*VLOOKUP('Données projet'!$B$10,Paramètres!$A$1:$I$89,3,0)*0.475*44/12</f>
        <v>3.8406939376156218E-2</v>
      </c>
      <c r="AX49" s="21">
        <f t="shared" si="6"/>
        <v>7.3626753347636944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401.06118089678654</v>
      </c>
      <c r="T50" s="59">
        <f t="shared" si="34"/>
        <v>399.58193819355591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11.499999999999996</v>
      </c>
      <c r="AI50" s="13">
        <f>IF('Données projet'!$A$62&gt;35,AI49+AH50-AQ49,IF(A50&lt;'Données projet'!$A$62,$AF$205^A50,IF(A50='Données projet'!$A$62,'Données projet'!$B$62,AI49+AH50-AQ49)))</f>
        <v>288.69999999999987</v>
      </c>
      <c r="AJ50" s="13">
        <f>AI50*VLOOKUP('Données projet'!$B$10,Paramètres!$A$1:$I$89,3,0)*VLOOKUP('Données projet'!$B$10,Paramètres!$A$1:$I$89,5,0)</f>
        <v>135.11159999999992</v>
      </c>
      <c r="AK50" s="13">
        <f t="shared" si="35"/>
        <v>35.174835808562257</v>
      </c>
      <c r="AL50" s="20">
        <f t="shared" si="4"/>
        <v>296.58220903324576</v>
      </c>
      <c r="AM50" s="59">
        <f t="shared" si="5"/>
        <v>589.91554236657907</v>
      </c>
      <c r="AN50" s="59">
        <f ca="1">AVERAGE(OFFSET($AM$3,0,0,'Données projet'!$E$10+1,1))-AVERAGE(OFFSET($H$3,0,0,'Données projet'!$E$10+1,1))</f>
        <v>252.98248842635206</v>
      </c>
      <c r="AO50" s="59">
        <f t="shared" si="36"/>
        <v>207.11938580878308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2.2385407823372234</v>
      </c>
      <c r="AV50" s="21">
        <f>EXP(-LN(2)/25)*AV49+(1-EXP(-LN(2)/25))/(LN(2)/25)*Calculateur!AQ50*Calculateur!AS50*VLOOKUP('Données projet'!$B$10,Paramètres!$A$1:$I$89,3,0)*0.475*44/12</f>
        <v>4.9031080644487064</v>
      </c>
      <c r="AW50" s="21">
        <f>EXP(-LN(2)/2)*AW49+(1-EXP(-LN(2)/2))/(LN(2)/2)*AQ50*AT50*VLOOKUP('Données projet'!$B$10,Paramètres!$A$1:$I$89,3,0)*0.475*44/12</f>
        <v>2.7157807277500692E-2</v>
      </c>
      <c r="AX50" s="21">
        <f t="shared" si="6"/>
        <v>7.168806654063431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401.06118089678654</v>
      </c>
      <c r="T51" s="59">
        <f t="shared" si="34"/>
        <v>399.58193819355591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11.499999999999996</v>
      </c>
      <c r="AI51" s="13">
        <f>IF('Données projet'!$A$62&gt;35,AI50+AH51-AQ50,IF(A51&lt;'Données projet'!$A$62,$AF$205^A51,IF(A51='Données projet'!$A$62,'Données projet'!$B$62,AI50+AH51-AQ50)))</f>
        <v>300.19999999999987</v>
      </c>
      <c r="AJ51" s="13">
        <f>AI51*VLOOKUP('Données projet'!$B$10,Paramètres!$A$1:$I$89,3,0)*VLOOKUP('Données projet'!$B$10,Paramètres!$A$1:$I$89,5,0)</f>
        <v>140.49359999999993</v>
      </c>
      <c r="AK51" s="13">
        <f t="shared" si="35"/>
        <v>36.410059151057915</v>
      </c>
      <c r="AL51" s="20">
        <f t="shared" si="4"/>
        <v>308.10720635475906</v>
      </c>
      <c r="AM51" s="59">
        <f t="shared" si="5"/>
        <v>601.44053968809237</v>
      </c>
      <c r="AN51" s="59">
        <f ca="1">AVERAGE(OFFSET($AM$3,0,0,'Données projet'!$E$10+1,1))-AVERAGE(OFFSET($H$3,0,0,'Données projet'!$E$10+1,1))</f>
        <v>252.98248842635206</v>
      </c>
      <c r="AO51" s="59">
        <f t="shared" si="36"/>
        <v>207.11938580878308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2.194644362970648</v>
      </c>
      <c r="AV51" s="21">
        <f>EXP(-LN(2)/25)*AV50+(1-EXP(-LN(2)/25))/(LN(2)/25)*Calculateur!AQ51*Calculateur!AS51*VLOOKUP('Données projet'!$B$10,Paramètres!$A$1:$I$89,3,0)*0.475*44/12</f>
        <v>4.7690323165831092</v>
      </c>
      <c r="AW51" s="21">
        <f>EXP(-LN(2)/2)*AW50+(1-EXP(-LN(2)/2))/(LN(2)/2)*AQ51*AT51*VLOOKUP('Données projet'!$B$10,Paramètres!$A$1:$I$89,3,0)*0.475*44/12</f>
        <v>1.9203469688078109E-2</v>
      </c>
      <c r="AX51" s="21">
        <f t="shared" si="6"/>
        <v>6.9828801492418346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401.06118089678654</v>
      </c>
      <c r="T52" s="59">
        <f t="shared" si="34"/>
        <v>399.58193819355591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11.499999999999996</v>
      </c>
      <c r="AI52" s="13">
        <f>IF('Données projet'!$A$62&gt;35,AI51+AH52-AQ51,IF(A52&lt;'Données projet'!$A$62,$AF$205^A52,IF(A52='Données projet'!$A$62,'Données projet'!$B$62,AI51+AH52-AQ51)))</f>
        <v>311.69999999999987</v>
      </c>
      <c r="AJ52" s="13">
        <f>AI52*VLOOKUP('Données projet'!$B$10,Paramètres!$A$1:$I$89,3,0)*VLOOKUP('Données projet'!$B$10,Paramètres!$A$1:$I$89,5,0)</f>
        <v>145.87559999999993</v>
      </c>
      <c r="AK52" s="13">
        <f t="shared" si="35"/>
        <v>37.639785440563628</v>
      </c>
      <c r="AL52" s="20">
        <f t="shared" si="4"/>
        <v>319.62262964231485</v>
      </c>
      <c r="AM52" s="59">
        <f t="shared" si="5"/>
        <v>612.95596297564816</v>
      </c>
      <c r="AN52" s="59">
        <f ca="1">AVERAGE(OFFSET($AM$3,0,0,'Données projet'!$E$10+1,1))-AVERAGE(OFFSET($H$3,0,0,'Données projet'!$E$10+1,1))</f>
        <v>252.98248842635206</v>
      </c>
      <c r="AO52" s="59">
        <f t="shared" si="36"/>
        <v>207.11938580878308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2.1516087256136793</v>
      </c>
      <c r="AV52" s="21">
        <f>EXP(-LN(2)/25)*AV51+(1-EXP(-LN(2)/25))/(LN(2)/25)*Calculateur!AQ52*Calculateur!AS52*VLOOKUP('Données projet'!$B$10,Paramètres!$A$1:$I$89,3,0)*0.475*44/12</f>
        <v>4.638622877093634</v>
      </c>
      <c r="AW52" s="21">
        <f>EXP(-LN(2)/2)*AW51+(1-EXP(-LN(2)/2))/(LN(2)/2)*AQ52*AT52*VLOOKUP('Données projet'!$B$10,Paramètres!$A$1:$I$89,3,0)*0.475*44/12</f>
        <v>1.3578903638750346E-2</v>
      </c>
      <c r="AX52" s="21">
        <f t="shared" si="6"/>
        <v>6.8038105063460641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401.06118089678654</v>
      </c>
      <c r="T53" s="59">
        <f t="shared" si="34"/>
        <v>399.58193819355591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323.2</v>
      </c>
      <c r="AG53" s="12">
        <f>VLOOKUP(A53,'Données projet'!$A$61:$I$81,9,0)</f>
        <v>11.499999999999996</v>
      </c>
      <c r="AH53" s="12">
        <f t="array" ref="AH53">INDEX(AG:AG,MIN(IF(ISNUMBER(AG53:AG249),ROW(AG53:AG249),"")))</f>
        <v>11.499999999999996</v>
      </c>
      <c r="AI53" s="13">
        <f>IF('Données projet'!$A$62&gt;35,AI52+AH53-AQ52,IF(A53&lt;'Données projet'!$A$62,$AF$205^A53,IF(A53='Données projet'!$A$62,'Données projet'!$B$62,AI52+AH53-AQ52)))</f>
        <v>323.19999999999987</v>
      </c>
      <c r="AJ53" s="13">
        <f>AI53*VLOOKUP('Données projet'!$B$10,Paramètres!$A$1:$I$89,3,0)*VLOOKUP('Données projet'!$B$10,Paramètres!$A$1:$I$89,5,0)</f>
        <v>151.25759999999994</v>
      </c>
      <c r="AK53" s="13">
        <f t="shared" si="35"/>
        <v>38.864240713854024</v>
      </c>
      <c r="AL53" s="20">
        <f t="shared" si="4"/>
        <v>331.12887257662896</v>
      </c>
      <c r="AM53" s="59">
        <f t="shared" si="5"/>
        <v>624.46220590996222</v>
      </c>
      <c r="AN53" s="59">
        <f ca="1">AVERAGE(OFFSET($AM$3,0,0,'Données projet'!$E$10+1,1))-AVERAGE(OFFSET($H$3,0,0,'Données projet'!$E$10+1,1))</f>
        <v>252.98248842635206</v>
      </c>
      <c r="AO53" s="59">
        <f t="shared" si="36"/>
        <v>207.11938580878308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83.4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2.1094169908561335</v>
      </c>
      <c r="AV53" s="21">
        <f>EXP(-LN(2)/25)*AV52+(1-EXP(-LN(2)/25))/(LN(2)/25)*Calculateur!AQ53*Calculateur!AS53*VLOOKUP('Données projet'!$B$10,Paramètres!$A$1:$I$89,3,0)*0.475*44/12</f>
        <v>4.5117794905849333</v>
      </c>
      <c r="AW53" s="21">
        <f>EXP(-LN(2)/2)*AW52+(1-EXP(-LN(2)/2))/(LN(2)/2)*AQ53*AT53*VLOOKUP('Données projet'!$B$10,Paramètres!$A$1:$I$89,3,0)*0.475*44/12</f>
        <v>9.6017348440390546E-3</v>
      </c>
      <c r="AX53" s="21">
        <f t="shared" si="6"/>
        <v>6.6307982162851058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401.06118089678654</v>
      </c>
      <c r="T54" s="59">
        <f t="shared" si="34"/>
        <v>399.58193819355591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13.499999999999996</v>
      </c>
      <c r="AI54" s="13">
        <f>IF('Données projet'!$A$62&gt;35,AI53+AH54-AQ53,IF(A54&lt;'Données projet'!$A$62,$AF$205^A54,IF(A54='Données projet'!$A$62,'Données projet'!$B$62,AI53+AH54-AQ53)))</f>
        <v>253.29999999999987</v>
      </c>
      <c r="AJ54" s="13">
        <f>AI54*VLOOKUP('Données projet'!$B$10,Paramètres!$A$1:$I$89,3,0)*VLOOKUP('Données projet'!$B$10,Paramètres!$A$1:$I$89,5,0)</f>
        <v>118.54439999999994</v>
      </c>
      <c r="AK54" s="13">
        <f t="shared" si="35"/>
        <v>31.3352637371359</v>
      </c>
      <c r="AL54" s="20">
        <f t="shared" si="4"/>
        <v>261.04041434217822</v>
      </c>
      <c r="AM54" s="59">
        <f t="shared" si="5"/>
        <v>554.37374767551159</v>
      </c>
      <c r="AN54" s="59">
        <f ca="1">AVERAGE(OFFSET($AM$3,0,0,'Données projet'!$E$10+1,1))-AVERAGE(OFFSET($H$3,0,0,'Données projet'!$E$10+1,1))</f>
        <v>252.98248842635206</v>
      </c>
      <c r="AO54" s="59">
        <f t="shared" si="36"/>
        <v>207.11938580878308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2.0680526102827663</v>
      </c>
      <c r="AV54" s="21">
        <f>EXP(-LN(2)/25)*AV53+(1-EXP(-LN(2)/25))/(LN(2)/25)*Calculateur!AQ54*Calculateur!AS54*VLOOKUP('Données projet'!$B$10,Paramètres!$A$1:$I$89,3,0)*0.475*44/12</f>
        <v>4.3884046431507171</v>
      </c>
      <c r="AW54" s="21">
        <f>EXP(-LN(2)/2)*AW53+(1-EXP(-LN(2)/2))/(LN(2)/2)*AQ54*AT54*VLOOKUP('Données projet'!$B$10,Paramètres!$A$1:$I$89,3,0)*0.475*44/12</f>
        <v>6.7894518193751729E-3</v>
      </c>
      <c r="AX54" s="21">
        <f t="shared" si="6"/>
        <v>6.4632467052528586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401.06118089678654</v>
      </c>
      <c r="T55" s="59">
        <f t="shared" si="34"/>
        <v>399.58193819355591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13.499999999999996</v>
      </c>
      <c r="AI55" s="13">
        <f>IF('Données projet'!$A$62&gt;35,AI54+AH55-AQ54,IF(A55&lt;'Données projet'!$A$62,$AF$205^A55,IF(A55='Données projet'!$A$62,'Données projet'!$B$62,AI54+AH55-AQ54)))</f>
        <v>266.79999999999984</v>
      </c>
      <c r="AJ55" s="13">
        <f>AI55*VLOOKUP('Données projet'!$B$10,Paramètres!$A$1:$I$89,3,0)*VLOOKUP('Données projet'!$B$10,Paramètres!$A$1:$I$89,5,0)</f>
        <v>124.86239999999994</v>
      </c>
      <c r="AK55" s="13">
        <f t="shared" si="35"/>
        <v>32.80643928056157</v>
      </c>
      <c r="AL55" s="20">
        <f t="shared" si="4"/>
        <v>274.60656174697795</v>
      </c>
      <c r="AM55" s="59">
        <f t="shared" si="5"/>
        <v>567.93989508031132</v>
      </c>
      <c r="AN55" s="59">
        <f ca="1">AVERAGE(OFFSET($AM$3,0,0,'Données projet'!$E$10+1,1))-AVERAGE(OFFSET($H$3,0,0,'Données projet'!$E$10+1,1))</f>
        <v>252.98248842635206</v>
      </c>
      <c r="AO55" s="59">
        <f t="shared" si="36"/>
        <v>207.11938580878308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2.0274993599826621</v>
      </c>
      <c r="AV55" s="21">
        <f>EXP(-LN(2)/25)*AV54+(1-EXP(-LN(2)/25))/(LN(2)/25)*Calculateur!AQ55*Calculateur!AS55*VLOOKUP('Données projet'!$B$10,Paramètres!$A$1:$I$89,3,0)*0.475*44/12</f>
        <v>4.26840348740759</v>
      </c>
      <c r="AW55" s="21">
        <f>EXP(-LN(2)/2)*AW54+(1-EXP(-LN(2)/2))/(LN(2)/2)*AQ55*AT55*VLOOKUP('Données projet'!$B$10,Paramètres!$A$1:$I$89,3,0)*0.475*44/12</f>
        <v>4.8008674220195273E-3</v>
      </c>
      <c r="AX55" s="21">
        <f t="shared" si="6"/>
        <v>6.300703714812272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401.06118089678654</v>
      </c>
      <c r="T56" s="59">
        <f t="shared" si="34"/>
        <v>399.58193819355591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13.499999999999996</v>
      </c>
      <c r="AI56" s="13">
        <f>IF('Données projet'!$A$62&gt;35,AI55+AH56-AQ55,IF(A56&lt;'Données projet'!$A$62,$AF$205^A56,IF(A56='Données projet'!$A$62,'Données projet'!$B$62,AI55+AH56-AQ55)))</f>
        <v>280.29999999999984</v>
      </c>
      <c r="AJ56" s="13">
        <f>AI56*VLOOKUP('Données projet'!$B$10,Paramètres!$A$1:$I$89,3,0)*VLOOKUP('Données projet'!$B$10,Paramètres!$A$1:$I$89,5,0)</f>
        <v>131.18039999999993</v>
      </c>
      <c r="AK56" s="13">
        <f t="shared" si="35"/>
        <v>34.268971460239172</v>
      </c>
      <c r="AL56" s="20">
        <f t="shared" si="4"/>
        <v>288.15765529324972</v>
      </c>
      <c r="AM56" s="59">
        <f t="shared" si="5"/>
        <v>581.49098862658298</v>
      </c>
      <c r="AN56" s="59">
        <f ca="1">AVERAGE(OFFSET($AM$3,0,0,'Données projet'!$E$10+1,1))-AVERAGE(OFFSET($H$3,0,0,'Données projet'!$E$10+1,1))</f>
        <v>252.98248842635206</v>
      </c>
      <c r="AO56" s="59">
        <f t="shared" si="36"/>
        <v>207.11938580878308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1.9877413341859023</v>
      </c>
      <c r="AV56" s="21">
        <f>EXP(-LN(2)/25)*AV55+(1-EXP(-LN(2)/25))/(LN(2)/25)*Calculateur!AQ56*Calculateur!AS56*VLOOKUP('Données projet'!$B$10,Paramètres!$A$1:$I$89,3,0)*0.475*44/12</f>
        <v>4.1516837695788453</v>
      </c>
      <c r="AW56" s="21">
        <f>EXP(-LN(2)/2)*AW55+(1-EXP(-LN(2)/2))/(LN(2)/2)*AQ56*AT56*VLOOKUP('Données projet'!$B$10,Paramètres!$A$1:$I$89,3,0)*0.475*44/12</f>
        <v>3.3947259096875865E-3</v>
      </c>
      <c r="AX56" s="21">
        <f t="shared" si="6"/>
        <v>6.1428198296744343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401.06118089678654</v>
      </c>
      <c r="T57" s="59">
        <f t="shared" si="34"/>
        <v>399.58193819355591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13.499999999999996</v>
      </c>
      <c r="AI57" s="13">
        <f>IF('Données projet'!$A$62&gt;35,AI56+AH57-AQ56,IF(A57&lt;'Données projet'!$A$62,$AF$205^A57,IF(A57='Données projet'!$A$62,'Données projet'!$B$62,AI56+AH57-AQ56)))</f>
        <v>293.79999999999984</v>
      </c>
      <c r="AJ57" s="13">
        <f>AI57*VLOOKUP('Données projet'!$B$10,Paramètres!$A$1:$I$89,3,0)*VLOOKUP('Données projet'!$B$10,Paramètres!$A$1:$I$89,5,0)</f>
        <v>137.49839999999992</v>
      </c>
      <c r="AK57" s="13">
        <f t="shared" si="35"/>
        <v>35.723324086274197</v>
      </c>
      <c r="AL57" s="20">
        <f t="shared" si="4"/>
        <v>301.69450278359409</v>
      </c>
      <c r="AM57" s="59">
        <f t="shared" si="5"/>
        <v>595.02783611692735</v>
      </c>
      <c r="AN57" s="59">
        <f ca="1">AVERAGE(OFFSET($AM$3,0,0,'Données projet'!$E$10+1,1))-AVERAGE(OFFSET($H$3,0,0,'Données projet'!$E$10+1,1))</f>
        <v>252.98248842635206</v>
      </c>
      <c r="AO57" s="59">
        <f t="shared" si="36"/>
        <v>207.11938580878308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1.9487629390250159</v>
      </c>
      <c r="AV57" s="21">
        <f>EXP(-LN(2)/25)*AV56+(1-EXP(-LN(2)/25))/(LN(2)/25)*Calculateur!AQ57*Calculateur!AS57*VLOOKUP('Données projet'!$B$10,Paramètres!$A$1:$I$89,3,0)*0.475*44/12</f>
        <v>4.0381557585721515</v>
      </c>
      <c r="AW57" s="21">
        <f>EXP(-LN(2)/2)*AW56+(1-EXP(-LN(2)/2))/(LN(2)/2)*AQ57*AT57*VLOOKUP('Données projet'!$B$10,Paramètres!$A$1:$I$89,3,0)*0.475*44/12</f>
        <v>2.4004337110097636E-3</v>
      </c>
      <c r="AX57" s="21">
        <f t="shared" si="6"/>
        <v>5.9893191313081768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401.06118089678654</v>
      </c>
      <c r="T58" s="59">
        <f t="shared" si="34"/>
        <v>399.58193819355591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13.499999999999996</v>
      </c>
      <c r="AI58" s="13">
        <f>IF('Données projet'!$A$62&gt;35,AI57+AH58-AQ57,IF(A58&lt;'Données projet'!$A$62,$AF$205^A58,IF(A58='Données projet'!$A$62,'Données projet'!$B$62,AI57+AH58-AQ57)))</f>
        <v>307.29999999999984</v>
      </c>
      <c r="AJ58" s="13">
        <f>AI58*VLOOKUP('Données projet'!$B$10,Paramètres!$A$1:$I$89,3,0)*VLOOKUP('Données projet'!$B$10,Paramètres!$A$1:$I$89,5,0)</f>
        <v>143.81639999999993</v>
      </c>
      <c r="AK58" s="13">
        <f t="shared" si="35"/>
        <v>37.169915935828818</v>
      </c>
      <c r="AL58" s="20">
        <f t="shared" si="4"/>
        <v>315.21783358823507</v>
      </c>
      <c r="AM58" s="59">
        <f t="shared" si="5"/>
        <v>608.55116692156844</v>
      </c>
      <c r="AN58" s="59">
        <f ca="1">AVERAGE(OFFSET($AM$3,0,0,'Données projet'!$E$10+1,1))-AVERAGE(OFFSET($H$3,0,0,'Données projet'!$E$10+1,1))</f>
        <v>252.98248842635206</v>
      </c>
      <c r="AO58" s="59">
        <f t="shared" si="36"/>
        <v>207.11938580878308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1.9105488864187608</v>
      </c>
      <c r="AV58" s="21">
        <f>EXP(-LN(2)/25)*AV57+(1-EXP(-LN(2)/25))/(LN(2)/25)*Calculateur!AQ58*Calculateur!AS58*VLOOKUP('Données projet'!$B$10,Paramètres!$A$1:$I$89,3,0)*0.475*44/12</f>
        <v>3.927732176996614</v>
      </c>
      <c r="AW58" s="21">
        <f>EXP(-LN(2)/2)*AW57+(1-EXP(-LN(2)/2))/(LN(2)/2)*AQ58*AT58*VLOOKUP('Données projet'!$B$10,Paramètres!$A$1:$I$89,3,0)*0.475*44/12</f>
        <v>1.6973629548437932E-3</v>
      </c>
      <c r="AX58" s="21">
        <f t="shared" si="6"/>
        <v>5.8399784263702186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401.06118089678654</v>
      </c>
      <c r="T59" s="59">
        <f t="shared" si="34"/>
        <v>399.58193819355591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13.499999999999996</v>
      </c>
      <c r="AI59" s="13">
        <f>IF('Données projet'!$A$62&gt;35,AI58+AH59-AQ58,IF(A59&lt;'Données projet'!$A$62,$AF$205^A59,IF(A59='Données projet'!$A$62,'Données projet'!$B$62,AI58+AH59-AQ58)))</f>
        <v>320.79999999999984</v>
      </c>
      <c r="AJ59" s="13">
        <f>AI59*VLOOKUP('Données projet'!$B$10,Paramètres!$A$1:$I$89,3,0)*VLOOKUP('Données projet'!$B$10,Paramètres!$A$1:$I$89,5,0)</f>
        <v>150.13439999999994</v>
      </c>
      <c r="AK59" s="13">
        <f t="shared" si="35"/>
        <v>38.609126910934812</v>
      </c>
      <c r="AL59" s="20">
        <f t="shared" si="4"/>
        <v>328.72830936987799</v>
      </c>
      <c r="AM59" s="59">
        <f t="shared" si="5"/>
        <v>622.06164270321131</v>
      </c>
      <c r="AN59" s="59">
        <f ca="1">AVERAGE(OFFSET($AM$3,0,0,'Données projet'!$E$10+1,1))-AVERAGE(OFFSET($H$3,0,0,'Données projet'!$E$10+1,1))</f>
        <v>252.98248842635206</v>
      </c>
      <c r="AO59" s="59">
        <f t="shared" si="36"/>
        <v>207.11938580878308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1.8730841880758438</v>
      </c>
      <c r="AV59" s="21">
        <f>EXP(-LN(2)/25)*AV58+(1-EXP(-LN(2)/25))/(LN(2)/25)*Calculateur!AQ59*Calculateur!AS59*VLOOKUP('Données projet'!$B$10,Paramètres!$A$1:$I$89,3,0)*0.475*44/12</f>
        <v>3.8203281340661834</v>
      </c>
      <c r="AW59" s="21">
        <f>EXP(-LN(2)/2)*AW58+(1-EXP(-LN(2)/2))/(LN(2)/2)*AQ59*AT59*VLOOKUP('Données projet'!$B$10,Paramètres!$A$1:$I$89,3,0)*0.475*44/12</f>
        <v>1.2002168555048818E-3</v>
      </c>
      <c r="AX59" s="21">
        <f t="shared" si="6"/>
        <v>5.6946125389975322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401.06118089678654</v>
      </c>
      <c r="T60" s="59">
        <f t="shared" si="34"/>
        <v>399.58193819355591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13.499999999999996</v>
      </c>
      <c r="AI60" s="13">
        <f>IF('Données projet'!$A$62&gt;35,AI59+AH60-AQ59,IF(A60&lt;'Données projet'!$A$62,$AF$205^A60,IF(A60='Données projet'!$A$62,'Données projet'!$B$62,AI59+AH60-AQ59)))</f>
        <v>334.29999999999984</v>
      </c>
      <c r="AJ60" s="13">
        <f>AI60*VLOOKUP('Données projet'!$B$10,Paramètres!$A$1:$I$89,3,0)*VLOOKUP('Données projet'!$B$10,Paramètres!$A$1:$I$89,5,0)</f>
        <v>156.45239999999993</v>
      </c>
      <c r="AK60" s="13">
        <f t="shared" si="35"/>
        <v>40.041303130551007</v>
      </c>
      <c r="AL60" s="20">
        <f t="shared" si="4"/>
        <v>342.2265329523762</v>
      </c>
      <c r="AM60" s="59">
        <f t="shared" si="5"/>
        <v>635.55986628570952</v>
      </c>
      <c r="AN60" s="59">
        <f ca="1">AVERAGE(OFFSET($AM$3,0,0,'Données projet'!$E$10+1,1))-AVERAGE(OFFSET($H$3,0,0,'Données projet'!$E$10+1,1))</f>
        <v>252.98248842635206</v>
      </c>
      <c r="AO60" s="59">
        <f t="shared" si="36"/>
        <v>207.11938580878308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1.8363541496162219</v>
      </c>
      <c r="AV60" s="21">
        <f>EXP(-LN(2)/25)*AV59+(1-EXP(-LN(2)/25))/(LN(2)/25)*Calculateur!AQ60*Calculateur!AS60*VLOOKUP('Données projet'!$B$10,Paramètres!$A$1:$I$89,3,0)*0.475*44/12</f>
        <v>3.7158610603378186</v>
      </c>
      <c r="AW60" s="21">
        <f>EXP(-LN(2)/2)*AW59+(1-EXP(-LN(2)/2))/(LN(2)/2)*AQ60*AT60*VLOOKUP('Données projet'!$B$10,Paramètres!$A$1:$I$89,3,0)*0.475*44/12</f>
        <v>8.4868147742189661E-4</v>
      </c>
      <c r="AX60" s="21">
        <f t="shared" si="6"/>
        <v>5.5530638914314618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401.06118089678654</v>
      </c>
      <c r="T61" s="59">
        <f t="shared" si="34"/>
        <v>399.58193819355591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13.499999999999996</v>
      </c>
      <c r="AI61" s="13">
        <f>IF('Données projet'!$A$62&gt;35,AI60+AH61-AQ60,IF(A61&lt;'Données projet'!$A$62,$AF$205^A61,IF(A61='Données projet'!$A$62,'Données projet'!$B$62,AI60+AH61-AQ60)))</f>
        <v>347.79999999999984</v>
      </c>
      <c r="AJ61" s="13">
        <f>AI61*VLOOKUP('Données projet'!$B$10,Paramètres!$A$1:$I$89,3,0)*VLOOKUP('Données projet'!$B$10,Paramètres!$A$1:$I$89,5,0)</f>
        <v>162.77039999999994</v>
      </c>
      <c r="AK61" s="13">
        <f t="shared" si="35"/>
        <v>41.466761176934256</v>
      </c>
      <c r="AL61" s="20">
        <f t="shared" si="4"/>
        <v>355.71305571649367</v>
      </c>
      <c r="AM61" s="59">
        <f t="shared" si="5"/>
        <v>649.04638904982698</v>
      </c>
      <c r="AN61" s="59">
        <f ca="1">AVERAGE(OFFSET($AM$3,0,0,'Données projet'!$E$10+1,1))-AVERAGE(OFFSET($H$3,0,0,'Données projet'!$E$10+1,1))</f>
        <v>252.98248842635206</v>
      </c>
      <c r="AO61" s="59">
        <f t="shared" si="36"/>
        <v>207.11938580878308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1.8003443648076818</v>
      </c>
      <c r="AV61" s="21">
        <f>EXP(-LN(2)/25)*AV60+(1-EXP(-LN(2)/25))/(LN(2)/25)*Calculateur!AQ61*Calculateur!AS61*VLOOKUP('Données projet'!$B$10,Paramètres!$A$1:$I$89,3,0)*0.475*44/12</f>
        <v>3.6142506442342404</v>
      </c>
      <c r="AW61" s="21">
        <f>EXP(-LN(2)/2)*AW60+(1-EXP(-LN(2)/2))/(LN(2)/2)*AQ61*AT61*VLOOKUP('Données projet'!$B$10,Paramètres!$A$1:$I$89,3,0)*0.475*44/12</f>
        <v>6.0010842775244091E-4</v>
      </c>
      <c r="AX61" s="21">
        <f t="shared" si="6"/>
        <v>5.4151951174696746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401.06118089678654</v>
      </c>
      <c r="T62" s="59">
        <f t="shared" si="34"/>
        <v>399.58193819355591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13.499999999999996</v>
      </c>
      <c r="AI62" s="13">
        <f>IF('Données projet'!$A$62&gt;35,AI61+AH62-AQ61,IF(A62&lt;'Données projet'!$A$62,$AF$205^A62,IF(A62='Données projet'!$A$62,'Données projet'!$B$62,AI61+AH62-AQ61)))</f>
        <v>361.29999999999984</v>
      </c>
      <c r="AJ62" s="13">
        <f>AI62*VLOOKUP('Données projet'!$B$10,Paramètres!$A$1:$I$89,3,0)*VLOOKUP('Données projet'!$B$10,Paramètres!$A$1:$I$89,5,0)</f>
        <v>169.08839999999992</v>
      </c>
      <c r="AK62" s="13">
        <f t="shared" si="35"/>
        <v>42.885791664164614</v>
      </c>
      <c r="AL62" s="20">
        <f t="shared" si="4"/>
        <v>369.18838381508658</v>
      </c>
      <c r="AM62" s="59">
        <f t="shared" si="5"/>
        <v>662.52171714841984</v>
      </c>
      <c r="AN62" s="59">
        <f ca="1">AVERAGE(OFFSET($AM$3,0,0,'Données projet'!$E$10+1,1))-AVERAGE(OFFSET($H$3,0,0,'Données projet'!$E$10+1,1))</f>
        <v>252.98248842635206</v>
      </c>
      <c r="AO62" s="59">
        <f t="shared" si="36"/>
        <v>207.11938580878308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1.765040709915437</v>
      </c>
      <c r="AV62" s="21">
        <f>EXP(-LN(2)/25)*AV61+(1-EXP(-LN(2)/25))/(LN(2)/25)*Calculateur!AQ62*Calculateur!AS62*VLOOKUP('Données projet'!$B$10,Paramètres!$A$1:$I$89,3,0)*0.475*44/12</f>
        <v>3.5154187703024742</v>
      </c>
      <c r="AW62" s="21">
        <f>EXP(-LN(2)/2)*AW61+(1-EXP(-LN(2)/2))/(LN(2)/2)*AQ62*AT62*VLOOKUP('Données projet'!$B$10,Paramètres!$A$1:$I$89,3,0)*0.475*44/12</f>
        <v>4.2434073871094831E-4</v>
      </c>
      <c r="AX62" s="21">
        <f t="shared" si="6"/>
        <v>5.280883820956622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401.06118089678654</v>
      </c>
      <c r="T63" s="59">
        <f t="shared" si="34"/>
        <v>399.58193819355591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374.79999999999995</v>
      </c>
      <c r="AG63" s="12">
        <f>VLOOKUP(A63,'Données projet'!$A$61:$I$81,9,0)</f>
        <v>13.499999999999996</v>
      </c>
      <c r="AH63" s="12">
        <f t="array" ref="AH63">INDEX(AG:AG,MIN(IF(ISNUMBER(AG63:AG259),ROW(AG63:AG259),"")))</f>
        <v>13.499999999999996</v>
      </c>
      <c r="AI63" s="13">
        <f>IF('Données projet'!$A$62&gt;35,AI62+AH63-AQ62,IF(A63&lt;'Données projet'!$A$62,$AF$205^A63,IF(A63='Données projet'!$A$62,'Données projet'!$B$62,AI62+AH63-AQ62)))</f>
        <v>374.79999999999984</v>
      </c>
      <c r="AJ63" s="13">
        <f>AI63*VLOOKUP('Données projet'!$B$10,Paramètres!$A$1:$I$89,3,0)*VLOOKUP('Données projet'!$B$10,Paramètres!$A$1:$I$89,5,0)</f>
        <v>175.40639999999993</v>
      </c>
      <c r="AK63" s="13">
        <f t="shared" si="35"/>
        <v>44.298662258322672</v>
      </c>
      <c r="AL63" s="20">
        <f t="shared" si="4"/>
        <v>382.65298343324525</v>
      </c>
      <c r="AM63" s="59">
        <f t="shared" si="5"/>
        <v>675.98631676657851</v>
      </c>
      <c r="AN63" s="59">
        <f ca="1">AVERAGE(OFFSET($AM$3,0,0,'Données projet'!$E$10+1,1))-AVERAGE(OFFSET($H$3,0,0,'Données projet'!$E$10+1,1))</f>
        <v>252.98248842635206</v>
      </c>
      <c r="AO63" s="59">
        <f t="shared" si="36"/>
        <v>207.11938580878308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83.4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1.730429338162526</v>
      </c>
      <c r="AV63" s="21">
        <f>EXP(-LN(2)/25)*AV62+(1-EXP(-LN(2)/25))/(LN(2)/25)*Calculateur!AQ63*Calculateur!AS63*VLOOKUP('Données projet'!$B$10,Paramètres!$A$1:$I$89,3,0)*0.475*44/12</f>
        <v>3.4192894591607144</v>
      </c>
      <c r="AW63" s="21">
        <f>EXP(-LN(2)/2)*AW62+(1-EXP(-LN(2)/2))/(LN(2)/2)*AQ63*AT63*VLOOKUP('Données projet'!$B$10,Paramètres!$A$1:$I$89,3,0)*0.475*44/12</f>
        <v>3.0005421387622046E-4</v>
      </c>
      <c r="AX63" s="21">
        <f t="shared" si="6"/>
        <v>5.1500188515371166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401.06118089678654</v>
      </c>
      <c r="T64" s="59">
        <f t="shared" si="34"/>
        <v>399.58193819355591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15.5</v>
      </c>
      <c r="AI64" s="13">
        <f>IF('Données projet'!$A$62&gt;35,AI63+AH64-AQ63,IF(A64&lt;'Données projet'!$A$62,$AF$205^A64,IF(A64='Données projet'!$A$62,'Données projet'!$B$62,AI63+AH64-AQ63)))</f>
        <v>306.89999999999986</v>
      </c>
      <c r="AJ64" s="13">
        <f>AI64*VLOOKUP('Données projet'!$B$10,Paramètres!$A$1:$I$89,3,0)*VLOOKUP('Données projet'!$B$10,Paramètres!$A$1:$I$89,5,0)</f>
        <v>143.62919999999994</v>
      </c>
      <c r="AK64" s="13">
        <f t="shared" si="35"/>
        <v>37.127161849234348</v>
      </c>
      <c r="AL64" s="20">
        <f t="shared" si="4"/>
        <v>314.81733022074968</v>
      </c>
      <c r="AM64" s="59">
        <f t="shared" si="5"/>
        <v>608.15066355408294</v>
      </c>
      <c r="AN64" s="59">
        <f ca="1">AVERAGE(OFFSET($AM$3,0,0,'Données projet'!$E$10+1,1))-AVERAGE(OFFSET($H$3,0,0,'Données projet'!$E$10+1,1))</f>
        <v>252.98248842635206</v>
      </c>
      <c r="AO64" s="59">
        <f t="shared" si="36"/>
        <v>207.11938580878308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1.6964966742988374</v>
      </c>
      <c r="AV64" s="21">
        <f>EXP(-LN(2)/25)*AV63+(1-EXP(-LN(2)/25))/(LN(2)/25)*Calculateur!AQ64*Calculateur!AS64*VLOOKUP('Données projet'!$B$10,Paramètres!$A$1:$I$89,3,0)*0.475*44/12</f>
        <v>3.3257888090873466</v>
      </c>
      <c r="AW64" s="21">
        <f>EXP(-LN(2)/2)*AW63+(1-EXP(-LN(2)/2))/(LN(2)/2)*AQ64*AT64*VLOOKUP('Données projet'!$B$10,Paramètres!$A$1:$I$89,3,0)*0.475*44/12</f>
        <v>2.1217036935547415E-4</v>
      </c>
      <c r="AX64" s="21">
        <f t="shared" si="6"/>
        <v>5.0224976537555399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401.06118089678654</v>
      </c>
      <c r="T65" s="59">
        <f t="shared" si="34"/>
        <v>399.58193819355591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15.5</v>
      </c>
      <c r="AI65" s="13">
        <f>IF('Données projet'!$A$62&gt;35,AI64+AH65-AQ64,IF(A65&lt;'Données projet'!$A$62,$AF$205^A65,IF(A65='Données projet'!$A$62,'Données projet'!$B$62,AI64+AH65-AQ64)))</f>
        <v>322.39999999999986</v>
      </c>
      <c r="AJ65" s="13">
        <f>AI65*VLOOKUP('Données projet'!$B$10,Paramètres!$A$1:$I$89,3,0)*VLOOKUP('Données projet'!$B$10,Paramètres!$A$1:$I$89,5,0)</f>
        <v>150.88319999999993</v>
      </c>
      <c r="AK65" s="13">
        <f t="shared" si="35"/>
        <v>38.779227360583164</v>
      </c>
      <c r="AL65" s="20">
        <f t="shared" si="4"/>
        <v>330.32872765301551</v>
      </c>
      <c r="AM65" s="59">
        <f t="shared" si="5"/>
        <v>623.66206098634882</v>
      </c>
      <c r="AN65" s="59">
        <f ca="1">AVERAGE(OFFSET($AM$3,0,0,'Données projet'!$E$10+1,1))-AVERAGE(OFFSET($H$3,0,0,'Données projet'!$E$10+1,1))</f>
        <v>252.98248842635206</v>
      </c>
      <c r="AO65" s="59">
        <f t="shared" si="36"/>
        <v>207.11938580878308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1.6632294092766344</v>
      </c>
      <c r="AV65" s="21">
        <f>EXP(-LN(2)/25)*AV64+(1-EXP(-LN(2)/25))/(LN(2)/25)*Calculateur!AQ65*Calculateur!AS65*VLOOKUP('Données projet'!$B$10,Paramètres!$A$1:$I$89,3,0)*0.475*44/12</f>
        <v>3.2348449392072207</v>
      </c>
      <c r="AW65" s="21">
        <f>EXP(-LN(2)/2)*AW64+(1-EXP(-LN(2)/2))/(LN(2)/2)*AQ65*AT65*VLOOKUP('Données projet'!$B$10,Paramètres!$A$1:$I$89,3,0)*0.475*44/12</f>
        <v>1.5002710693811023E-4</v>
      </c>
      <c r="AX65" s="21">
        <f t="shared" si="6"/>
        <v>4.898224375590793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401.06118089678654</v>
      </c>
      <c r="T66" s="59">
        <f t="shared" si="34"/>
        <v>399.58193819355591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15.5</v>
      </c>
      <c r="AI66" s="13">
        <f>IF('Données projet'!$A$62&gt;35,AI65+AH66-AQ65,IF(A66&lt;'Données projet'!$A$62,$AF$205^A66,IF(A66='Données projet'!$A$62,'Données projet'!$B$62,AI65+AH66-AQ65)))</f>
        <v>337.89999999999986</v>
      </c>
      <c r="AJ66" s="13">
        <f>AI66*VLOOKUP('Données projet'!$B$10,Paramètres!$A$1:$I$89,3,0)*VLOOKUP('Données projet'!$B$10,Paramètres!$A$1:$I$89,5,0)</f>
        <v>158.13719999999995</v>
      </c>
      <c r="AK66" s="13">
        <f t="shared" si="35"/>
        <v>40.422069728367696</v>
      </c>
      <c r="AL66" s="20">
        <f t="shared" si="4"/>
        <v>345.82406144357361</v>
      </c>
      <c r="AM66" s="59">
        <f t="shared" si="5"/>
        <v>639.15739477690693</v>
      </c>
      <c r="AN66" s="59">
        <f ca="1">AVERAGE(OFFSET($AM$3,0,0,'Données projet'!$E$10+1,1))-AVERAGE(OFFSET($H$3,0,0,'Données projet'!$E$10+1,1))</f>
        <v>252.98248842635206</v>
      </c>
      <c r="AO66" s="59">
        <f t="shared" si="36"/>
        <v>207.11938580878308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1.6306144950304886</v>
      </c>
      <c r="AV66" s="21">
        <f>EXP(-LN(2)/25)*AV65+(1-EXP(-LN(2)/25))/(LN(2)/25)*Calculateur!AQ66*Calculateur!AS66*VLOOKUP('Données projet'!$B$10,Paramètres!$A$1:$I$89,3,0)*0.475*44/12</f>
        <v>3.1463879342314973</v>
      </c>
      <c r="AW66" s="21">
        <f>EXP(-LN(2)/2)*AW65+(1-EXP(-LN(2)/2))/(LN(2)/2)*AQ66*AT66*VLOOKUP('Données projet'!$B$10,Paramètres!$A$1:$I$89,3,0)*0.475*44/12</f>
        <v>1.0608518467773708E-4</v>
      </c>
      <c r="AX66" s="21">
        <f t="shared" si="6"/>
        <v>4.7771085144466632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401.06118089678654</v>
      </c>
      <c r="T67" s="59">
        <f t="shared" si="34"/>
        <v>399.58193819355591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15.5</v>
      </c>
      <c r="AI67" s="13">
        <f>IF('Données projet'!$A$62&gt;35,AI66+AH67-AQ66,IF(A67&lt;'Données projet'!$A$62,$AF$205^A67,IF(A67='Données projet'!$A$62,'Données projet'!$B$62,AI66+AH67-AQ66)))</f>
        <v>353.39999999999986</v>
      </c>
      <c r="AJ67" s="13">
        <f>AI67*VLOOKUP('Données projet'!$B$10,Paramètres!$A$1:$I$89,3,0)*VLOOKUP('Données projet'!$B$10,Paramètres!$A$1:$I$89,5,0)</f>
        <v>165.39119999999994</v>
      </c>
      <c r="AK67" s="13">
        <f t="shared" si="35"/>
        <v>42.056160358234834</v>
      </c>
      <c r="AL67" s="20">
        <f t="shared" si="4"/>
        <v>361.30415262392557</v>
      </c>
      <c r="AM67" s="59">
        <f t="shared" si="5"/>
        <v>654.63748595725883</v>
      </c>
      <c r="AN67" s="59">
        <f ca="1">AVERAGE(OFFSET($AM$3,0,0,'Données projet'!$E$10+1,1))-AVERAGE(OFFSET($H$3,0,0,'Données projet'!$E$10+1,1))</f>
        <v>252.98248842635206</v>
      </c>
      <c r="AO67" s="59">
        <f t="shared" si="36"/>
        <v>207.11938580878308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1.5986391393595765</v>
      </c>
      <c r="AV67" s="21">
        <f>EXP(-LN(2)/25)*AV66+(1-EXP(-LN(2)/25))/(LN(2)/25)*Calculateur!AQ67*Calculateur!AS67*VLOOKUP('Données projet'!$B$10,Paramètres!$A$1:$I$89,3,0)*0.475*44/12</f>
        <v>3.0603497907085866</v>
      </c>
      <c r="AW67" s="21">
        <f>EXP(-LN(2)/2)*AW66+(1-EXP(-LN(2)/2))/(LN(2)/2)*AQ67*AT67*VLOOKUP('Données projet'!$B$10,Paramètres!$A$1:$I$89,3,0)*0.475*44/12</f>
        <v>7.5013553469055114E-5</v>
      </c>
      <c r="AX67" s="21">
        <f t="shared" si="6"/>
        <v>4.6590639436216321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401.06118089678654</v>
      </c>
      <c r="T68" s="59">
        <f t="shared" si="34"/>
        <v>399.58193819355591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15.5</v>
      </c>
      <c r="AI68" s="13">
        <f>IF('Données projet'!$A$62&gt;35,AI67+AH68-AQ67,IF(A68&lt;'Données projet'!$A$62,$AF$205^A68,IF(A68='Données projet'!$A$62,'Données projet'!$B$62,AI67+AH68-AQ67)))</f>
        <v>368.89999999999986</v>
      </c>
      <c r="AJ68" s="13">
        <f>AI68*VLOOKUP('Données projet'!$B$10,Paramètres!$A$1:$I$89,3,0)*VLOOKUP('Données projet'!$B$10,Paramètres!$A$1:$I$89,5,0)</f>
        <v>172.64519999999993</v>
      </c>
      <c r="AK68" s="13">
        <f t="shared" si="35"/>
        <v>43.681926966241704</v>
      </c>
      <c r="AL68" s="20">
        <f t="shared" ref="AL68:AL131" si="58">(AJ68+AK68)*0.475*44/12</f>
        <v>376.76974613287081</v>
      </c>
      <c r="AM68" s="59">
        <f t="shared" ref="AM68:AM131" si="59">AL68+(AD68+AE68)*44/12</f>
        <v>670.10307946620412</v>
      </c>
      <c r="AN68" s="59">
        <f ca="1">AVERAGE(OFFSET($AM$3,0,0,'Données projet'!$E$10+1,1))-AVERAGE(OFFSET($H$3,0,0,'Données projet'!$E$10+1,1))</f>
        <v>252.98248842635206</v>
      </c>
      <c r="AO68" s="59">
        <f t="shared" si="36"/>
        <v>207.11938580878308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1.5672908009103297</v>
      </c>
      <c r="AV68" s="21">
        <f>EXP(-LN(2)/25)*AV67+(1-EXP(-LN(2)/25))/(LN(2)/25)*Calculateur!AQ68*Calculateur!AS68*VLOOKUP('Données projet'!$B$10,Paramètres!$A$1:$I$89,3,0)*0.475*44/12</f>
        <v>2.9766643647448592</v>
      </c>
      <c r="AW68" s="21">
        <f>EXP(-LN(2)/2)*AW67+(1-EXP(-LN(2)/2))/(LN(2)/2)*AQ68*AT68*VLOOKUP('Données projet'!$B$10,Paramètres!$A$1:$I$89,3,0)*0.475*44/12</f>
        <v>5.3042592338868538E-5</v>
      </c>
      <c r="AX68" s="21">
        <f t="shared" ref="AX68:AX131" si="60">SUM(AU68:AW68)</f>
        <v>4.5440082082475275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401.06118089678654</v>
      </c>
      <c r="T69" s="59">
        <f t="shared" ref="T69:T132" si="88">$T$3</f>
        <v>399.58193819355591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15.5</v>
      </c>
      <c r="AI69" s="13">
        <f>IF('Données projet'!$A$62&gt;35,AI68+AH69-AQ68,IF(A69&lt;'Données projet'!$A$62,$AF$205^A69,IF(A69='Données projet'!$A$62,'Données projet'!$B$62,AI68+AH69-AQ68)))</f>
        <v>384.39999999999986</v>
      </c>
      <c r="AJ69" s="13">
        <f>AI69*VLOOKUP('Données projet'!$B$10,Paramètres!$A$1:$I$89,3,0)*VLOOKUP('Données projet'!$B$10,Paramètres!$A$1:$I$89,5,0)</f>
        <v>179.89919999999995</v>
      </c>
      <c r="AK69" s="13">
        <f t="shared" ref="AK69:AK132" si="89">EXP(-1.0587+0.8836*LN(AJ69)+0.284)</f>
        <v>45.299759292628586</v>
      </c>
      <c r="AL69" s="20">
        <f t="shared" si="58"/>
        <v>392.22152076799466</v>
      </c>
      <c r="AM69" s="59">
        <f t="shared" si="59"/>
        <v>685.55485410132792</v>
      </c>
      <c r="AN69" s="59">
        <f ca="1">AVERAGE(OFFSET($AM$3,0,0,'Données projet'!$E$10+1,1))-AVERAGE(OFFSET($H$3,0,0,'Données projet'!$E$10+1,1))</f>
        <v>252.98248842635206</v>
      </c>
      <c r="AO69" s="59">
        <f t="shared" ref="AO69:AO132" si="90">$AO$3</f>
        <v>207.11938580878308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1.5365571842574741</v>
      </c>
      <c r="AV69" s="21">
        <f>EXP(-LN(2)/25)*AV68+(1-EXP(-LN(2)/25))/(LN(2)/25)*Calculateur!AQ69*Calculateur!AS69*VLOOKUP('Données projet'!$B$10,Paramètres!$A$1:$I$89,3,0)*0.475*44/12</f>
        <v>2.8952673211549351</v>
      </c>
      <c r="AW69" s="21">
        <f>EXP(-LN(2)/2)*AW68+(1-EXP(-LN(2)/2))/(LN(2)/2)*AQ69*AT69*VLOOKUP('Données projet'!$B$10,Paramètres!$A$1:$I$89,3,0)*0.475*44/12</f>
        <v>3.7506776734527557E-5</v>
      </c>
      <c r="AX69" s="21">
        <f t="shared" si="60"/>
        <v>4.4318620121891437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401.06118089678654</v>
      </c>
      <c r="T70" s="59">
        <f t="shared" si="88"/>
        <v>399.58193819355591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15.5</v>
      </c>
      <c r="AI70" s="13">
        <f>IF('Données projet'!$A$62&gt;35,AI69+AH70-AQ69,IF(A70&lt;'Données projet'!$A$62,$AF$205^A70,IF(A70='Données projet'!$A$62,'Données projet'!$B$62,AI69+AH70-AQ69)))</f>
        <v>399.89999999999986</v>
      </c>
      <c r="AJ70" s="13">
        <f>AI70*VLOOKUP('Données projet'!$B$10,Paramètres!$A$1:$I$89,3,0)*VLOOKUP('Données projet'!$B$10,Paramètres!$A$1:$I$89,5,0)</f>
        <v>187.15319999999994</v>
      </c>
      <c r="AK70" s="13">
        <f t="shared" si="89"/>
        <v>46.9100138680691</v>
      </c>
      <c r="AL70" s="20">
        <f t="shared" si="58"/>
        <v>407.66009748688685</v>
      </c>
      <c r="AM70" s="59">
        <f t="shared" si="59"/>
        <v>700.99343082022017</v>
      </c>
      <c r="AN70" s="59">
        <f ca="1">AVERAGE(OFFSET($AM$3,0,0,'Données projet'!$E$10+1,1))-AVERAGE(OFFSET($H$3,0,0,'Données projet'!$E$10+1,1))</f>
        <v>252.98248842635206</v>
      </c>
      <c r="AO70" s="59">
        <f t="shared" si="90"/>
        <v>207.11938580878308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1.5064262350815258</v>
      </c>
      <c r="AV70" s="21">
        <f>EXP(-LN(2)/25)*AV69+(1-EXP(-LN(2)/25))/(LN(2)/25)*Calculateur!AQ70*Calculateur!AS70*VLOOKUP('Données projet'!$B$10,Paramètres!$A$1:$I$89,3,0)*0.475*44/12</f>
        <v>2.8160960840024623</v>
      </c>
      <c r="AW70" s="21">
        <f>EXP(-LN(2)/2)*AW69+(1-EXP(-LN(2)/2))/(LN(2)/2)*AQ70*AT70*VLOOKUP('Données projet'!$B$10,Paramètres!$A$1:$I$89,3,0)*0.475*44/12</f>
        <v>2.6521296169434269E-5</v>
      </c>
      <c r="AX70" s="21">
        <f t="shared" si="60"/>
        <v>4.3225488403801577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401.06118089678654</v>
      </c>
      <c r="T71" s="59">
        <f t="shared" si="88"/>
        <v>399.58193819355591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</v>
      </c>
      <c r="AI71" s="13">
        <f>IF('Données projet'!$A$62&gt;35,AI70+AH71-AQ70,IF(A71&lt;'Données projet'!$A$62,$AF$205^A71,IF(A71='Données projet'!$A$62,'Données projet'!$B$62,AI70+AH71-AQ70)))</f>
        <v>415.39999999999986</v>
      </c>
      <c r="AJ71" s="13">
        <f>AI71*VLOOKUP('Données projet'!$B$10,Paramètres!$A$1:$I$89,3,0)*VLOOKUP('Données projet'!$B$10,Paramètres!$A$1:$I$89,5,0)</f>
        <v>194.40719999999996</v>
      </c>
      <c r="AK71" s="13">
        <f t="shared" si="89"/>
        <v>48.513018020179601</v>
      </c>
      <c r="AL71" s="20">
        <f t="shared" si="58"/>
        <v>423.08604638514606</v>
      </c>
      <c r="AM71" s="59">
        <f t="shared" si="59"/>
        <v>716.41937971847938</v>
      </c>
      <c r="AN71" s="59">
        <f ca="1">AVERAGE(OFFSET($AM$3,0,0,'Données projet'!$E$10+1,1))-AVERAGE(OFFSET($H$3,0,0,'Données projet'!$E$10+1,1))</f>
        <v>252.98248842635206</v>
      </c>
      <c r="AO71" s="59">
        <f t="shared" si="90"/>
        <v>207.11938580878308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1.4768861354408536</v>
      </c>
      <c r="AV71" s="21">
        <f>EXP(-LN(2)/25)*AV70+(1-EXP(-LN(2)/25))/(LN(2)/25)*Calculateur!AQ71*Calculateur!AS71*VLOOKUP('Données projet'!$B$10,Paramètres!$A$1:$I$89,3,0)*0.475*44/12</f>
        <v>2.739089788493358</v>
      </c>
      <c r="AW71" s="21">
        <f>EXP(-LN(2)/2)*AW70+(1-EXP(-LN(2)/2))/(LN(2)/2)*AQ71*AT71*VLOOKUP('Données projet'!$B$10,Paramètres!$A$1:$I$89,3,0)*0.475*44/12</f>
        <v>1.8753388367263778E-5</v>
      </c>
      <c r="AX71" s="21">
        <f t="shared" si="60"/>
        <v>4.2159946773225787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401.06118089678654</v>
      </c>
      <c r="T72" s="59">
        <f t="shared" si="88"/>
        <v>399.58193819355591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</v>
      </c>
      <c r="AI72" s="13">
        <f>IF('Données projet'!$A$62&gt;35,AI71+AH72-AQ71,IF(A72&lt;'Données projet'!$A$62,$AF$205^A72,IF(A72='Données projet'!$A$62,'Données projet'!$B$62,AI71+AH72-AQ71)))</f>
        <v>430.89999999999986</v>
      </c>
      <c r="AJ72" s="13">
        <f>AI72*VLOOKUP('Données projet'!$B$10,Paramètres!$A$1:$I$89,3,0)*VLOOKUP('Données projet'!$B$10,Paramètres!$A$1:$I$89,5,0)</f>
        <v>201.66119999999992</v>
      </c>
      <c r="AK72" s="13">
        <f t="shared" si="89"/>
        <v>50.109073265229782</v>
      </c>
      <c r="AL72" s="20">
        <f t="shared" si="58"/>
        <v>438.49989260360843</v>
      </c>
      <c r="AM72" s="59">
        <f t="shared" si="59"/>
        <v>731.83322593694174</v>
      </c>
      <c r="AN72" s="59">
        <f ca="1">AVERAGE(OFFSET($AM$3,0,0,'Données projet'!$E$10+1,1))-AVERAGE(OFFSET($H$3,0,0,'Données projet'!$E$10+1,1))</f>
        <v>252.98248842635206</v>
      </c>
      <c r="AO72" s="59">
        <f t="shared" si="90"/>
        <v>207.11938580878308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1.4479252991364533</v>
      </c>
      <c r="AV72" s="21">
        <f>EXP(-LN(2)/25)*AV71+(1-EXP(-LN(2)/25))/(LN(2)/25)*Calculateur!AQ72*Calculateur!AS72*VLOOKUP('Données projet'!$B$10,Paramètres!$A$1:$I$89,3,0)*0.475*44/12</f>
        <v>2.6641892341845357</v>
      </c>
      <c r="AW72" s="21">
        <f>EXP(-LN(2)/2)*AW71+(1-EXP(-LN(2)/2))/(LN(2)/2)*AQ72*AT72*VLOOKUP('Données projet'!$B$10,Paramètres!$A$1:$I$89,3,0)*0.475*44/12</f>
        <v>1.3260648084717135E-5</v>
      </c>
      <c r="AX72" s="21">
        <f t="shared" si="60"/>
        <v>4.1121277939690737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401.06118089678654</v>
      </c>
      <c r="T73" s="59">
        <f t="shared" si="88"/>
        <v>399.58193819355591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446.4</v>
      </c>
      <c r="AG73" s="12">
        <f>VLOOKUP(A73,'Données projet'!$A$61:$I$81,9,0)</f>
        <v>15.5</v>
      </c>
      <c r="AH73" s="12">
        <f t="array" ref="AH73">INDEX(AG:AG,MIN(IF(ISNUMBER(AG73:AG269),ROW(AG73:AG269),"")))</f>
        <v>15.5</v>
      </c>
      <c r="AI73" s="13">
        <f>IF('Données projet'!$A$62&gt;35,AI72+AH73-AQ72,IF(A73&lt;'Données projet'!$A$62,$AF$205^A73,IF(A73='Données projet'!$A$62,'Données projet'!$B$62,AI72+AH73-AQ72)))</f>
        <v>446.39999999999986</v>
      </c>
      <c r="AJ73" s="13">
        <f>AI73*VLOOKUP('Données projet'!$B$10,Paramètres!$A$1:$I$89,3,0)*VLOOKUP('Données projet'!$B$10,Paramètres!$A$1:$I$89,5,0)</f>
        <v>208.91519999999994</v>
      </c>
      <c r="AK73" s="13">
        <f t="shared" si="89"/>
        <v>51.698458198123326</v>
      </c>
      <c r="AL73" s="20">
        <f t="shared" si="58"/>
        <v>453.90212136173136</v>
      </c>
      <c r="AM73" s="59">
        <f t="shared" si="59"/>
        <v>747.23545469506462</v>
      </c>
      <c r="AN73" s="59">
        <f ca="1">AVERAGE(OFFSET($AM$3,0,0,'Données projet'!$E$10+1,1))-AVERAGE(OFFSET($H$3,0,0,'Données projet'!$E$10+1,1))</f>
        <v>252.98248842635206</v>
      </c>
      <c r="AO73" s="59">
        <f t="shared" si="90"/>
        <v>207.11938580878308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83.4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1.4195323671676163</v>
      </c>
      <c r="AV73" s="21">
        <f>EXP(-LN(2)/25)*AV72+(1-EXP(-LN(2)/25))/(LN(2)/25)*Calculateur!AQ73*Calculateur!AS73*VLOOKUP('Données projet'!$B$10,Paramètres!$A$1:$I$89,3,0)*0.475*44/12</f>
        <v>2.5913368394721368</v>
      </c>
      <c r="AW73" s="21">
        <f>EXP(-LN(2)/2)*AW72+(1-EXP(-LN(2)/2))/(LN(2)/2)*AQ73*AT73*VLOOKUP('Données projet'!$B$10,Paramètres!$A$1:$I$89,3,0)*0.475*44/12</f>
        <v>9.3766941836318892E-6</v>
      </c>
      <c r="AX73" s="21">
        <f t="shared" si="60"/>
        <v>4.0108785833339367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401.06118089678654</v>
      </c>
      <c r="T74" s="59">
        <f t="shared" si="88"/>
        <v>399.58193819355591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379.99999999999989</v>
      </c>
      <c r="AJ74" s="13">
        <f>AI74*VLOOKUP('Données projet'!$B$10,Paramètres!$A$1:$I$89,3,0)*VLOOKUP('Données projet'!$B$10,Paramètres!$A$1:$I$89,5,0)</f>
        <v>177.83999999999995</v>
      </c>
      <c r="AK74" s="13">
        <f t="shared" si="89"/>
        <v>44.841288830609102</v>
      </c>
      <c r="AL74" s="20">
        <f t="shared" si="58"/>
        <v>387.83657804664409</v>
      </c>
      <c r="AM74" s="59">
        <f t="shared" si="59"/>
        <v>681.16991137997741</v>
      </c>
      <c r="AN74" s="59">
        <f ca="1">AVERAGE(OFFSET($AM$3,0,0,'Données projet'!$E$10+1,1))-AVERAGE(OFFSET($H$3,0,0,'Données projet'!$E$10+1,1))</f>
        <v>252.98248842635206</v>
      </c>
      <c r="AO74" s="59">
        <f t="shared" si="90"/>
        <v>207.11938580878308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1.3916962032767097</v>
      </c>
      <c r="AV74" s="21">
        <f>EXP(-LN(2)/25)*AV73+(1-EXP(-LN(2)/25))/(LN(2)/25)*Calculateur!AQ74*Calculateur!AS74*VLOOKUP('Données projet'!$B$10,Paramètres!$A$1:$I$89,3,0)*0.475*44/12</f>
        <v>2.5204765973242895</v>
      </c>
      <c r="AW74" s="21">
        <f>EXP(-LN(2)/2)*AW73+(1-EXP(-LN(2)/2))/(LN(2)/2)*AQ74*AT74*VLOOKUP('Données projet'!$B$10,Paramètres!$A$1:$I$89,3,0)*0.475*44/12</f>
        <v>6.6303240423585673E-6</v>
      </c>
      <c r="AX74" s="21">
        <f t="shared" si="60"/>
        <v>3.9121794309250415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401.06118089678654</v>
      </c>
      <c r="T75" s="59">
        <f t="shared" si="88"/>
        <v>399.58193819355591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396.99999999999989</v>
      </c>
      <c r="AJ75" s="13">
        <f>AI75*VLOOKUP('Données projet'!$B$10,Paramètres!$A$1:$I$89,3,0)*VLOOKUP('Données projet'!$B$10,Paramètres!$A$1:$I$89,5,0)</f>
        <v>185.79599999999996</v>
      </c>
      <c r="AK75" s="13">
        <f t="shared" si="89"/>
        <v>46.60930127448345</v>
      </c>
      <c r="AL75" s="20">
        <f t="shared" si="58"/>
        <v>404.77256638639187</v>
      </c>
      <c r="AM75" s="59">
        <f t="shared" si="59"/>
        <v>698.10589971972513</v>
      </c>
      <c r="AN75" s="59">
        <f ca="1">AVERAGE(OFFSET($AM$3,0,0,'Données projet'!$E$10+1,1))-AVERAGE(OFFSET($H$3,0,0,'Données projet'!$E$10+1,1))</f>
        <v>252.98248842635206</v>
      </c>
      <c r="AO75" s="59">
        <f t="shared" si="90"/>
        <v>207.11938580878308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1.3644058895813205</v>
      </c>
      <c r="AV75" s="21">
        <f>EXP(-LN(2)/25)*AV74+(1-EXP(-LN(2)/25))/(LN(2)/25)*Calculateur!AQ75*Calculateur!AS75*VLOOKUP('Données projet'!$B$10,Paramètres!$A$1:$I$89,3,0)*0.475*44/12</f>
        <v>2.4515540322243532</v>
      </c>
      <c r="AW75" s="21">
        <f>EXP(-LN(2)/2)*AW74+(1-EXP(-LN(2)/2))/(LN(2)/2)*AQ75*AT75*VLOOKUP('Données projet'!$B$10,Paramètres!$A$1:$I$89,3,0)*0.475*44/12</f>
        <v>4.6883470918159446E-6</v>
      </c>
      <c r="AX75" s="21">
        <f t="shared" si="60"/>
        <v>3.8159646101527658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401.06118089678654</v>
      </c>
      <c r="T76" s="59">
        <f t="shared" si="88"/>
        <v>399.58193819355591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413.99999999999989</v>
      </c>
      <c r="AJ76" s="13">
        <f>AI76*VLOOKUP('Données projet'!$B$10,Paramètres!$A$1:$I$89,3,0)*VLOOKUP('Données projet'!$B$10,Paramètres!$A$1:$I$89,5,0)</f>
        <v>193.75199999999995</v>
      </c>
      <c r="AK76" s="13">
        <f t="shared" si="89"/>
        <v>48.36852035537607</v>
      </c>
      <c r="AL76" s="20">
        <f t="shared" si="58"/>
        <v>421.69323961894656</v>
      </c>
      <c r="AM76" s="59">
        <f t="shared" si="59"/>
        <v>715.02657295227982</v>
      </c>
      <c r="AN76" s="59">
        <f ca="1">AVERAGE(OFFSET($AM$3,0,0,'Données projet'!$E$10+1,1))-AVERAGE(OFFSET($H$3,0,0,'Données projet'!$E$10+1,1))</f>
        <v>252.98248842635206</v>
      </c>
      <c r="AO76" s="59">
        <f t="shared" si="90"/>
        <v>207.11938580878308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1.33765072229205</v>
      </c>
      <c r="AV76" s="21">
        <f>EXP(-LN(2)/25)*AV75+(1-EXP(-LN(2)/25))/(LN(2)/25)*Calculateur!AQ76*Calculateur!AS76*VLOOKUP('Données projet'!$B$10,Paramètres!$A$1:$I$89,3,0)*0.475*44/12</f>
        <v>2.3845161582915546</v>
      </c>
      <c r="AW76" s="21">
        <f>EXP(-LN(2)/2)*AW75+(1-EXP(-LN(2)/2))/(LN(2)/2)*AQ76*AT76*VLOOKUP('Données projet'!$B$10,Paramètres!$A$1:$I$89,3,0)*0.475*44/12</f>
        <v>3.3151620211792836E-6</v>
      </c>
      <c r="AX76" s="21">
        <f t="shared" si="60"/>
        <v>3.7221701957456261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401.06118089678654</v>
      </c>
      <c r="T77" s="59">
        <f t="shared" si="88"/>
        <v>399.58193819355591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430.99999999999989</v>
      </c>
      <c r="AJ77" s="13">
        <f>AI77*VLOOKUP('Données projet'!$B$10,Paramètres!$A$1:$I$89,3,0)*VLOOKUP('Données projet'!$B$10,Paramètres!$A$1:$I$89,5,0)</f>
        <v>201.70799999999994</v>
      </c>
      <c r="AK77" s="13">
        <f t="shared" si="89"/>
        <v>50.119348451854243</v>
      </c>
      <c r="AL77" s="20">
        <f t="shared" si="58"/>
        <v>438.59929855364607</v>
      </c>
      <c r="AM77" s="59">
        <f t="shared" si="59"/>
        <v>731.93263188697938</v>
      </c>
      <c r="AN77" s="59">
        <f ca="1">AVERAGE(OFFSET($AM$3,0,0,'Données projet'!$E$10+1,1))-AVERAGE(OFFSET($H$3,0,0,'Données projet'!$E$10+1,1))</f>
        <v>252.98248842635206</v>
      </c>
      <c r="AO77" s="59">
        <f t="shared" si="90"/>
        <v>207.11938580878308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1.3114202075142813</v>
      </c>
      <c r="AV77" s="21">
        <f>EXP(-LN(2)/25)*AV76+(1-EXP(-LN(2)/25))/(LN(2)/25)*Calculateur!AQ77*Calculateur!AS77*VLOOKUP('Données projet'!$B$10,Paramètres!$A$1:$I$89,3,0)*0.475*44/12</f>
        <v>2.319311438546817</v>
      </c>
      <c r="AW77" s="21">
        <f>EXP(-LN(2)/2)*AW76+(1-EXP(-LN(2)/2))/(LN(2)/2)*AQ77*AT77*VLOOKUP('Données projet'!$B$10,Paramètres!$A$1:$I$89,3,0)*0.475*44/12</f>
        <v>2.3441735459079723E-6</v>
      </c>
      <c r="AX77" s="21">
        <f t="shared" si="60"/>
        <v>3.6307339902346443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401.06118089678654</v>
      </c>
      <c r="T78" s="59">
        <f t="shared" si="88"/>
        <v>399.58193819355591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447.99999999999989</v>
      </c>
      <c r="AJ78" s="13">
        <f>AI78*VLOOKUP('Données projet'!$B$10,Paramètres!$A$1:$I$89,3,0)*VLOOKUP('Données projet'!$B$10,Paramètres!$A$1:$I$89,5,0)</f>
        <v>209.66399999999993</v>
      </c>
      <c r="AK78" s="13">
        <f t="shared" si="89"/>
        <v>51.862154403304487</v>
      </c>
      <c r="AL78" s="20">
        <f t="shared" si="58"/>
        <v>455.49138558575515</v>
      </c>
      <c r="AM78" s="59">
        <f t="shared" si="59"/>
        <v>748.82471891908847</v>
      </c>
      <c r="AN78" s="59">
        <f ca="1">AVERAGE(OFFSET($AM$3,0,0,'Données projet'!$E$10+1,1))-AVERAGE(OFFSET($H$3,0,0,'Données projet'!$E$10+1,1))</f>
        <v>252.98248842635206</v>
      </c>
      <c r="AO78" s="59">
        <f t="shared" si="90"/>
        <v>207.11938580878308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1.2857040571322707</v>
      </c>
      <c r="AV78" s="21">
        <f>EXP(-LN(2)/25)*AV77+(1-EXP(-LN(2)/25))/(LN(2)/25)*Calculateur!AQ78*Calculateur!AS78*VLOOKUP('Données projet'!$B$10,Paramètres!$A$1:$I$89,3,0)*0.475*44/12</f>
        <v>2.2558897452924667</v>
      </c>
      <c r="AW78" s="21">
        <f>EXP(-LN(2)/2)*AW77+(1-EXP(-LN(2)/2))/(LN(2)/2)*AQ78*AT78*VLOOKUP('Données projet'!$B$10,Paramètres!$A$1:$I$89,3,0)*0.475*44/12</f>
        <v>1.6575810105896418E-6</v>
      </c>
      <c r="AX78" s="21">
        <f t="shared" si="60"/>
        <v>3.5415954600057478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401.06118089678654</v>
      </c>
      <c r="T79" s="59">
        <f t="shared" si="88"/>
        <v>399.58193819355591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</v>
      </c>
      <c r="AI79" s="13">
        <f>IF('Données projet'!$A$62&gt;35,AI78+AH79-AQ78,IF(A79&lt;'Données projet'!$A$62,$AF$205^A79,IF(A79='Données projet'!$A$62,'Données projet'!$B$62,AI78+AH79-AQ78)))</f>
        <v>464.99999999999989</v>
      </c>
      <c r="AJ79" s="13">
        <f>AI79*VLOOKUP('Données projet'!$B$10,Paramètres!$A$1:$I$89,3,0)*VLOOKUP('Données projet'!$B$10,Paramètres!$A$1:$I$89,5,0)</f>
        <v>217.61999999999995</v>
      </c>
      <c r="AK79" s="13">
        <f t="shared" si="89"/>
        <v>53.597277471320098</v>
      </c>
      <c r="AL79" s="20">
        <f t="shared" si="58"/>
        <v>472.37009159588234</v>
      </c>
      <c r="AM79" s="59">
        <f t="shared" si="59"/>
        <v>765.70342492921566</v>
      </c>
      <c r="AN79" s="59">
        <f ca="1">AVERAGE(OFFSET($AM$3,0,0,'Données projet'!$E$10+1,1))-AVERAGE(OFFSET($H$3,0,0,'Données projet'!$E$10+1,1))</f>
        <v>252.98248842635206</v>
      </c>
      <c r="AO79" s="59">
        <f t="shared" si="90"/>
        <v>207.11938580878308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1.2604921847739481</v>
      </c>
      <c r="AV79" s="21">
        <f>EXP(-LN(2)/25)*AV78+(1-EXP(-LN(2)/25))/(LN(2)/25)*Calculateur!AQ79*Calculateur!AS79*VLOOKUP('Données projet'!$B$10,Paramètres!$A$1:$I$89,3,0)*0.475*44/12</f>
        <v>2.1942023215753585</v>
      </c>
      <c r="AW79" s="21">
        <f>EXP(-LN(2)/2)*AW78+(1-EXP(-LN(2)/2))/(LN(2)/2)*AQ79*AT79*VLOOKUP('Données projet'!$B$10,Paramètres!$A$1:$I$89,3,0)*0.475*44/12</f>
        <v>1.1720867729539862E-6</v>
      </c>
      <c r="AX79" s="21">
        <f t="shared" si="60"/>
        <v>3.4546956784360794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401.06118089678654</v>
      </c>
      <c r="T80" s="59">
        <f t="shared" si="88"/>
        <v>399.58193819355591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</v>
      </c>
      <c r="AI80" s="13">
        <f>IF('Données projet'!$A$62&gt;35,AI79+AH80-AQ79,IF(A80&lt;'Données projet'!$A$62,$AF$205^A80,IF(A80='Données projet'!$A$62,'Données projet'!$B$62,AI79+AH80-AQ79)))</f>
        <v>481.99999999999989</v>
      </c>
      <c r="AJ80" s="13">
        <f>AI80*VLOOKUP('Données projet'!$B$10,Paramètres!$A$1:$I$89,3,0)*VLOOKUP('Données projet'!$B$10,Paramètres!$A$1:$I$89,5,0)</f>
        <v>225.57599999999994</v>
      </c>
      <c r="AK80" s="13">
        <f t="shared" si="89"/>
        <v>55.325030705505945</v>
      </c>
      <c r="AL80" s="20">
        <f t="shared" si="58"/>
        <v>489.23596181208933</v>
      </c>
      <c r="AM80" s="59">
        <f t="shared" si="59"/>
        <v>782.56929514542264</v>
      </c>
      <c r="AN80" s="59">
        <f ca="1">AVERAGE(OFFSET($AM$3,0,0,'Données projet'!$E$10+1,1))-AVERAGE(OFFSET($H$3,0,0,'Données projet'!$E$10+1,1))</f>
        <v>252.98248842635206</v>
      </c>
      <c r="AO80" s="59">
        <f t="shared" si="90"/>
        <v>207.11938580878308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1.2357747018548486</v>
      </c>
      <c r="AV80" s="21">
        <f>EXP(-LN(2)/25)*AV79+(1-EXP(-LN(2)/25))/(LN(2)/25)*Calculateur!AQ80*Calculateur!AS80*VLOOKUP('Données projet'!$B$10,Paramètres!$A$1:$I$89,3,0)*0.475*44/12</f>
        <v>2.134201743703795</v>
      </c>
      <c r="AW80" s="21">
        <f>EXP(-LN(2)/2)*AW79+(1-EXP(-LN(2)/2))/(LN(2)/2)*AQ80*AT80*VLOOKUP('Données projet'!$B$10,Paramètres!$A$1:$I$89,3,0)*0.475*44/12</f>
        <v>8.2879050529482091E-7</v>
      </c>
      <c r="AX80" s="21">
        <f t="shared" si="60"/>
        <v>3.3699772743491487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401.06118089678654</v>
      </c>
      <c r="T81" s="59">
        <f t="shared" si="88"/>
        <v>399.58193819355591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</v>
      </c>
      <c r="AI81" s="13">
        <f>IF('Données projet'!$A$62&gt;35,AI80+AH81-AQ80,IF(A81&lt;'Données projet'!$A$62,$AF$205^A81,IF(A81='Données projet'!$A$62,'Données projet'!$B$62,AI80+AH81-AQ80)))</f>
        <v>498.99999999999989</v>
      </c>
      <c r="AJ81" s="13">
        <f>AI81*VLOOKUP('Données projet'!$B$10,Paramètres!$A$1:$I$89,3,0)*VLOOKUP('Données projet'!$B$10,Paramètres!$A$1:$I$89,5,0)</f>
        <v>233.53199999999995</v>
      </c>
      <c r="AK81" s="13">
        <f t="shared" si="89"/>
        <v>57.04570382109808</v>
      </c>
      <c r="AL81" s="20">
        <f t="shared" si="58"/>
        <v>506.08950082174573</v>
      </c>
      <c r="AM81" s="59">
        <f t="shared" si="59"/>
        <v>799.42283415507904</v>
      </c>
      <c r="AN81" s="59">
        <f ca="1">AVERAGE(OFFSET($AM$3,0,0,'Données projet'!$E$10+1,1))-AVERAGE(OFFSET($H$3,0,0,'Données projet'!$E$10+1,1))</f>
        <v>252.98248842635206</v>
      </c>
      <c r="AO81" s="59">
        <f t="shared" si="90"/>
        <v>207.11938580878308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1.2115419136996166</v>
      </c>
      <c r="AV81" s="21">
        <f>EXP(-LN(2)/25)*AV80+(1-EXP(-LN(2)/25))/(LN(2)/25)*Calculateur!AQ81*Calculateur!AS81*VLOOKUP('Données projet'!$B$10,Paramètres!$A$1:$I$89,3,0)*0.475*44/12</f>
        <v>2.0758418847894227</v>
      </c>
      <c r="AW81" s="21">
        <f>EXP(-LN(2)/2)*AW80+(1-EXP(-LN(2)/2))/(LN(2)/2)*AQ81*AT81*VLOOKUP('Données projet'!$B$10,Paramètres!$A$1:$I$89,3,0)*0.475*44/12</f>
        <v>5.8604338647699308E-7</v>
      </c>
      <c r="AX81" s="21">
        <f t="shared" si="60"/>
        <v>3.2873843845324258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401.06118089678654</v>
      </c>
      <c r="T82" s="59">
        <f t="shared" si="88"/>
        <v>399.58193819355591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</v>
      </c>
      <c r="AI82" s="13">
        <f>IF('Données projet'!$A$62&gt;35,AI81+AH82-AQ81,IF(A82&lt;'Données projet'!$A$62,$AF$205^A82,IF(A82='Données projet'!$A$62,'Données projet'!$B$62,AI81+AH82-AQ81)))</f>
        <v>515.99999999999989</v>
      </c>
      <c r="AJ82" s="13">
        <f>AI82*VLOOKUP('Données projet'!$B$10,Paramètres!$A$1:$I$89,3,0)*VLOOKUP('Données projet'!$B$10,Paramètres!$A$1:$I$89,5,0)</f>
        <v>241.48799999999997</v>
      </c>
      <c r="AK82" s="13">
        <f t="shared" si="89"/>
        <v>58.759565673424916</v>
      </c>
      <c r="AL82" s="20">
        <f t="shared" si="58"/>
        <v>522.93117688121504</v>
      </c>
      <c r="AM82" s="59">
        <f t="shared" si="59"/>
        <v>816.26451021454841</v>
      </c>
      <c r="AN82" s="59">
        <f ca="1">AVERAGE(OFFSET($AM$3,0,0,'Données projet'!$E$10+1,1))-AVERAGE(OFFSET($H$3,0,0,'Données projet'!$E$10+1,1))</f>
        <v>252.98248842635206</v>
      </c>
      <c r="AO82" s="59">
        <f t="shared" si="90"/>
        <v>207.11938580878308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1.1877843157395676</v>
      </c>
      <c r="AV82" s="21">
        <f>EXP(-LN(2)/25)*AV81+(1-EXP(-LN(2)/25))/(LN(2)/25)*Calculateur!AQ82*Calculateur!AS82*VLOOKUP('Données projet'!$B$10,Paramètres!$A$1:$I$89,3,0)*0.475*44/12</f>
        <v>2.0190778792860757</v>
      </c>
      <c r="AW82" s="21">
        <f>EXP(-LN(2)/2)*AW81+(1-EXP(-LN(2)/2))/(LN(2)/2)*AQ82*AT82*VLOOKUP('Données projet'!$B$10,Paramètres!$A$1:$I$89,3,0)*0.475*44/12</f>
        <v>4.1439525264741046E-7</v>
      </c>
      <c r="AX82" s="21">
        <f t="shared" si="60"/>
        <v>3.2068626094208961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401.06118089678654</v>
      </c>
      <c r="T83" s="59">
        <f t="shared" si="88"/>
        <v>399.58193819355591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533</v>
      </c>
      <c r="AG83" s="12">
        <f>VLOOKUP(A83,'Données projet'!$A$61:$I$81,9,0)</f>
        <v>17</v>
      </c>
      <c r="AH83" s="12">
        <f t="array" ref="AH83">INDEX(AG:AG,MIN(IF(ISNUMBER(AG83:AG279),ROW(AG83:AG279),"")))</f>
        <v>17</v>
      </c>
      <c r="AI83" s="13">
        <f>IF('Données projet'!$A$62&gt;35,AI82+AH83-AQ82,IF(A83&lt;'Données projet'!$A$62,$AF$205^A83,IF(A83='Données projet'!$A$62,'Données projet'!$B$62,AI82+AH83-AQ82)))</f>
        <v>532.99999999999989</v>
      </c>
      <c r="AJ83" s="13">
        <f>AI83*VLOOKUP('Données projet'!$B$10,Paramètres!$A$1:$I$89,3,0)*VLOOKUP('Données projet'!$B$10,Paramètres!$A$1:$I$89,5,0)</f>
        <v>249.44399999999993</v>
      </c>
      <c r="AK83" s="13">
        <f t="shared" si="89"/>
        <v>60.466866397117599</v>
      </c>
      <c r="AL83" s="20">
        <f t="shared" si="58"/>
        <v>539.76142564164627</v>
      </c>
      <c r="AM83" s="59">
        <f t="shared" si="59"/>
        <v>833.09475897497964</v>
      </c>
      <c r="AN83" s="59">
        <f ca="1">AVERAGE(OFFSET($AM$3,0,0,'Données projet'!$E$10+1,1))-AVERAGE(OFFSET($H$3,0,0,'Données projet'!$E$10+1,1))</f>
        <v>252.98248842635206</v>
      </c>
      <c r="AO83" s="59">
        <f t="shared" si="90"/>
        <v>207.11938580878308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83.4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1.1644925897848111</v>
      </c>
      <c r="AV83" s="21">
        <f>EXP(-LN(2)/25)*AV82+(1-EXP(-LN(2)/25))/(LN(2)/25)*Calculateur!AQ83*Calculateur!AS83*VLOOKUP('Données projet'!$B$10,Paramètres!$A$1:$I$89,3,0)*0.475*44/12</f>
        <v>1.963866088498307</v>
      </c>
      <c r="AW83" s="21">
        <f>EXP(-LN(2)/2)*AW82+(1-EXP(-LN(2)/2))/(LN(2)/2)*AQ83*AT83*VLOOKUP('Données projet'!$B$10,Paramètres!$A$1:$I$89,3,0)*0.475*44/12</f>
        <v>2.9302169323849654E-7</v>
      </c>
      <c r="AX83" s="21">
        <f t="shared" si="60"/>
        <v>3.1283589713048112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401.06118089678654</v>
      </c>
      <c r="T84" s="59">
        <f t="shared" si="88"/>
        <v>399.58193819355591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17.5</v>
      </c>
      <c r="AI84" s="13">
        <f>IF('Données projet'!$A$62&gt;35,AI83+AH84-AQ83,IF(A84&lt;'Données projet'!$A$62,$AF$205^A84,IF(A84='Données projet'!$A$62,'Données projet'!$B$62,AI83+AH84-AQ83)))</f>
        <v>467.09999999999991</v>
      </c>
      <c r="AJ84" s="13">
        <f>AI84*VLOOKUP('Données projet'!$B$10,Paramètres!$A$1:$I$89,3,0)*VLOOKUP('Données projet'!$B$10,Paramètres!$A$1:$I$89,5,0)</f>
        <v>218.60279999999995</v>
      </c>
      <c r="AK84" s="13">
        <f t="shared" si="89"/>
        <v>53.811098692658383</v>
      </c>
      <c r="AL84" s="20">
        <f t="shared" si="58"/>
        <v>474.45420688971325</v>
      </c>
      <c r="AM84" s="59">
        <f t="shared" si="59"/>
        <v>767.78754022304656</v>
      </c>
      <c r="AN84" s="59">
        <f ca="1">AVERAGE(OFFSET($AM$3,0,0,'Données projet'!$E$10+1,1))-AVERAGE(OFFSET($H$3,0,0,'Données projet'!$E$10+1,1))</f>
        <v>252.98248842635206</v>
      </c>
      <c r="AO84" s="59">
        <f t="shared" si="90"/>
        <v>207.11938580878308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1.1416576003694774</v>
      </c>
      <c r="AV84" s="21">
        <f>EXP(-LN(2)/25)*AV83+(1-EXP(-LN(2)/25))/(LN(2)/25)*Calculateur!AQ84*Calculateur!AS84*VLOOKUP('Données projet'!$B$10,Paramètres!$A$1:$I$89,3,0)*0.475*44/12</f>
        <v>1.9101640670330917</v>
      </c>
      <c r="AW84" s="21">
        <f>EXP(-LN(2)/2)*AW83+(1-EXP(-LN(2)/2))/(LN(2)/2)*AQ84*AT84*VLOOKUP('Données projet'!$B$10,Paramètres!$A$1:$I$89,3,0)*0.475*44/12</f>
        <v>2.0719762632370523E-7</v>
      </c>
      <c r="AX84" s="21">
        <f t="shared" si="60"/>
        <v>3.0518218746001953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401.06118089678654</v>
      </c>
      <c r="T85" s="59">
        <f t="shared" si="88"/>
        <v>399.58193819355591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17.5</v>
      </c>
      <c r="AI85" s="13">
        <f>IF('Données projet'!$A$62&gt;35,AI84+AH85-AQ84,IF(A85&lt;'Données projet'!$A$62,$AF$205^A85,IF(A85='Données projet'!$A$62,'Données projet'!$B$62,AI84+AH85-AQ84)))</f>
        <v>484.59999999999991</v>
      </c>
      <c r="AJ85" s="13">
        <f>AI85*VLOOKUP('Données projet'!$B$10,Paramètres!$A$1:$I$89,3,0)*VLOOKUP('Données projet'!$B$10,Paramètres!$A$1:$I$89,5,0)</f>
        <v>226.79279999999994</v>
      </c>
      <c r="AK85" s="13">
        <f t="shared" si="89"/>
        <v>55.588644170072158</v>
      </c>
      <c r="AL85" s="20">
        <f t="shared" si="58"/>
        <v>491.8143485962089</v>
      </c>
      <c r="AM85" s="59">
        <f t="shared" si="59"/>
        <v>785.14768192954216</v>
      </c>
      <c r="AN85" s="59">
        <f ca="1">AVERAGE(OFFSET($AM$3,0,0,'Données projet'!$E$10+1,1))-AVERAGE(OFFSET($H$3,0,0,'Données projet'!$E$10+1,1))</f>
        <v>252.98248842635206</v>
      </c>
      <c r="AO85" s="59">
        <f t="shared" si="90"/>
        <v>207.11938580878308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1.1192703911686102</v>
      </c>
      <c r="AV85" s="21">
        <f>EXP(-LN(2)/25)*AV84+(1-EXP(-LN(2)/25))/(LN(2)/25)*Calculateur!AQ85*Calculateur!AS85*VLOOKUP('Données projet'!$B$10,Paramètres!$A$1:$I$89,3,0)*0.475*44/12</f>
        <v>1.8579305301689093</v>
      </c>
      <c r="AW85" s="21">
        <f>EXP(-LN(2)/2)*AW84+(1-EXP(-LN(2)/2))/(LN(2)/2)*AQ85*AT85*VLOOKUP('Données projet'!$B$10,Paramètres!$A$1:$I$89,3,0)*0.475*44/12</f>
        <v>1.4651084661924827E-7</v>
      </c>
      <c r="AX85" s="21">
        <f t="shared" si="60"/>
        <v>2.977201067848366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401.06118089678654</v>
      </c>
      <c r="T86" s="59">
        <f t="shared" si="88"/>
        <v>399.58193819355591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17.5</v>
      </c>
      <c r="AI86" s="13">
        <f>IF('Données projet'!$A$62&gt;35,AI85+AH86-AQ85,IF(A86&lt;'Données projet'!$A$62,$AF$205^A86,IF(A86='Données projet'!$A$62,'Données projet'!$B$62,AI85+AH86-AQ85)))</f>
        <v>502.09999999999991</v>
      </c>
      <c r="AJ86" s="13">
        <f>AI86*VLOOKUP('Données projet'!$B$10,Paramètres!$A$1:$I$89,3,0)*VLOOKUP('Données projet'!$B$10,Paramètres!$A$1:$I$89,5,0)</f>
        <v>234.98279999999997</v>
      </c>
      <c r="AK86" s="13">
        <f t="shared" si="89"/>
        <v>57.358731763746825</v>
      </c>
      <c r="AL86" s="20">
        <f t="shared" si="58"/>
        <v>509.16150115519235</v>
      </c>
      <c r="AM86" s="59">
        <f t="shared" si="59"/>
        <v>802.49483448852561</v>
      </c>
      <c r="AN86" s="59">
        <f ca="1">AVERAGE(OFFSET($AM$3,0,0,'Données projet'!$E$10+1,1))-AVERAGE(OFFSET($H$3,0,0,'Données projet'!$E$10+1,1))</f>
        <v>252.98248842635206</v>
      </c>
      <c r="AO86" s="59">
        <f t="shared" si="90"/>
        <v>207.11938580878308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1.0973221814853225</v>
      </c>
      <c r="AV86" s="21">
        <f>EXP(-LN(2)/25)*AV85+(1-EXP(-LN(2)/25))/(LN(2)/25)*Calculateur!AQ86*Calculateur!AS86*VLOOKUP('Données projet'!$B$10,Paramètres!$A$1:$I$89,3,0)*0.475*44/12</f>
        <v>1.8071253221171202</v>
      </c>
      <c r="AW86" s="21">
        <f>EXP(-LN(2)/2)*AW85+(1-EXP(-LN(2)/2))/(LN(2)/2)*AQ86*AT86*VLOOKUP('Données projet'!$B$10,Paramètres!$A$1:$I$89,3,0)*0.475*44/12</f>
        <v>1.0359881316185261E-7</v>
      </c>
      <c r="AX86" s="21">
        <f t="shared" si="60"/>
        <v>2.9044476072012557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401.06118089678654</v>
      </c>
      <c r="T87" s="59">
        <f t="shared" si="88"/>
        <v>399.58193819355591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17.5</v>
      </c>
      <c r="AI87" s="13">
        <f>IF('Données projet'!$A$62&gt;35,AI86+AH87-AQ86,IF(A87&lt;'Données projet'!$A$62,$AF$205^A87,IF(A87='Données projet'!$A$62,'Données projet'!$B$62,AI86+AH87-AQ86)))</f>
        <v>519.59999999999991</v>
      </c>
      <c r="AJ87" s="13">
        <f>AI87*VLOOKUP('Données projet'!$B$10,Paramètres!$A$1:$I$89,3,0)*VLOOKUP('Données projet'!$B$10,Paramètres!$A$1:$I$89,5,0)</f>
        <v>243.17279999999994</v>
      </c>
      <c r="AK87" s="13">
        <f t="shared" si="89"/>
        <v>59.121651195612671</v>
      </c>
      <c r="AL87" s="20">
        <f t="shared" si="58"/>
        <v>526.49616916569187</v>
      </c>
      <c r="AM87" s="59">
        <f t="shared" si="59"/>
        <v>819.82950249902524</v>
      </c>
      <c r="AN87" s="59">
        <f ca="1">AVERAGE(OFFSET($AM$3,0,0,'Données projet'!$E$10+1,1))-AVERAGE(OFFSET($H$3,0,0,'Données projet'!$E$10+1,1))</f>
        <v>252.98248842635206</v>
      </c>
      <c r="AO87" s="59">
        <f t="shared" si="90"/>
        <v>207.11938580878308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1.0758043628068381</v>
      </c>
      <c r="AV87" s="21">
        <f>EXP(-LN(2)/25)*AV86+(1-EXP(-LN(2)/25))/(LN(2)/25)*Calculateur!AQ87*Calculateur!AS87*VLOOKUP('Données projet'!$B$10,Paramètres!$A$1:$I$89,3,0)*0.475*44/12</f>
        <v>1.7577093851512371</v>
      </c>
      <c r="AW87" s="21">
        <f>EXP(-LN(2)/2)*AW86+(1-EXP(-LN(2)/2))/(LN(2)/2)*AQ87*AT87*VLOOKUP('Données projet'!$B$10,Paramètres!$A$1:$I$89,3,0)*0.475*44/12</f>
        <v>7.3255423309624135E-8</v>
      </c>
      <c r="AX87" s="21">
        <f t="shared" si="60"/>
        <v>2.8335138212134985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401.06118089678654</v>
      </c>
      <c r="T88" s="59">
        <f t="shared" si="88"/>
        <v>399.58193819355591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17.5</v>
      </c>
      <c r="AI88" s="13">
        <f>IF('Données projet'!$A$62&gt;35,AI87+AH88-AQ87,IF(A88&lt;'Données projet'!$A$62,$AF$205^A88,IF(A88='Données projet'!$A$62,'Données projet'!$B$62,AI87+AH88-AQ87)))</f>
        <v>537.09999999999991</v>
      </c>
      <c r="AJ88" s="13">
        <f>AI88*VLOOKUP('Données projet'!$B$10,Paramètres!$A$1:$I$89,3,0)*VLOOKUP('Données projet'!$B$10,Paramètres!$A$1:$I$89,5,0)</f>
        <v>251.36279999999996</v>
      </c>
      <c r="AK88" s="13">
        <f t="shared" si="89"/>
        <v>60.877671564837158</v>
      </c>
      <c r="AL88" s="20">
        <f t="shared" si="58"/>
        <v>543.81882130875795</v>
      </c>
      <c r="AM88" s="59">
        <f t="shared" si="59"/>
        <v>837.15215464209132</v>
      </c>
      <c r="AN88" s="59">
        <f ca="1">AVERAGE(OFFSET($AM$3,0,0,'Données projet'!$E$10+1,1))-AVERAGE(OFFSET($H$3,0,0,'Données projet'!$E$10+1,1))</f>
        <v>252.98248842635206</v>
      </c>
      <c r="AO88" s="59">
        <f t="shared" si="90"/>
        <v>207.11938580878308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1.0547084954280654</v>
      </c>
      <c r="AV88" s="21">
        <f>EXP(-LN(2)/25)*AV87+(1-EXP(-LN(2)/25))/(LN(2)/25)*Calculateur!AQ88*Calculateur!AS88*VLOOKUP('Données projet'!$B$10,Paramètres!$A$1:$I$89,3,0)*0.475*44/12</f>
        <v>1.7096447295803572</v>
      </c>
      <c r="AW88" s="21">
        <f>EXP(-LN(2)/2)*AW87+(1-EXP(-LN(2)/2))/(LN(2)/2)*AQ88*AT88*VLOOKUP('Données projet'!$B$10,Paramètres!$A$1:$I$89,3,0)*0.475*44/12</f>
        <v>5.1799406580926307E-8</v>
      </c>
      <c r="AX88" s="21">
        <f t="shared" si="60"/>
        <v>2.7643532768078289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401.06118089678654</v>
      </c>
      <c r="T89" s="59">
        <f t="shared" si="88"/>
        <v>399.58193819355591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17.5</v>
      </c>
      <c r="AI89" s="13">
        <f>IF('Données projet'!$A$62&gt;35,AI88+AH89-AQ88,IF(A89&lt;'Données projet'!$A$62,$AF$205^A89,IF(A89='Données projet'!$A$62,'Données projet'!$B$62,AI88+AH89-AQ88)))</f>
        <v>554.59999999999991</v>
      </c>
      <c r="AJ89" s="13">
        <f>AI89*VLOOKUP('Données projet'!$B$10,Paramètres!$A$1:$I$89,3,0)*VLOOKUP('Données projet'!$B$10,Paramètres!$A$1:$I$89,5,0)</f>
        <v>259.55279999999993</v>
      </c>
      <c r="AK89" s="13">
        <f t="shared" si="89"/>
        <v>62.627043439399927</v>
      </c>
      <c r="AL89" s="20">
        <f t="shared" si="58"/>
        <v>561.12989399028811</v>
      </c>
      <c r="AM89" s="59">
        <f t="shared" si="59"/>
        <v>854.46322732362137</v>
      </c>
      <c r="AN89" s="59">
        <f ca="1">AVERAGE(OFFSET($AM$3,0,0,'Données projet'!$E$10+1,1))-AVERAGE(OFFSET($H$3,0,0,'Données projet'!$E$10+1,1))</f>
        <v>252.98248842635206</v>
      </c>
      <c r="AO89" s="59">
        <f t="shared" si="90"/>
        <v>207.11938580878308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1.0340263051413818</v>
      </c>
      <c r="AV89" s="21">
        <f>EXP(-LN(2)/25)*AV88+(1-EXP(-LN(2)/25))/(LN(2)/25)*Calculateur!AQ89*Calculateur!AS89*VLOOKUP('Données projet'!$B$10,Paramètres!$A$1:$I$89,3,0)*0.475*44/12</f>
        <v>1.6628944045436733</v>
      </c>
      <c r="AW89" s="21">
        <f>EXP(-LN(2)/2)*AW88+(1-EXP(-LN(2)/2))/(LN(2)/2)*AQ89*AT89*VLOOKUP('Données projet'!$B$10,Paramètres!$A$1:$I$89,3,0)*0.475*44/12</f>
        <v>3.6627711654812067E-8</v>
      </c>
      <c r="AX89" s="21">
        <f t="shared" si="60"/>
        <v>2.6969207463127667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401.06118089678654</v>
      </c>
      <c r="T90" s="59">
        <f t="shared" si="88"/>
        <v>399.58193819355591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17.5</v>
      </c>
      <c r="AI90" s="13">
        <f>IF('Données projet'!$A$62&gt;35,AI89+AH90-AQ89,IF(A90&lt;'Données projet'!$A$62,$AF$205^A90,IF(A90='Données projet'!$A$62,'Données projet'!$B$62,AI89+AH90-AQ89)))</f>
        <v>572.09999999999991</v>
      </c>
      <c r="AJ90" s="13">
        <f>AI90*VLOOKUP('Données projet'!$B$10,Paramètres!$A$1:$I$89,3,0)*VLOOKUP('Données projet'!$B$10,Paramètres!$A$1:$I$89,5,0)</f>
        <v>267.74279999999993</v>
      </c>
      <c r="AK90" s="13">
        <f t="shared" si="89"/>
        <v>64.370000676259949</v>
      </c>
      <c r="AL90" s="20">
        <f t="shared" si="58"/>
        <v>578.42979451115264</v>
      </c>
      <c r="AM90" s="59">
        <f t="shared" si="59"/>
        <v>871.76312784448601</v>
      </c>
      <c r="AN90" s="59">
        <f ca="1">AVERAGE(OFFSET($AM$3,0,0,'Données projet'!$E$10+1,1))-AVERAGE(OFFSET($H$3,0,0,'Données projet'!$E$10+1,1))</f>
        <v>252.98248842635206</v>
      </c>
      <c r="AO90" s="59">
        <f t="shared" si="90"/>
        <v>207.11938580878308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1.0137496799913297</v>
      </c>
      <c r="AV90" s="21">
        <f>EXP(-LN(2)/25)*AV89+(1-EXP(-LN(2)/25))/(LN(2)/25)*Calculateur!AQ90*Calculateur!AS90*VLOOKUP('Données projet'!$B$10,Paramètres!$A$1:$I$89,3,0)*0.475*44/12</f>
        <v>1.6174224696036104</v>
      </c>
      <c r="AW90" s="21">
        <f>EXP(-LN(2)/2)*AW89+(1-EXP(-LN(2)/2))/(LN(2)/2)*AQ90*AT90*VLOOKUP('Données projet'!$B$10,Paramètres!$A$1:$I$89,3,0)*0.475*44/12</f>
        <v>2.5899703290463154E-8</v>
      </c>
      <c r="AX90" s="21">
        <f t="shared" si="60"/>
        <v>2.6311721754946436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401.06118089678654</v>
      </c>
      <c r="T91" s="59">
        <f t="shared" si="88"/>
        <v>399.58193819355591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17.5</v>
      </c>
      <c r="AI91" s="13">
        <f>IF('Données projet'!$A$62&gt;35,AI90+AH91-AQ90,IF(A91&lt;'Données projet'!$A$62,$AF$205^A91,IF(A91='Données projet'!$A$62,'Données projet'!$B$62,AI90+AH91-AQ90)))</f>
        <v>589.59999999999991</v>
      </c>
      <c r="AJ91" s="13">
        <f>AI91*VLOOKUP('Données projet'!$B$10,Paramètres!$A$1:$I$89,3,0)*VLOOKUP('Données projet'!$B$10,Paramètres!$A$1:$I$89,5,0)</f>
        <v>275.93279999999999</v>
      </c>
      <c r="AK91" s="13">
        <f t="shared" si="89"/>
        <v>66.106762012556132</v>
      </c>
      <c r="AL91" s="20">
        <f t="shared" si="58"/>
        <v>595.7189038385352</v>
      </c>
      <c r="AM91" s="59">
        <f t="shared" si="59"/>
        <v>889.05223717186846</v>
      </c>
      <c r="AN91" s="59">
        <f ca="1">AVERAGE(OFFSET($AM$3,0,0,'Données projet'!$E$10+1,1))-AVERAGE(OFFSET($H$3,0,0,'Données projet'!$E$10+1,1))</f>
        <v>252.98248842635206</v>
      </c>
      <c r="AO91" s="59">
        <f t="shared" si="90"/>
        <v>207.11938580878308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0.99387066709294991</v>
      </c>
      <c r="AV91" s="21">
        <f>EXP(-LN(2)/25)*AV90+(1-EXP(-LN(2)/25))/(LN(2)/25)*Calculateur!AQ91*Calculateur!AS91*VLOOKUP('Données projet'!$B$10,Paramètres!$A$1:$I$89,3,0)*0.475*44/12</f>
        <v>1.5731939671157487</v>
      </c>
      <c r="AW91" s="21">
        <f>EXP(-LN(2)/2)*AW90+(1-EXP(-LN(2)/2))/(LN(2)/2)*AQ91*AT91*VLOOKUP('Données projet'!$B$10,Paramètres!$A$1:$I$89,3,0)*0.475*44/12</f>
        <v>1.8313855827406034E-8</v>
      </c>
      <c r="AX91" s="21">
        <f t="shared" si="60"/>
        <v>2.5670646525225544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401.06118089678654</v>
      </c>
      <c r="T92" s="59">
        <f t="shared" si="88"/>
        <v>399.58193819355591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17.5</v>
      </c>
      <c r="AI92" s="13">
        <f>IF('Données projet'!$A$62&gt;35,AI91+AH92-AQ91,IF(A92&lt;'Données projet'!$A$62,$AF$205^A92,IF(A92='Données projet'!$A$62,'Données projet'!$B$62,AI91+AH92-AQ91)))</f>
        <v>607.09999999999991</v>
      </c>
      <c r="AJ92" s="13">
        <f>AI92*VLOOKUP('Données projet'!$B$10,Paramètres!$A$1:$I$89,3,0)*VLOOKUP('Données projet'!$B$10,Paramètres!$A$1:$I$89,5,0)</f>
        <v>284.12279999999993</v>
      </c>
      <c r="AK92" s="13">
        <f t="shared" si="89"/>
        <v>67.837532462585557</v>
      </c>
      <c r="AL92" s="20">
        <f t="shared" si="58"/>
        <v>612.99757903900297</v>
      </c>
      <c r="AM92" s="59">
        <f t="shared" si="59"/>
        <v>906.33091237233634</v>
      </c>
      <c r="AN92" s="59">
        <f ca="1">AVERAGE(OFFSET($AM$3,0,0,'Données projet'!$E$10+1,1))-AVERAGE(OFFSET($H$3,0,0,'Données projet'!$E$10+1,1))</f>
        <v>252.98248842635206</v>
      </c>
      <c r="AO92" s="59">
        <f t="shared" si="90"/>
        <v>207.11938580878308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0.9743814695125067</v>
      </c>
      <c r="AV92" s="21">
        <f>EXP(-LN(2)/25)*AV91+(1-EXP(-LN(2)/25))/(LN(2)/25)*Calculateur!AQ92*Calculateur!AS92*VLOOKUP('Données projet'!$B$10,Paramètres!$A$1:$I$89,3,0)*0.475*44/12</f>
        <v>1.5301748953542933</v>
      </c>
      <c r="AW92" s="21">
        <f>EXP(-LN(2)/2)*AW91+(1-EXP(-LN(2)/2))/(LN(2)/2)*AQ92*AT92*VLOOKUP('Données projet'!$B$10,Paramètres!$A$1:$I$89,3,0)*0.475*44/12</f>
        <v>1.2949851645231577E-8</v>
      </c>
      <c r="AX92" s="21">
        <f t="shared" si="60"/>
        <v>2.5045563778166517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401.06118089678654</v>
      </c>
      <c r="T93" s="59">
        <f t="shared" si="88"/>
        <v>399.58193819355591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624.6</v>
      </c>
      <c r="AG93" s="12">
        <f>VLOOKUP(A93,'Données projet'!$A$61:$I$81,9,0)</f>
        <v>17.5</v>
      </c>
      <c r="AH93" s="12">
        <f t="array" ref="AH93">INDEX(AG:AG,MIN(IF(ISNUMBER(AG93:AG289),ROW(AG93:AG289),"")))</f>
        <v>17.5</v>
      </c>
      <c r="AI93" s="13">
        <f>IF('Données projet'!$A$62&gt;35,AI92+AH93-AQ92,IF(A93&lt;'Données projet'!$A$62,$AF$205^A93,IF(A93='Données projet'!$A$62,'Données projet'!$B$62,AI92+AH93-AQ92)))</f>
        <v>624.59999999999991</v>
      </c>
      <c r="AJ93" s="13">
        <f>AI93*VLOOKUP('Données projet'!$B$10,Paramètres!$A$1:$I$89,3,0)*VLOOKUP('Données projet'!$B$10,Paramètres!$A$1:$I$89,5,0)</f>
        <v>292.31279999999998</v>
      </c>
      <c r="AK93" s="13">
        <f t="shared" si="89"/>
        <v>69.562504549179678</v>
      </c>
      <c r="AL93" s="20">
        <f t="shared" si="58"/>
        <v>630.26615542315449</v>
      </c>
      <c r="AM93" s="59">
        <f t="shared" si="59"/>
        <v>923.59948875648774</v>
      </c>
      <c r="AN93" s="59">
        <f ca="1">AVERAGE(OFFSET($AM$3,0,0,'Données projet'!$E$10+1,1))-AVERAGE(OFFSET($H$3,0,0,'Données projet'!$E$10+1,1))</f>
        <v>252.98248842635206</v>
      </c>
      <c r="AO93" s="59">
        <f t="shared" si="90"/>
        <v>207.11938580878308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83.4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0.95527444320937926</v>
      </c>
      <c r="AV93" s="21">
        <f>EXP(-LN(2)/25)*AV92+(1-EXP(-LN(2)/25))/(LN(2)/25)*Calculateur!AQ93*Calculateur!AS93*VLOOKUP('Données projet'!$B$10,Paramètres!$A$1:$I$89,3,0)*0.475*44/12</f>
        <v>1.4883321823724296</v>
      </c>
      <c r="AW93" s="21">
        <f>EXP(-LN(2)/2)*AW92+(1-EXP(-LN(2)/2))/(LN(2)/2)*AQ93*AT93*VLOOKUP('Données projet'!$B$10,Paramètres!$A$1:$I$89,3,0)*0.475*44/12</f>
        <v>9.1569279137030168E-9</v>
      </c>
      <c r="AX93" s="21">
        <f t="shared" si="60"/>
        <v>2.4436066347387371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401.06118089678654</v>
      </c>
      <c r="T94" s="59">
        <f t="shared" si="88"/>
        <v>399.58193819355591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18.5</v>
      </c>
      <c r="AI94" s="13">
        <f>IF('Données projet'!$A$62&gt;35,AI93+AH94-AQ93,IF(A94&lt;'Données projet'!$A$62,$AF$205^A94,IF(A94='Données projet'!$A$62,'Données projet'!$B$62,AI93+AH94-AQ93)))</f>
        <v>559.69999999999993</v>
      </c>
      <c r="AJ94" s="13">
        <f>AI94*VLOOKUP('Données projet'!$B$10,Paramètres!$A$1:$I$89,3,0)*VLOOKUP('Données projet'!$B$10,Paramètres!$A$1:$I$89,5,0)</f>
        <v>261.93959999999998</v>
      </c>
      <c r="AK94" s="13">
        <f t="shared" si="89"/>
        <v>63.135643285567426</v>
      </c>
      <c r="AL94" s="20">
        <f t="shared" si="58"/>
        <v>566.1727153890298</v>
      </c>
      <c r="AM94" s="59">
        <f t="shared" si="59"/>
        <v>859.50604872236318</v>
      </c>
      <c r="AN94" s="59">
        <f ca="1">AVERAGE(OFFSET($AM$3,0,0,'Données projet'!$E$10+1,1))-AVERAGE(OFFSET($H$3,0,0,'Données projet'!$E$10+1,1))</f>
        <v>252.98248842635206</v>
      </c>
      <c r="AO94" s="59">
        <f t="shared" si="90"/>
        <v>207.11938580878308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0.93654209403792077</v>
      </c>
      <c r="AV94" s="21">
        <f>EXP(-LN(2)/25)*AV93+(1-EXP(-LN(2)/25))/(LN(2)/25)*Calculateur!AQ94*Calculateur!AS94*VLOOKUP('Données projet'!$B$10,Paramètres!$A$1:$I$89,3,0)*0.475*44/12</f>
        <v>1.4476336605774676</v>
      </c>
      <c r="AW94" s="21">
        <f>EXP(-LN(2)/2)*AW93+(1-EXP(-LN(2)/2))/(LN(2)/2)*AQ94*AT94*VLOOKUP('Données projet'!$B$10,Paramètres!$A$1:$I$89,3,0)*0.475*44/12</f>
        <v>6.4749258226157884E-9</v>
      </c>
      <c r="AX94" s="21">
        <f t="shared" si="60"/>
        <v>2.3841757610903143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401.06118089678654</v>
      </c>
      <c r="T95" s="59">
        <f t="shared" si="88"/>
        <v>399.58193819355591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18.5</v>
      </c>
      <c r="AI95" s="13">
        <f>IF('Données projet'!$A$62&gt;35,AI94+AH95-AQ94,IF(A95&lt;'Données projet'!$A$62,$AF$205^A95,IF(A95='Données projet'!$A$62,'Données projet'!$B$62,AI94+AH95-AQ94)))</f>
        <v>578.19999999999993</v>
      </c>
      <c r="AJ95" s="13">
        <f>AI95*VLOOKUP('Données projet'!$B$10,Paramètres!$A$1:$I$89,3,0)*VLOOKUP('Données projet'!$B$10,Paramètres!$A$1:$I$89,5,0)</f>
        <v>270.59759999999994</v>
      </c>
      <c r="AK95" s="13">
        <f t="shared" si="89"/>
        <v>64.976078766498532</v>
      </c>
      <c r="AL95" s="20">
        <f t="shared" si="58"/>
        <v>584.45749051831808</v>
      </c>
      <c r="AM95" s="59">
        <f t="shared" si="59"/>
        <v>877.79082385165134</v>
      </c>
      <c r="AN95" s="59">
        <f ca="1">AVERAGE(OFFSET($AM$3,0,0,'Données projet'!$E$10+1,1))-AVERAGE(OFFSET($H$3,0,0,'Données projet'!$E$10+1,1))</f>
        <v>252.98248842635206</v>
      </c>
      <c r="AO95" s="59">
        <f t="shared" si="90"/>
        <v>207.11938580878308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0.91817707480810984</v>
      </c>
      <c r="AV95" s="21">
        <f>EXP(-LN(2)/25)*AV94+(1-EXP(-LN(2)/25))/(LN(2)/25)*Calculateur!AQ95*Calculateur!AS95*VLOOKUP('Données projet'!$B$10,Paramètres!$A$1:$I$89,3,0)*0.475*44/12</f>
        <v>1.4080480420012311</v>
      </c>
      <c r="AW95" s="21">
        <f>EXP(-LN(2)/2)*AW94+(1-EXP(-LN(2)/2))/(LN(2)/2)*AQ95*AT95*VLOOKUP('Données projet'!$B$10,Paramètres!$A$1:$I$89,3,0)*0.475*44/12</f>
        <v>4.5784639568515084E-9</v>
      </c>
      <c r="AX95" s="21">
        <f t="shared" si="60"/>
        <v>2.3262251213878047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401.06118089678654</v>
      </c>
      <c r="T96" s="59">
        <f t="shared" si="88"/>
        <v>399.58193819355591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18.5</v>
      </c>
      <c r="AI96" s="13">
        <f>IF('Données projet'!$A$62&gt;35,AI95+AH96-AQ95,IF(A96&lt;'Données projet'!$A$62,$AF$205^A96,IF(A96='Données projet'!$A$62,'Données projet'!$B$62,AI95+AH96-AQ95)))</f>
        <v>596.69999999999993</v>
      </c>
      <c r="AJ96" s="13">
        <f>AI96*VLOOKUP('Données projet'!$B$10,Paramètres!$A$1:$I$89,3,0)*VLOOKUP('Données projet'!$B$10,Paramètres!$A$1:$I$89,5,0)</f>
        <v>279.25559999999996</v>
      </c>
      <c r="AK96" s="13">
        <f t="shared" si="89"/>
        <v>66.809671397146161</v>
      </c>
      <c r="AL96" s="20">
        <f t="shared" si="58"/>
        <v>602.73034768336277</v>
      </c>
      <c r="AM96" s="59">
        <f t="shared" si="59"/>
        <v>896.06368101669614</v>
      </c>
      <c r="AN96" s="59">
        <f ca="1">AVERAGE(OFFSET($AM$3,0,0,'Données projet'!$E$10+1,1))-AVERAGE(OFFSET($H$3,0,0,'Données projet'!$E$10+1,1))</f>
        <v>252.98248842635206</v>
      </c>
      <c r="AO96" s="59">
        <f t="shared" si="90"/>
        <v>207.11938580878308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0.90017218240383978</v>
      </c>
      <c r="AV96" s="21">
        <f>EXP(-LN(2)/25)*AV95+(1-EXP(-LN(2)/25))/(LN(2)/25)*Calculateur!AQ96*Calculateur!AS96*VLOOKUP('Données projet'!$B$10,Paramètres!$A$1:$I$89,3,0)*0.475*44/12</f>
        <v>1.369544894246679</v>
      </c>
      <c r="AW96" s="21">
        <f>EXP(-LN(2)/2)*AW95+(1-EXP(-LN(2)/2))/(LN(2)/2)*AQ96*AT96*VLOOKUP('Données projet'!$B$10,Paramètres!$A$1:$I$89,3,0)*0.475*44/12</f>
        <v>3.2374629113078942E-9</v>
      </c>
      <c r="AX96" s="21">
        <f t="shared" si="60"/>
        <v>2.2697170798879815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401.06118089678654</v>
      </c>
      <c r="T97" s="59">
        <f t="shared" si="88"/>
        <v>399.58193819355591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18.5</v>
      </c>
      <c r="AI97" s="13">
        <f>IF('Données projet'!$A$62&gt;35,AI96+AH97-AQ96,IF(A97&lt;'Données projet'!$A$62,$AF$205^A97,IF(A97='Données projet'!$A$62,'Données projet'!$B$62,AI96+AH97-AQ96)))</f>
        <v>615.19999999999993</v>
      </c>
      <c r="AJ97" s="13">
        <f>AI97*VLOOKUP('Données projet'!$B$10,Paramètres!$A$1:$I$89,3,0)*VLOOKUP('Données projet'!$B$10,Paramètres!$A$1:$I$89,5,0)</f>
        <v>287.91359999999997</v>
      </c>
      <c r="AK97" s="13">
        <f t="shared" si="89"/>
        <v>68.636657677063752</v>
      </c>
      <c r="AL97" s="20">
        <f t="shared" si="58"/>
        <v>620.99169878755254</v>
      </c>
      <c r="AM97" s="59">
        <f t="shared" si="59"/>
        <v>914.32503212088591</v>
      </c>
      <c r="AN97" s="59">
        <f ca="1">AVERAGE(OFFSET($AM$3,0,0,'Données projet'!$E$10+1,1))-AVERAGE(OFFSET($H$3,0,0,'Données projet'!$E$10+1,1))</f>
        <v>252.98248842635206</v>
      </c>
      <c r="AO97" s="59">
        <f t="shared" si="90"/>
        <v>207.11938580878308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0.88252035495771752</v>
      </c>
      <c r="AV97" s="21">
        <f>EXP(-LN(2)/25)*AV96+(1-EXP(-LN(2)/25))/(LN(2)/25)*Calculateur!AQ97*Calculateur!AS97*VLOOKUP('Données projet'!$B$10,Paramètres!$A$1:$I$89,3,0)*0.475*44/12</f>
        <v>1.3320946170922678</v>
      </c>
      <c r="AW97" s="21">
        <f>EXP(-LN(2)/2)*AW96+(1-EXP(-LN(2)/2))/(LN(2)/2)*AQ97*AT97*VLOOKUP('Données projet'!$B$10,Paramètres!$A$1:$I$89,3,0)*0.475*44/12</f>
        <v>2.2892319784257542E-9</v>
      </c>
      <c r="AX97" s="21">
        <f t="shared" si="60"/>
        <v>2.2146149743392174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401.06118089678654</v>
      </c>
      <c r="T98" s="59">
        <f t="shared" si="88"/>
        <v>399.58193819355591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18.5</v>
      </c>
      <c r="AI98" s="13">
        <f>IF('Données projet'!$A$62&gt;35,AI97+AH98-AQ97,IF(A98&lt;'Données projet'!$A$62,$AF$205^A98,IF(A98='Données projet'!$A$62,'Données projet'!$B$62,AI97+AH98-AQ97)))</f>
        <v>633.69999999999993</v>
      </c>
      <c r="AJ98" s="13">
        <f>AI98*VLOOKUP('Données projet'!$B$10,Paramètres!$A$1:$I$89,3,0)*VLOOKUP('Données projet'!$B$10,Paramètres!$A$1:$I$89,5,0)</f>
        <v>296.57159999999999</v>
      </c>
      <c r="AK98" s="13">
        <f t="shared" si="89"/>
        <v>70.457259073622822</v>
      </c>
      <c r="AL98" s="20">
        <f t="shared" si="58"/>
        <v>639.24192955322633</v>
      </c>
      <c r="AM98" s="59">
        <f t="shared" si="59"/>
        <v>932.57526288655959</v>
      </c>
      <c r="AN98" s="59">
        <f ca="1">AVERAGE(OFFSET($AM$3,0,0,'Données projet'!$E$10+1,1))-AVERAGE(OFFSET($H$3,0,0,'Données projet'!$E$10+1,1))</f>
        <v>252.98248842635206</v>
      </c>
      <c r="AO98" s="59">
        <f t="shared" si="90"/>
        <v>207.11938580878308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0.8652146690812621</v>
      </c>
      <c r="AV98" s="21">
        <f>EXP(-LN(2)/25)*AV97+(1-EXP(-LN(2)/25))/(LN(2)/25)*Calculateur!AQ98*Calculateur!AS98*VLOOKUP('Données projet'!$B$10,Paramètres!$A$1:$I$89,3,0)*0.475*44/12</f>
        <v>1.2956684197360684</v>
      </c>
      <c r="AW98" s="21">
        <f>EXP(-LN(2)/2)*AW97+(1-EXP(-LN(2)/2))/(LN(2)/2)*AQ98*AT98*VLOOKUP('Données projet'!$B$10,Paramètres!$A$1:$I$89,3,0)*0.475*44/12</f>
        <v>1.6187314556539471E-9</v>
      </c>
      <c r="AX98" s="21">
        <f t="shared" si="60"/>
        <v>2.1608830904360619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401.06118089678654</v>
      </c>
      <c r="T99" s="59">
        <f t="shared" si="88"/>
        <v>399.58193819355591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18.5</v>
      </c>
      <c r="AI99" s="13">
        <f>IF('Données projet'!$A$62&gt;35,AI98+AH99-AQ98,IF(A99&lt;'Données projet'!$A$62,$AF$205^A99,IF(A99='Données projet'!$A$62,'Données projet'!$B$62,AI98+AH99-AQ98)))</f>
        <v>652.19999999999993</v>
      </c>
      <c r="AJ99" s="13">
        <f>AI99*VLOOKUP('Données projet'!$B$10,Paramètres!$A$1:$I$89,3,0)*VLOOKUP('Données projet'!$B$10,Paramètres!$A$1:$I$89,5,0)</f>
        <v>305.22959999999995</v>
      </c>
      <c r="AK99" s="13">
        <f t="shared" si="89"/>
        <v>72.271683388093081</v>
      </c>
      <c r="AL99" s="20">
        <f t="shared" si="58"/>
        <v>657.48140190092874</v>
      </c>
      <c r="AM99" s="59">
        <f t="shared" si="59"/>
        <v>950.81473523426212</v>
      </c>
      <c r="AN99" s="59">
        <f ca="1">AVERAGE(OFFSET($AM$3,0,0,'Données projet'!$E$10+1,1))-AVERAGE(OFFSET($H$3,0,0,'Données projet'!$E$10+1,1))</f>
        <v>252.98248842635206</v>
      </c>
      <c r="AO99" s="59">
        <f t="shared" si="90"/>
        <v>207.11938580878308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0.84824833714941783</v>
      </c>
      <c r="AV99" s="21">
        <f>EXP(-LN(2)/25)*AV98+(1-EXP(-LN(2)/25))/(LN(2)/25)*Calculateur!AQ99*Calculateur!AS99*VLOOKUP('Données projet'!$B$10,Paramètres!$A$1:$I$89,3,0)*0.475*44/12</f>
        <v>1.2602382986621448</v>
      </c>
      <c r="AW99" s="21">
        <f>EXP(-LN(2)/2)*AW98+(1-EXP(-LN(2)/2))/(LN(2)/2)*AQ99*AT99*VLOOKUP('Données projet'!$B$10,Paramètres!$A$1:$I$89,3,0)*0.475*44/12</f>
        <v>1.1446159892128771E-9</v>
      </c>
      <c r="AX99" s="21">
        <f t="shared" si="60"/>
        <v>2.1084866369561786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401.06118089678654</v>
      </c>
      <c r="T100" s="59">
        <f t="shared" si="88"/>
        <v>399.58193819355591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18.5</v>
      </c>
      <c r="AI100" s="13">
        <f>IF('Données projet'!$A$62&gt;35,AI99+AH100-AQ99,IF(A100&lt;'Données projet'!$A$62,$AF$205^A100,IF(A100='Données projet'!$A$62,'Données projet'!$B$62,AI99+AH100-AQ99)))</f>
        <v>670.69999999999993</v>
      </c>
      <c r="AJ100" s="13">
        <f>AI100*VLOOKUP('Données projet'!$B$10,Paramètres!$A$1:$I$89,3,0)*VLOOKUP('Données projet'!$B$10,Paramètres!$A$1:$I$89,5,0)</f>
        <v>313.88759999999996</v>
      </c>
      <c r="AK100" s="13">
        <f t="shared" si="89"/>
        <v>74.080125962367049</v>
      </c>
      <c r="AL100" s="20">
        <f t="shared" si="58"/>
        <v>675.71045605112249</v>
      </c>
      <c r="AM100" s="59">
        <f t="shared" si="59"/>
        <v>969.04378938445575</v>
      </c>
      <c r="AN100" s="59">
        <f ca="1">AVERAGE(OFFSET($AM$3,0,0,'Données projet'!$E$10+1,1))-AVERAGE(OFFSET($H$3,0,0,'Données projet'!$E$10+1,1))</f>
        <v>252.98248842635206</v>
      </c>
      <c r="AO100" s="59">
        <f t="shared" si="90"/>
        <v>207.11938580878308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0.83161470463831633</v>
      </c>
      <c r="AV100" s="21">
        <f>EXP(-LN(2)/25)*AV99+(1-EXP(-LN(2)/25))/(LN(2)/25)*Calculateur!AQ100*Calculateur!AS100*VLOOKUP('Données projet'!$B$10,Paramètres!$A$1:$I$89,3,0)*0.475*44/12</f>
        <v>1.2257770161121766</v>
      </c>
      <c r="AW100" s="21">
        <f>EXP(-LN(2)/2)*AW99+(1-EXP(-LN(2)/2))/(LN(2)/2)*AQ100*AT100*VLOOKUP('Données projet'!$B$10,Paramètres!$A$1:$I$89,3,0)*0.475*44/12</f>
        <v>8.0936572782697355E-10</v>
      </c>
      <c r="AX100" s="21">
        <f t="shared" si="60"/>
        <v>2.0573917215598589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401.06118089678654</v>
      </c>
      <c r="T101" s="59">
        <f t="shared" si="88"/>
        <v>399.58193819355591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18.5</v>
      </c>
      <c r="AI101" s="13">
        <f>IF('Données projet'!$A$62&gt;35,AI100+AH101-AQ100,IF(A101&lt;'Données projet'!$A$62,$AF$205^A101,IF(A101='Données projet'!$A$62,'Données projet'!$B$62,AI100+AH101-AQ100)))</f>
        <v>689.19999999999993</v>
      </c>
      <c r="AJ101" s="13">
        <f>AI101*VLOOKUP('Données projet'!$B$10,Paramètres!$A$1:$I$89,3,0)*VLOOKUP('Données projet'!$B$10,Paramètres!$A$1:$I$89,5,0)</f>
        <v>322.54559999999998</v>
      </c>
      <c r="AK101" s="13">
        <f t="shared" si="89"/>
        <v>75.882770748800752</v>
      </c>
      <c r="AL101" s="20">
        <f t="shared" si="58"/>
        <v>693.92941238749461</v>
      </c>
      <c r="AM101" s="59">
        <f t="shared" si="59"/>
        <v>987.26274572082798</v>
      </c>
      <c r="AN101" s="59">
        <f ca="1">AVERAGE(OFFSET($AM$3,0,0,'Données projet'!$E$10+1,1))-AVERAGE(OFFSET($H$3,0,0,'Données projet'!$E$10+1,1))</f>
        <v>252.98248842635206</v>
      </c>
      <c r="AO101" s="59">
        <f t="shared" si="90"/>
        <v>207.11938580878308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0.81530724751524353</v>
      </c>
      <c r="AV101" s="21">
        <f>EXP(-LN(2)/25)*AV100+(1-EXP(-LN(2)/25))/(LN(2)/25)*Calculateur!AQ101*Calculateur!AS101*VLOOKUP('Données projet'!$B$10,Paramètres!$A$1:$I$89,3,0)*0.475*44/12</f>
        <v>1.1922580791457773</v>
      </c>
      <c r="AW101" s="21">
        <f>EXP(-LN(2)/2)*AW100+(1-EXP(-LN(2)/2))/(LN(2)/2)*AQ101*AT101*VLOOKUP('Données projet'!$B$10,Paramètres!$A$1:$I$89,3,0)*0.475*44/12</f>
        <v>5.7230799460643855E-10</v>
      </c>
      <c r="AX101" s="21">
        <f t="shared" si="60"/>
        <v>2.0075653272333289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401.06118089678654</v>
      </c>
      <c r="T102" s="59">
        <f t="shared" si="88"/>
        <v>399.58193819355591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18.5</v>
      </c>
      <c r="AI102" s="13">
        <f>IF('Données projet'!$A$62&gt;35,AI101+AH102-AQ101,IF(A102&lt;'Données projet'!$A$62,$AF$205^A102,IF(A102='Données projet'!$A$62,'Données projet'!$B$62,AI101+AH102-AQ101)))</f>
        <v>707.69999999999993</v>
      </c>
      <c r="AJ102" s="13">
        <f>AI102*VLOOKUP('Données projet'!$B$10,Paramètres!$A$1:$I$89,3,0)*VLOOKUP('Données projet'!$B$10,Paramètres!$A$1:$I$89,5,0)</f>
        <v>331.20359999999994</v>
      </c>
      <c r="AK102" s="13">
        <f t="shared" si="89"/>
        <v>77.67979126195354</v>
      </c>
      <c r="AL102" s="20">
        <f t="shared" si="58"/>
        <v>712.13857311456889</v>
      </c>
      <c r="AM102" s="59">
        <f t="shared" si="59"/>
        <v>1005.4719064479023</v>
      </c>
      <c r="AN102" s="59">
        <f ca="1">AVERAGE(OFFSET($AM$3,0,0,'Données projet'!$E$10+1,1))-AVERAGE(OFFSET($H$3,0,0,'Données projet'!$E$10+1,1))</f>
        <v>252.98248842635206</v>
      </c>
      <c r="AO102" s="59">
        <f t="shared" si="90"/>
        <v>207.11938580878308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0.79931956967978746</v>
      </c>
      <c r="AV102" s="21">
        <f>EXP(-LN(2)/25)*AV101+(1-EXP(-LN(2)/25))/(LN(2)/25)*Calculateur!AQ102*Calculateur!AS102*VLOOKUP('Données projet'!$B$10,Paramètres!$A$1:$I$89,3,0)*0.475*44/12</f>
        <v>1.1596557192734085</v>
      </c>
      <c r="AW102" s="21">
        <f>EXP(-LN(2)/2)*AW101+(1-EXP(-LN(2)/2))/(LN(2)/2)*AQ102*AT102*VLOOKUP('Données projet'!$B$10,Paramètres!$A$1:$I$89,3,0)*0.475*44/12</f>
        <v>4.0468286391348677E-10</v>
      </c>
      <c r="AX102" s="21">
        <f t="shared" si="60"/>
        <v>1.9589752893578789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401.06118089678654</v>
      </c>
      <c r="T103" s="59">
        <f t="shared" si="88"/>
        <v>399.58193819355591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726.2</v>
      </c>
      <c r="AG103" s="12">
        <f>VLOOKUP(A103,'Données projet'!$A$61:$I$81,9,0)</f>
        <v>18.5</v>
      </c>
      <c r="AH103" s="12">
        <f t="array" ref="AH103">INDEX(AG:AG,MIN(IF(ISNUMBER(AG103:AG299),ROW(AG103:AG299),"")))</f>
        <v>18.5</v>
      </c>
      <c r="AI103" s="13">
        <f>IF('Données projet'!$A$62&gt;35,AI102+AH103-AQ102,IF(A103&lt;'Données projet'!$A$62,$AF$205^A103,IF(A103='Données projet'!$A$62,'Données projet'!$B$62,AI102+AH103-AQ102)))</f>
        <v>726.19999999999993</v>
      </c>
      <c r="AJ103" s="13">
        <f>AI103*VLOOKUP('Données projet'!$B$10,Paramètres!$A$1:$I$89,3,0)*VLOOKUP('Données projet'!$B$10,Paramètres!$A$1:$I$89,5,0)</f>
        <v>339.86159999999995</v>
      </c>
      <c r="AK103" s="13">
        <f t="shared" si="89"/>
        <v>79.47135142801136</v>
      </c>
      <c r="AL103" s="20">
        <f t="shared" si="58"/>
        <v>730.33822373711973</v>
      </c>
      <c r="AM103" s="59">
        <f t="shared" si="59"/>
        <v>1023.671557070453</v>
      </c>
      <c r="AN103" s="59">
        <f ca="1">AVERAGE(OFFSET($AM$3,0,0,'Données projet'!$E$10+1,1))-AVERAGE(OFFSET($H$3,0,0,'Données projet'!$E$10+1,1))</f>
        <v>252.98248842635206</v>
      </c>
      <c r="AO103" s="59">
        <f t="shared" si="90"/>
        <v>207.11938580878308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726.2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0.78364540045516407</v>
      </c>
      <c r="AV103" s="21">
        <f>EXP(-LN(2)/25)*AV102+(1-EXP(-LN(2)/25))/(LN(2)/25)*Calculateur!AQ103*Calculateur!AS103*VLOOKUP('Données projet'!$B$10,Paramètres!$A$1:$I$89,3,0)*0.475*44/12</f>
        <v>1.1279448726462333</v>
      </c>
      <c r="AW103" s="21">
        <f>EXP(-LN(2)/2)*AW102+(1-EXP(-LN(2)/2))/(LN(2)/2)*AQ103*AT103*VLOOKUP('Données projet'!$B$10,Paramètres!$A$1:$I$89,3,0)*0.475*44/12</f>
        <v>2.8615399730321928E-10</v>
      </c>
      <c r="AX103" s="21">
        <f t="shared" si="60"/>
        <v>1.9115902733875514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401.06118089678654</v>
      </c>
      <c r="T104" s="59">
        <f t="shared" si="88"/>
        <v>399.58193819355591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-5.3205440053716299E-14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252.98248842635206</v>
      </c>
      <c r="AO104" s="59">
        <f t="shared" si="90"/>
        <v>207.11938580878308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0.76827859212873628</v>
      </c>
      <c r="AV104" s="21">
        <f>EXP(-LN(2)/25)*AV103+(1-EXP(-LN(2)/25))/(LN(2)/25)*Calculateur!AQ104*Calculateur!AS104*VLOOKUP('Données projet'!$B$10,Paramètres!$A$1:$I$89,3,0)*0.475*44/12</f>
        <v>1.0971011607876793</v>
      </c>
      <c r="AW104" s="21">
        <f>EXP(-LN(2)/2)*AW103+(1-EXP(-LN(2)/2))/(LN(2)/2)*AQ104*AT104*VLOOKUP('Données projet'!$B$10,Paramètres!$A$1:$I$89,3,0)*0.475*44/12</f>
        <v>2.0234143195674339E-10</v>
      </c>
      <c r="AX104" s="21">
        <f t="shared" si="60"/>
        <v>1.865379753118757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401.06118089678654</v>
      </c>
      <c r="T105" s="59">
        <f t="shared" si="88"/>
        <v>399.58193819355591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252.98248842635206</v>
      </c>
      <c r="AO105" s="59">
        <f t="shared" si="90"/>
        <v>207.11938580878308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0.75321311754076214</v>
      </c>
      <c r="AV105" s="21">
        <f>EXP(-LN(2)/25)*AV104+(1-EXP(-LN(2)/25))/(LN(2)/25)*Calculateur!AQ105*Calculateur!AS105*VLOOKUP('Données projet'!$B$10,Paramètres!$A$1:$I$89,3,0)*0.475*44/12</f>
        <v>1.0671008718518975</v>
      </c>
      <c r="AW105" s="21">
        <f>EXP(-LN(2)/2)*AW104+(1-EXP(-LN(2)/2))/(LN(2)/2)*AQ105*AT105*VLOOKUP('Données projet'!$B$10,Paramètres!$A$1:$I$89,3,0)*0.475*44/12</f>
        <v>1.4307699865160964E-10</v>
      </c>
      <c r="AX105" s="21">
        <f t="shared" si="60"/>
        <v>1.8203139895357368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401.06118089678654</v>
      </c>
      <c r="T106" s="59">
        <f t="shared" si="88"/>
        <v>399.58193819355591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252.98248842635206</v>
      </c>
      <c r="AO106" s="59">
        <f t="shared" si="90"/>
        <v>207.11938580878308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0.73844306772042612</v>
      </c>
      <c r="AV106" s="21">
        <f>EXP(-LN(2)/25)*AV105+(1-EXP(-LN(2)/25))/(LN(2)/25)*Calculateur!AQ106*Calculateur!AS106*VLOOKUP('Données projet'!$B$10,Paramètres!$A$1:$I$89,3,0)*0.475*44/12</f>
        <v>1.0379209423947113</v>
      </c>
      <c r="AW106" s="21">
        <f>EXP(-LN(2)/2)*AW105+(1-EXP(-LN(2)/2))/(LN(2)/2)*AQ106*AT106*VLOOKUP('Données projet'!$B$10,Paramètres!$A$1:$I$89,3,0)*0.475*44/12</f>
        <v>1.0117071597837169E-10</v>
      </c>
      <c r="AX106" s="21">
        <f t="shared" si="60"/>
        <v>1.7763640102163081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401.06118089678654</v>
      </c>
      <c r="T107" s="59">
        <f t="shared" si="88"/>
        <v>399.58193819355591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252.98248842635206</v>
      </c>
      <c r="AO107" s="59">
        <f t="shared" si="90"/>
        <v>207.11938580878308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0.72396264956822598</v>
      </c>
      <c r="AV107" s="21">
        <f>EXP(-LN(2)/25)*AV106+(1-EXP(-LN(2)/25))/(LN(2)/25)*Calculateur!AQ107*Calculateur!AS107*VLOOKUP('Données projet'!$B$10,Paramètres!$A$1:$I$89,3,0)*0.475*44/12</f>
        <v>1.0095389396430379</v>
      </c>
      <c r="AW107" s="21">
        <f>EXP(-LN(2)/2)*AW106+(1-EXP(-LN(2)/2))/(LN(2)/2)*AQ107*AT107*VLOOKUP('Données projet'!$B$10,Paramètres!$A$1:$I$89,3,0)*0.475*44/12</f>
        <v>7.1538499325804819E-11</v>
      </c>
      <c r="AX107" s="21">
        <f t="shared" si="60"/>
        <v>1.7335015892828023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401.06118089678654</v>
      </c>
      <c r="T108" s="59">
        <f t="shared" si="88"/>
        <v>399.58193819355591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252.98248842635206</v>
      </c>
      <c r="AO108" s="59">
        <f t="shared" si="90"/>
        <v>207.11938580878308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0.7097661835838075</v>
      </c>
      <c r="AV108" s="21">
        <f>EXP(-LN(2)/25)*AV107+(1-EXP(-LN(2)/25))/(LN(2)/25)*Calculateur!AQ108*Calculateur!AS108*VLOOKUP('Données projet'!$B$10,Paramètres!$A$1:$I$89,3,0)*0.475*44/12</f>
        <v>0.98193304424915351</v>
      </c>
      <c r="AW108" s="21">
        <f>EXP(-LN(2)/2)*AW107+(1-EXP(-LN(2)/2))/(LN(2)/2)*AQ108*AT108*VLOOKUP('Données projet'!$B$10,Paramètres!$A$1:$I$89,3,0)*0.475*44/12</f>
        <v>5.0585357989185847E-11</v>
      </c>
      <c r="AX108" s="21">
        <f t="shared" si="60"/>
        <v>1.6916992278835463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401.06118089678654</v>
      </c>
      <c r="T109" s="59">
        <f t="shared" si="88"/>
        <v>399.58193819355591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252.98248842635206</v>
      </c>
      <c r="AO109" s="59">
        <f t="shared" si="90"/>
        <v>207.11938580878308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0.6958481016383542</v>
      </c>
      <c r="AV109" s="21">
        <f>EXP(-LN(2)/25)*AV108+(1-EXP(-LN(2)/25))/(LN(2)/25)*Calculateur!AQ109*Calculateur!AS109*VLOOKUP('Données projet'!$B$10,Paramètres!$A$1:$I$89,3,0)*0.475*44/12</f>
        <v>0.95508203351654586</v>
      </c>
      <c r="AW109" s="21">
        <f>EXP(-LN(2)/2)*AW108+(1-EXP(-LN(2)/2))/(LN(2)/2)*AQ109*AT109*VLOOKUP('Données projet'!$B$10,Paramètres!$A$1:$I$89,3,0)*0.475*44/12</f>
        <v>3.576924966290241E-11</v>
      </c>
      <c r="AX109" s="21">
        <f t="shared" si="60"/>
        <v>1.6509301351906691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401.06118089678654</v>
      </c>
      <c r="T110" s="59">
        <f t="shared" si="88"/>
        <v>399.58193819355591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252.98248842635206</v>
      </c>
      <c r="AO110" s="59">
        <f t="shared" si="90"/>
        <v>207.11938580878308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0.68220294479065957</v>
      </c>
      <c r="AV110" s="21">
        <f>EXP(-LN(2)/25)*AV109+(1-EXP(-LN(2)/25))/(LN(2)/25)*Calculateur!AQ110*Calculateur!AS110*VLOOKUP('Données projet'!$B$10,Paramètres!$A$1:$I$89,3,0)*0.475*44/12</f>
        <v>0.92896526508445465</v>
      </c>
      <c r="AW110" s="21">
        <f>EXP(-LN(2)/2)*AW109+(1-EXP(-LN(2)/2))/(LN(2)/2)*AQ110*AT110*VLOOKUP('Données projet'!$B$10,Paramètres!$A$1:$I$89,3,0)*0.475*44/12</f>
        <v>2.5292678994592923E-11</v>
      </c>
      <c r="AX110" s="21">
        <f t="shared" si="60"/>
        <v>1.611168209900407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401.06118089678654</v>
      </c>
      <c r="T111" s="59">
        <f t="shared" si="88"/>
        <v>399.58193819355591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252.98248842635206</v>
      </c>
      <c r="AO111" s="59">
        <f t="shared" si="90"/>
        <v>207.11938580878308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0.66882536114602431</v>
      </c>
      <c r="AV111" s="21">
        <f>EXP(-LN(2)/25)*AV110+(1-EXP(-LN(2)/25))/(LN(2)/25)*Calculateur!AQ111*Calculateur!AS111*VLOOKUP('Données projet'!$B$10,Paramètres!$A$1:$I$89,3,0)*0.475*44/12</f>
        <v>0.90356266105856009</v>
      </c>
      <c r="AW111" s="21">
        <f>EXP(-LN(2)/2)*AW110+(1-EXP(-LN(2)/2))/(LN(2)/2)*AQ111*AT111*VLOOKUP('Données projet'!$B$10,Paramètres!$A$1:$I$89,3,0)*0.475*44/12</f>
        <v>1.7884624831451205E-11</v>
      </c>
      <c r="AX111" s="21">
        <f t="shared" si="60"/>
        <v>1.5723880222224691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401.06118089678654</v>
      </c>
      <c r="T112" s="59">
        <f t="shared" si="88"/>
        <v>399.58193819355591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252.98248842635206</v>
      </c>
      <c r="AO112" s="59">
        <f t="shared" si="90"/>
        <v>207.11938580878308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0.65571010375714001</v>
      </c>
      <c r="AV112" s="21">
        <f>EXP(-LN(2)/25)*AV111+(1-EXP(-LN(2)/25))/(LN(2)/25)*Calculateur!AQ112*Calculateur!AS112*VLOOKUP('Données projet'!$B$10,Paramètres!$A$1:$I$89,3,0)*0.475*44/12</f>
        <v>0.87885469257561855</v>
      </c>
      <c r="AW112" s="21">
        <f>EXP(-LN(2)/2)*AW111+(1-EXP(-LN(2)/2))/(LN(2)/2)*AQ112*AT112*VLOOKUP('Données projet'!$B$10,Paramètres!$A$1:$I$89,3,0)*0.475*44/12</f>
        <v>1.2646339497296462E-11</v>
      </c>
      <c r="AX112" s="21">
        <f t="shared" si="60"/>
        <v>1.5345647963454048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401.06118089678654</v>
      </c>
      <c r="T113" s="59">
        <f t="shared" si="88"/>
        <v>399.58193819355591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252.98248842635206</v>
      </c>
      <c r="AO113" s="59">
        <f t="shared" si="90"/>
        <v>207.11938580878308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0.64285202856613466</v>
      </c>
      <c r="AV113" s="21">
        <f>EXP(-LN(2)/25)*AV112+(1-EXP(-LN(2)/25))/(LN(2)/25)*Calculateur!AQ113*Calculateur!AS113*VLOOKUP('Données projet'!$B$10,Paramètres!$A$1:$I$89,3,0)*0.475*44/12</f>
        <v>0.85482236479017859</v>
      </c>
      <c r="AW113" s="21">
        <f>EXP(-LN(2)/2)*AW112+(1-EXP(-LN(2)/2))/(LN(2)/2)*AQ113*AT113*VLOOKUP('Données projet'!$B$10,Paramètres!$A$1:$I$89,3,0)*0.475*44/12</f>
        <v>8.9423124157256024E-12</v>
      </c>
      <c r="AX113" s="21">
        <f t="shared" si="60"/>
        <v>1.4976743933652557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401.06118089678654</v>
      </c>
      <c r="T114" s="59">
        <f t="shared" si="88"/>
        <v>399.58193819355591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252.98248842635206</v>
      </c>
      <c r="AO114" s="59">
        <f t="shared" si="90"/>
        <v>207.11938580878308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0.63024609238697338</v>
      </c>
      <c r="AV114" s="21">
        <f>EXP(-LN(2)/25)*AV113+(1-EXP(-LN(2)/25))/(LN(2)/25)*Calculateur!AQ114*Calculateur!AS114*VLOOKUP('Données projet'!$B$10,Paramètres!$A$1:$I$89,3,0)*0.475*44/12</f>
        <v>0.83144720227183666</v>
      </c>
      <c r="AW114" s="21">
        <f>EXP(-LN(2)/2)*AW113+(1-EXP(-LN(2)/2))/(LN(2)/2)*AQ114*AT114*VLOOKUP('Données projet'!$B$10,Paramètres!$A$1:$I$89,3,0)*0.475*44/12</f>
        <v>6.3231697486482308E-12</v>
      </c>
      <c r="AX114" s="21">
        <f t="shared" si="60"/>
        <v>1.4616932946651333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401.06118089678654</v>
      </c>
      <c r="T115" s="59">
        <f t="shared" si="88"/>
        <v>399.58193819355591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252.98248842635206</v>
      </c>
      <c r="AO115" s="59">
        <f t="shared" si="90"/>
        <v>207.11938580878308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0.61788735092742364</v>
      </c>
      <c r="AV115" s="21">
        <f>EXP(-LN(2)/25)*AV114+(1-EXP(-LN(2)/25))/(LN(2)/25)*Calculateur!AQ115*Calculateur!AS115*VLOOKUP('Données projet'!$B$10,Paramètres!$A$1:$I$89,3,0)*0.475*44/12</f>
        <v>0.80871123480180518</v>
      </c>
      <c r="AW115" s="21">
        <f>EXP(-LN(2)/2)*AW114+(1-EXP(-LN(2)/2))/(LN(2)/2)*AQ115*AT115*VLOOKUP('Données projet'!$B$10,Paramètres!$A$1:$I$89,3,0)*0.475*44/12</f>
        <v>4.4711562078628012E-12</v>
      </c>
      <c r="AX115" s="21">
        <f t="shared" si="60"/>
        <v>1.4265985857337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401.06118089678654</v>
      </c>
      <c r="T116" s="59">
        <f t="shared" si="88"/>
        <v>399.58193819355591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252.98248842635206</v>
      </c>
      <c r="AO116" s="59">
        <f t="shared" si="90"/>
        <v>207.11938580878308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0.60577095684980775</v>
      </c>
      <c r="AV116" s="21">
        <f>EXP(-LN(2)/25)*AV115+(1-EXP(-LN(2)/25))/(LN(2)/25)*Calculateur!AQ116*Calculateur!AS116*VLOOKUP('Données projet'!$B$10,Paramètres!$A$1:$I$89,3,0)*0.475*44/12</f>
        <v>0.78659698355787433</v>
      </c>
      <c r="AW116" s="21">
        <f>EXP(-LN(2)/2)*AW115+(1-EXP(-LN(2)/2))/(LN(2)/2)*AQ116*AT116*VLOOKUP('Données projet'!$B$10,Paramètres!$A$1:$I$89,3,0)*0.475*44/12</f>
        <v>3.1615848743241154E-12</v>
      </c>
      <c r="AX116" s="21">
        <f t="shared" si="60"/>
        <v>1.3923679404108438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401.06118089678654</v>
      </c>
      <c r="T117" s="59">
        <f t="shared" si="88"/>
        <v>399.58193819355591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252.98248842635206</v>
      </c>
      <c r="AO117" s="59">
        <f t="shared" si="90"/>
        <v>207.11938580878308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0.59389215786978322</v>
      </c>
      <c r="AV117" s="21">
        <f>EXP(-LN(2)/25)*AV116+(1-EXP(-LN(2)/25))/(LN(2)/25)*Calculateur!AQ117*Calculateur!AS117*VLOOKUP('Données projet'!$B$10,Paramètres!$A$1:$I$89,3,0)*0.475*44/12</f>
        <v>0.76508744767714665</v>
      </c>
      <c r="AW117" s="21">
        <f>EXP(-LN(2)/2)*AW116+(1-EXP(-LN(2)/2))/(LN(2)/2)*AQ117*AT117*VLOOKUP('Données projet'!$B$10,Paramètres!$A$1:$I$89,3,0)*0.475*44/12</f>
        <v>2.2355781039314006E-12</v>
      </c>
      <c r="AX117" s="21">
        <f t="shared" si="60"/>
        <v>1.3589796055491654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401.06118089678654</v>
      </c>
      <c r="T118" s="59">
        <f t="shared" si="88"/>
        <v>399.58193819355591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252.98248842635206</v>
      </c>
      <c r="AO118" s="59">
        <f t="shared" si="90"/>
        <v>207.11938580878308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0.58224629489240498</v>
      </c>
      <c r="AV118" s="21">
        <f>EXP(-LN(2)/25)*AV117+(1-EXP(-LN(2)/25))/(LN(2)/25)*Calculateur!AQ118*Calculateur!AS118*VLOOKUP('Données projet'!$B$10,Paramètres!$A$1:$I$89,3,0)*0.475*44/12</f>
        <v>0.7441660911862148</v>
      </c>
      <c r="AW118" s="21">
        <f>EXP(-LN(2)/2)*AW117+(1-EXP(-LN(2)/2))/(LN(2)/2)*AQ118*AT118*VLOOKUP('Données projet'!$B$10,Paramètres!$A$1:$I$89,3,0)*0.475*44/12</f>
        <v>1.5807924371620577E-12</v>
      </c>
      <c r="AX118" s="21">
        <f t="shared" si="60"/>
        <v>1.3264123860802004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401.06118089678654</v>
      </c>
      <c r="T119" s="59">
        <f t="shared" si="88"/>
        <v>399.58193819355591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252.98248842635206</v>
      </c>
      <c r="AO119" s="59">
        <f t="shared" si="90"/>
        <v>207.11938580878308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0.57082880018473814</v>
      </c>
      <c r="AV119" s="21">
        <f>EXP(-LN(2)/25)*AV118+(1-EXP(-LN(2)/25))/(LN(2)/25)*Calculateur!AQ119*Calculateur!AS119*VLOOKUP('Données projet'!$B$10,Paramètres!$A$1:$I$89,3,0)*0.475*44/12</f>
        <v>0.72381683028873378</v>
      </c>
      <c r="AW119" s="21">
        <f>EXP(-LN(2)/2)*AW118+(1-EXP(-LN(2)/2))/(LN(2)/2)*AQ119*AT119*VLOOKUP('Données projet'!$B$10,Paramètres!$A$1:$I$89,3,0)*0.475*44/12</f>
        <v>1.1177890519657003E-12</v>
      </c>
      <c r="AX119" s="21">
        <f t="shared" si="60"/>
        <v>1.2946456304745897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401.06118089678654</v>
      </c>
      <c r="T120" s="59">
        <f t="shared" si="88"/>
        <v>399.58193819355591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252.98248842635206</v>
      </c>
      <c r="AO120" s="59">
        <f t="shared" si="90"/>
        <v>207.11938580878308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0.55963519558430452</v>
      </c>
      <c r="AV120" s="21">
        <f>EXP(-LN(2)/25)*AV119+(1-EXP(-LN(2)/25))/(LN(2)/25)*Calculateur!AQ120*Calculateur!AS120*VLOOKUP('Données projet'!$B$10,Paramètres!$A$1:$I$89,3,0)*0.475*44/12</f>
        <v>0.70402402100061556</v>
      </c>
      <c r="AW120" s="21">
        <f>EXP(-LN(2)/2)*AW119+(1-EXP(-LN(2)/2))/(LN(2)/2)*AQ120*AT120*VLOOKUP('Données projet'!$B$10,Paramètres!$A$1:$I$89,3,0)*0.475*44/12</f>
        <v>7.9039621858102885E-13</v>
      </c>
      <c r="AX120" s="21">
        <f t="shared" si="60"/>
        <v>1.2636592165857106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401.06118089678654</v>
      </c>
      <c r="T121" s="59">
        <f t="shared" si="88"/>
        <v>399.58193819355591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252.98248842635206</v>
      </c>
      <c r="AO121" s="59">
        <f t="shared" si="90"/>
        <v>207.11938580878308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0.54866109074266067</v>
      </c>
      <c r="AV121" s="21">
        <f>EXP(-LN(2)/25)*AV120+(1-EXP(-LN(2)/25))/(LN(2)/25)*Calculateur!AQ121*Calculateur!AS121*VLOOKUP('Données projet'!$B$10,Paramètres!$A$1:$I$89,3,0)*0.475*44/12</f>
        <v>0.68477244712333951</v>
      </c>
      <c r="AW121" s="21">
        <f>EXP(-LN(2)/2)*AW120+(1-EXP(-LN(2)/2))/(LN(2)/2)*AQ121*AT121*VLOOKUP('Données projet'!$B$10,Paramètres!$A$1:$I$89,3,0)*0.475*44/12</f>
        <v>5.5889452598285015E-13</v>
      </c>
      <c r="AX121" s="21">
        <f t="shared" si="60"/>
        <v>1.2334335378665591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401.06118089678654</v>
      </c>
      <c r="T122" s="59">
        <f t="shared" si="88"/>
        <v>399.58193819355591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252.98248842635206</v>
      </c>
      <c r="AO122" s="59">
        <f t="shared" si="90"/>
        <v>207.11938580878308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0.5379021814034185</v>
      </c>
      <c r="AV122" s="21">
        <f>EXP(-LN(2)/25)*AV121+(1-EXP(-LN(2)/25))/(LN(2)/25)*Calculateur!AQ122*Calculateur!AS122*VLOOKUP('Données projet'!$B$10,Paramètres!$A$1:$I$89,3,0)*0.475*44/12</f>
        <v>0.66604730854613392</v>
      </c>
      <c r="AW122" s="21">
        <f>EXP(-LN(2)/2)*AW121+(1-EXP(-LN(2)/2))/(LN(2)/2)*AQ122*AT122*VLOOKUP('Données projet'!$B$10,Paramètres!$A$1:$I$89,3,0)*0.475*44/12</f>
        <v>3.9519810929051443E-13</v>
      </c>
      <c r="AX122" s="21">
        <f t="shared" si="60"/>
        <v>1.2039494899499477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401.06118089678654</v>
      </c>
      <c r="T123" s="59">
        <f t="shared" si="88"/>
        <v>399.58193819355591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252.98248842635206</v>
      </c>
      <c r="AO123" s="59">
        <f t="shared" si="90"/>
        <v>207.11938580878308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0.52735424771403216</v>
      </c>
      <c r="AV123" s="21">
        <f>EXP(-LN(2)/25)*AV122+(1-EXP(-LN(2)/25))/(LN(2)/25)*Calculateur!AQ123*Calculateur!AS123*VLOOKUP('Données projet'!$B$10,Paramètres!$A$1:$I$89,3,0)*0.475*44/12</f>
        <v>0.64783420986803419</v>
      </c>
      <c r="AW123" s="21">
        <f>EXP(-LN(2)/2)*AW122+(1-EXP(-LN(2)/2))/(LN(2)/2)*AQ123*AT123*VLOOKUP('Données projet'!$B$10,Paramètres!$A$1:$I$89,3,0)*0.475*44/12</f>
        <v>2.7944726299142507E-13</v>
      </c>
      <c r="AX123" s="21">
        <f t="shared" si="60"/>
        <v>1.1751884575823459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401.06118089678654</v>
      </c>
      <c r="T124" s="59">
        <f t="shared" si="88"/>
        <v>399.58193819355591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252.98248842635206</v>
      </c>
      <c r="AO124" s="59">
        <f t="shared" si="90"/>
        <v>207.11938580878308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0.51701315257069036</v>
      </c>
      <c r="AV124" s="21">
        <f>EXP(-LN(2)/25)*AV123+(1-EXP(-LN(2)/25))/(LN(2)/25)*Calculateur!AQ124*Calculateur!AS124*VLOOKUP('Données projet'!$B$10,Paramètres!$A$1:$I$89,3,0)*0.475*44/12</f>
        <v>0.63011914933107238</v>
      </c>
      <c r="AW124" s="21">
        <f>EXP(-LN(2)/2)*AW123+(1-EXP(-LN(2)/2))/(LN(2)/2)*AQ124*AT124*VLOOKUP('Données projet'!$B$10,Paramètres!$A$1:$I$89,3,0)*0.475*44/12</f>
        <v>1.9759905464525721E-13</v>
      </c>
      <c r="AX124" s="21">
        <f t="shared" si="60"/>
        <v>1.1471323019019604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401.06118089678654</v>
      </c>
      <c r="T125" s="59">
        <f t="shared" si="88"/>
        <v>399.58193819355591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252.98248842635206</v>
      </c>
      <c r="AO125" s="59">
        <f t="shared" si="90"/>
        <v>207.11938580878308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0.50687483999566429</v>
      </c>
      <c r="AV125" s="21">
        <f>EXP(-LN(2)/25)*AV124+(1-EXP(-LN(2)/25))/(LN(2)/25)*Calculateur!AQ125*Calculateur!AS125*VLOOKUP('Données projet'!$B$10,Paramètres!$A$1:$I$89,3,0)*0.475*44/12</f>
        <v>0.6128885080560883</v>
      </c>
      <c r="AW125" s="21">
        <f>EXP(-LN(2)/2)*AW124+(1-EXP(-LN(2)/2))/(LN(2)/2)*AQ125*AT125*VLOOKUP('Données projet'!$B$10,Paramètres!$A$1:$I$89,3,0)*0.475*44/12</f>
        <v>1.3972363149571254E-13</v>
      </c>
      <c r="AX125" s="21">
        <f t="shared" si="60"/>
        <v>1.1197633480518923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401.06118089678654</v>
      </c>
      <c r="T126" s="59">
        <f t="shared" si="88"/>
        <v>399.58193819355591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252.98248842635206</v>
      </c>
      <c r="AO126" s="59">
        <f t="shared" si="90"/>
        <v>207.11938580878308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0.4969353335464744</v>
      </c>
      <c r="AV126" s="21">
        <f>EXP(-LN(2)/25)*AV125+(1-EXP(-LN(2)/25))/(LN(2)/25)*Calculateur!AQ126*Calculateur!AS126*VLOOKUP('Données projet'!$B$10,Paramètres!$A$1:$I$89,3,0)*0.475*44/12</f>
        <v>0.59612903957288865</v>
      </c>
      <c r="AW126" s="21">
        <f>EXP(-LN(2)/2)*AW125+(1-EXP(-LN(2)/2))/(LN(2)/2)*AQ126*AT126*VLOOKUP('Données projet'!$B$10,Paramètres!$A$1:$I$89,3,0)*0.475*44/12</f>
        <v>9.8799527322628607E-14</v>
      </c>
      <c r="AX126" s="21">
        <f t="shared" si="60"/>
        <v>1.0930643731194618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401.06118089678654</v>
      </c>
      <c r="T127" s="59">
        <f t="shared" si="88"/>
        <v>399.58193819355591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252.98248842635206</v>
      </c>
      <c r="AO127" s="59">
        <f t="shared" si="90"/>
        <v>207.11938580878308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0.4871907347562528</v>
      </c>
      <c r="AV127" s="21">
        <f>EXP(-LN(2)/25)*AV126+(1-EXP(-LN(2)/25))/(LN(2)/25)*Calculateur!AQ127*Calculateur!AS127*VLOOKUP('Données projet'!$B$10,Paramètres!$A$1:$I$89,3,0)*0.475*44/12</f>
        <v>0.57982785963670425</v>
      </c>
      <c r="AW127" s="21">
        <f>EXP(-LN(2)/2)*AW126+(1-EXP(-LN(2)/2))/(LN(2)/2)*AQ127*AT127*VLOOKUP('Données projet'!$B$10,Paramètres!$A$1:$I$89,3,0)*0.475*44/12</f>
        <v>6.9861815747856269E-14</v>
      </c>
      <c r="AX127" s="21">
        <f t="shared" si="60"/>
        <v>1.067018594393027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401.06118089678654</v>
      </c>
      <c r="T128" s="59">
        <f t="shared" si="88"/>
        <v>399.58193819355591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252.98248842635206</v>
      </c>
      <c r="AO128" s="59">
        <f t="shared" si="90"/>
        <v>207.11938580878308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0.47763722160468908</v>
      </c>
      <c r="AV128" s="21">
        <f>EXP(-LN(2)/25)*AV127+(1-EXP(-LN(2)/25))/(LN(2)/25)*Calculateur!AQ128*Calculateur!AS128*VLOOKUP('Données projet'!$B$10,Paramètres!$A$1:$I$89,3,0)*0.475*44/12</f>
        <v>0.56397243632311667</v>
      </c>
      <c r="AW128" s="21">
        <f>EXP(-LN(2)/2)*AW127+(1-EXP(-LN(2)/2))/(LN(2)/2)*AQ128*AT128*VLOOKUP('Données projet'!$B$10,Paramètres!$A$1:$I$89,3,0)*0.475*44/12</f>
        <v>4.9399763661314303E-14</v>
      </c>
      <c r="AX128" s="21">
        <f t="shared" si="60"/>
        <v>1.0416096579278551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401.06118089678654</v>
      </c>
      <c r="T129" s="59">
        <f t="shared" si="88"/>
        <v>399.58193819355591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252.98248842635206</v>
      </c>
      <c r="AO129" s="59">
        <f t="shared" si="90"/>
        <v>207.11938580878308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0.46827104701895989</v>
      </c>
      <c r="AV129" s="21">
        <f>EXP(-LN(2)/25)*AV128+(1-EXP(-LN(2)/25))/(LN(2)/25)*Calculateur!AQ129*Calculateur!AS129*VLOOKUP('Données projet'!$B$10,Paramètres!$A$1:$I$89,3,0)*0.475*44/12</f>
        <v>0.54855058039383964</v>
      </c>
      <c r="AW129" s="21">
        <f>EXP(-LN(2)/2)*AW128+(1-EXP(-LN(2)/2))/(LN(2)/2)*AQ129*AT129*VLOOKUP('Données projet'!$B$10,Paramètres!$A$1:$I$89,3,0)*0.475*44/12</f>
        <v>3.4930907873928134E-14</v>
      </c>
      <c r="AX129" s="21">
        <f t="shared" si="60"/>
        <v>1.0168216274128343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401.06118089678654</v>
      </c>
      <c r="T130" s="59">
        <f t="shared" si="88"/>
        <v>399.58193819355591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252.98248842635206</v>
      </c>
      <c r="AO130" s="59">
        <f t="shared" si="90"/>
        <v>207.11938580878308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0.45908853740405442</v>
      </c>
      <c r="AV130" s="21">
        <f>EXP(-LN(2)/25)*AV129+(1-EXP(-LN(2)/25))/(LN(2)/25)*Calculateur!AQ130*Calculateur!AS130*VLOOKUP('Données projet'!$B$10,Paramètres!$A$1:$I$89,3,0)*0.475*44/12</f>
        <v>0.53355043592594875</v>
      </c>
      <c r="AW130" s="21">
        <f>EXP(-LN(2)/2)*AW129+(1-EXP(-LN(2)/2))/(LN(2)/2)*AQ130*AT130*VLOOKUP('Données projet'!$B$10,Paramètres!$A$1:$I$89,3,0)*0.475*44/12</f>
        <v>2.4699881830657152E-14</v>
      </c>
      <c r="AX130" s="21">
        <f t="shared" si="60"/>
        <v>0.99263897333002782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401.06118089678654</v>
      </c>
      <c r="T131" s="59">
        <f t="shared" si="88"/>
        <v>399.58193819355591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252.98248842635206</v>
      </c>
      <c r="AO131" s="59">
        <f t="shared" si="90"/>
        <v>207.11938580878308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0.45008609120191939</v>
      </c>
      <c r="AV131" s="21">
        <f>EXP(-LN(2)/25)*AV130+(1-EXP(-LN(2)/25))/(LN(2)/25)*Calculateur!AQ131*Calculateur!AS131*VLOOKUP('Données projet'!$B$10,Paramètres!$A$1:$I$89,3,0)*0.475*44/12</f>
        <v>0.51896047119735567</v>
      </c>
      <c r="AW131" s="21">
        <f>EXP(-LN(2)/2)*AW130+(1-EXP(-LN(2)/2))/(LN(2)/2)*AQ131*AT131*VLOOKUP('Données projet'!$B$10,Paramètres!$A$1:$I$89,3,0)*0.475*44/12</f>
        <v>1.7465453936964067E-14</v>
      </c>
      <c r="AX131" s="21">
        <f t="shared" si="60"/>
        <v>0.96904656239929243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401.06118089678654</v>
      </c>
      <c r="T132" s="59">
        <f t="shared" si="88"/>
        <v>399.58193819355591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252.98248842635206</v>
      </c>
      <c r="AO132" s="59">
        <f t="shared" si="90"/>
        <v>207.11938580878308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0.44126017747885826</v>
      </c>
      <c r="AV132" s="21">
        <f>EXP(-LN(2)/25)*AV131+(1-EXP(-LN(2)/25))/(LN(2)/25)*Calculateur!AQ132*Calculateur!AS132*VLOOKUP('Données projet'!$B$10,Paramètres!$A$1:$I$89,3,0)*0.475*44/12</f>
        <v>0.50476946982151893</v>
      </c>
      <c r="AW132" s="21">
        <f>EXP(-LN(2)/2)*AW131+(1-EXP(-LN(2)/2))/(LN(2)/2)*AQ132*AT132*VLOOKUP('Données projet'!$B$10,Paramètres!$A$1:$I$89,3,0)*0.475*44/12</f>
        <v>1.2349940915328576E-14</v>
      </c>
      <c r="AX132" s="21">
        <f t="shared" ref="AX132:AX153" si="114">SUM(AU132:AW132)</f>
        <v>0.94602964730038952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401.06118089678654</v>
      </c>
      <c r="T133" s="59">
        <f t="shared" ref="T133:T196" si="142">$T$3</f>
        <v>399.58193819355591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252.98248842635206</v>
      </c>
      <c r="AO133" s="59">
        <f t="shared" ref="AO133:AO196" si="144">$AO$3</f>
        <v>207.11938580878308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0.43260733454063055</v>
      </c>
      <c r="AV133" s="21">
        <f>EXP(-LN(2)/25)*AV132+(1-EXP(-LN(2)/25))/(LN(2)/25)*Calculateur!AQ133*Calculateur!AS133*VLOOKUP('Données projet'!$B$10,Paramètres!$A$1:$I$89,3,0)*0.475*44/12</f>
        <v>0.49096652212457675</v>
      </c>
      <c r="AW133" s="21">
        <f>EXP(-LN(2)/2)*AW132+(1-EXP(-LN(2)/2))/(LN(2)/2)*AQ133*AT133*VLOOKUP('Données projet'!$B$10,Paramètres!$A$1:$I$89,3,0)*0.475*44/12</f>
        <v>8.7327269684820336E-15</v>
      </c>
      <c r="AX133" s="21">
        <f t="shared" si="114"/>
        <v>0.92357385666521608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401.06118089678654</v>
      </c>
      <c r="T134" s="59">
        <f t="shared" si="142"/>
        <v>399.58193819355591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252.98248842635206</v>
      </c>
      <c r="AO134" s="59">
        <f t="shared" si="144"/>
        <v>207.11938580878308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0.42412416857470842</v>
      </c>
      <c r="AV134" s="21">
        <f>EXP(-LN(2)/25)*AV133+(1-EXP(-LN(2)/25))/(LN(2)/25)*Calculateur!AQ134*Calculateur!AS134*VLOOKUP('Données projet'!$B$10,Paramètres!$A$1:$I$89,3,0)*0.475*44/12</f>
        <v>0.47754101675827293</v>
      </c>
      <c r="AW134" s="21">
        <f>EXP(-LN(2)/2)*AW133+(1-EXP(-LN(2)/2))/(LN(2)/2)*AQ134*AT134*VLOOKUP('Données projet'!$B$10,Paramètres!$A$1:$I$89,3,0)*0.475*44/12</f>
        <v>6.1749704576642879E-15</v>
      </c>
      <c r="AX134" s="21">
        <f t="shared" si="114"/>
        <v>0.90166518533298756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401.06118089678654</v>
      </c>
      <c r="T135" s="59">
        <f t="shared" si="142"/>
        <v>399.58193819355591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252.98248842635206</v>
      </c>
      <c r="AO135" s="59">
        <f t="shared" si="144"/>
        <v>207.11938580878308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0.41580735231915766</v>
      </c>
      <c r="AV135" s="21">
        <f>EXP(-LN(2)/25)*AV134+(1-EXP(-LN(2)/25))/(LN(2)/25)*Calculateur!AQ135*Calculateur!AS135*VLOOKUP('Données projet'!$B$10,Paramètres!$A$1:$I$89,3,0)*0.475*44/12</f>
        <v>0.46448263254222732</v>
      </c>
      <c r="AW135" s="21">
        <f>EXP(-LN(2)/2)*AW134+(1-EXP(-LN(2)/2))/(LN(2)/2)*AQ135*AT135*VLOOKUP('Données projet'!$B$10,Paramètres!$A$1:$I$89,3,0)*0.475*44/12</f>
        <v>4.3663634842410168E-15</v>
      </c>
      <c r="AX135" s="21">
        <f t="shared" si="114"/>
        <v>0.88028998486138932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401.06118089678654</v>
      </c>
      <c r="T136" s="59">
        <f t="shared" si="142"/>
        <v>399.58193819355591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252.98248842635206</v>
      </c>
      <c r="AO136" s="59">
        <f t="shared" si="144"/>
        <v>207.11938580878308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0.40765362375762126</v>
      </c>
      <c r="AV136" s="21">
        <f>EXP(-LN(2)/25)*AV135+(1-EXP(-LN(2)/25))/(LN(2)/25)*Calculateur!AQ136*Calculateur!AS136*VLOOKUP('Données projet'!$B$10,Paramètres!$A$1:$I$89,3,0)*0.475*44/12</f>
        <v>0.45178133052928005</v>
      </c>
      <c r="AW136" s="21">
        <f>EXP(-LN(2)/2)*AW135+(1-EXP(-LN(2)/2))/(LN(2)/2)*AQ136*AT136*VLOOKUP('Données projet'!$B$10,Paramètres!$A$1:$I$89,3,0)*0.475*44/12</f>
        <v>3.087485228832144E-15</v>
      </c>
      <c r="AX136" s="21">
        <f t="shared" si="114"/>
        <v>0.85943495428690442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401.06118089678654</v>
      </c>
      <c r="T137" s="59">
        <f t="shared" si="142"/>
        <v>399.58193819355591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252.98248842635206</v>
      </c>
      <c r="AO137" s="59">
        <f t="shared" si="144"/>
        <v>207.11938580878308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0.39965978483989323</v>
      </c>
      <c r="AV137" s="21">
        <f>EXP(-LN(2)/25)*AV136+(1-EXP(-LN(2)/25))/(LN(2)/25)*Calculateur!AQ137*Calculateur!AS137*VLOOKUP('Données projet'!$B$10,Paramètres!$A$1:$I$89,3,0)*0.475*44/12</f>
        <v>0.43942734628780927</v>
      </c>
      <c r="AW137" s="21">
        <f>EXP(-LN(2)/2)*AW136+(1-EXP(-LN(2)/2))/(LN(2)/2)*AQ137*AT137*VLOOKUP('Données projet'!$B$10,Paramètres!$A$1:$I$89,3,0)*0.475*44/12</f>
        <v>2.1831817421205084E-15</v>
      </c>
      <c r="AX137" s="21">
        <f t="shared" si="114"/>
        <v>0.83908713112770472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401.06118089678654</v>
      </c>
      <c r="T138" s="59">
        <f t="shared" si="142"/>
        <v>399.58193819355591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252.98248842635206</v>
      </c>
      <c r="AO138" s="59">
        <f t="shared" si="144"/>
        <v>207.11938580878308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0.39182270022758153</v>
      </c>
      <c r="AV138" s="21">
        <f>EXP(-LN(2)/25)*AV137+(1-EXP(-LN(2)/25))/(LN(2)/25)*Calculateur!AQ138*Calculateur!AS138*VLOOKUP('Données projet'!$B$10,Paramètres!$A$1:$I$89,3,0)*0.475*44/12</f>
        <v>0.4274111823950893</v>
      </c>
      <c r="AW138" s="21">
        <f>EXP(-LN(2)/2)*AW137+(1-EXP(-LN(2)/2))/(LN(2)/2)*AQ138*AT138*VLOOKUP('Données projet'!$B$10,Paramètres!$A$1:$I$89,3,0)*0.475*44/12</f>
        <v>1.543742614416072E-15</v>
      </c>
      <c r="AX138" s="21">
        <f t="shared" si="114"/>
        <v>0.81923388262267238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401.06118089678654</v>
      </c>
      <c r="T139" s="59">
        <f t="shared" si="142"/>
        <v>399.58193819355591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252.98248842635206</v>
      </c>
      <c r="AO139" s="59">
        <f t="shared" si="144"/>
        <v>207.11938580878308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0.38413929606436764</v>
      </c>
      <c r="AV139" s="21">
        <f>EXP(-LN(2)/25)*AV138+(1-EXP(-LN(2)/25))/(LN(2)/25)*Calculateur!AQ139*Calculateur!AS139*VLOOKUP('Données projet'!$B$10,Paramètres!$A$1:$I$89,3,0)*0.475*44/12</f>
        <v>0.41572360113591833</v>
      </c>
      <c r="AW139" s="21">
        <f>EXP(-LN(2)/2)*AW138+(1-EXP(-LN(2)/2))/(LN(2)/2)*AQ139*AT139*VLOOKUP('Données projet'!$B$10,Paramètres!$A$1:$I$89,3,0)*0.475*44/12</f>
        <v>1.0915908710602542E-15</v>
      </c>
      <c r="AX139" s="21">
        <f t="shared" si="114"/>
        <v>0.79986289720028703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401.06118089678654</v>
      </c>
      <c r="T140" s="59">
        <f t="shared" si="142"/>
        <v>399.58193819355591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252.98248842635206</v>
      </c>
      <c r="AO140" s="59">
        <f t="shared" si="144"/>
        <v>207.11938580878308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0.37660655877038063</v>
      </c>
      <c r="AV140" s="21">
        <f>EXP(-LN(2)/25)*AV139+(1-EXP(-LN(2)/25))/(LN(2)/25)*Calculateur!AQ140*Calculateur!AS140*VLOOKUP('Données projet'!$B$10,Paramètres!$A$1:$I$89,3,0)*0.475*44/12</f>
        <v>0.40435561740090259</v>
      </c>
      <c r="AW140" s="21">
        <f>EXP(-LN(2)/2)*AW139+(1-EXP(-LN(2)/2))/(LN(2)/2)*AQ140*AT140*VLOOKUP('Données projet'!$B$10,Paramètres!$A$1:$I$89,3,0)*0.475*44/12</f>
        <v>7.7187130720803599E-16</v>
      </c>
      <c r="AX140" s="21">
        <f t="shared" si="114"/>
        <v>0.78096217617128405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401.06118089678654</v>
      </c>
      <c r="T141" s="59">
        <f t="shared" si="142"/>
        <v>399.58193819355591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252.98248842635206</v>
      </c>
      <c r="AO141" s="59">
        <f t="shared" si="144"/>
        <v>207.11938580878308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0.36922153386021261</v>
      </c>
      <c r="AV141" s="21">
        <f>EXP(-LN(2)/25)*AV140+(1-EXP(-LN(2)/25))/(LN(2)/25)*Calculateur!AQ141*Calculateur!AS141*VLOOKUP('Données projet'!$B$10,Paramètres!$A$1:$I$89,3,0)*0.475*44/12</f>
        <v>0.39329849177893716</v>
      </c>
      <c r="AW141" s="21">
        <f>EXP(-LN(2)/2)*AW140+(1-EXP(-LN(2)/2))/(LN(2)/2)*AQ141*AT141*VLOOKUP('Données projet'!$B$10,Paramètres!$A$1:$I$89,3,0)*0.475*44/12</f>
        <v>5.457954355301271E-16</v>
      </c>
      <c r="AX141" s="21">
        <f t="shared" si="114"/>
        <v>0.76252002563915033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401.06118089678654</v>
      </c>
      <c r="T142" s="59">
        <f t="shared" si="142"/>
        <v>399.58193819355591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252.98248842635206</v>
      </c>
      <c r="AO142" s="59">
        <f t="shared" si="144"/>
        <v>207.11938580878308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0.36198132478411255</v>
      </c>
      <c r="AV142" s="21">
        <f>EXP(-LN(2)/25)*AV141+(1-EXP(-LN(2)/25))/(LN(2)/25)*Calculateur!AQ142*Calculateur!AS142*VLOOKUP('Données projet'!$B$10,Paramètres!$A$1:$I$89,3,0)*0.475*44/12</f>
        <v>0.38254372383857332</v>
      </c>
      <c r="AW142" s="21">
        <f>EXP(-LN(2)/2)*AW141+(1-EXP(-LN(2)/2))/(LN(2)/2)*AQ142*AT142*VLOOKUP('Données projet'!$B$10,Paramètres!$A$1:$I$89,3,0)*0.475*44/12</f>
        <v>3.85935653604018E-16</v>
      </c>
      <c r="AX142" s="21">
        <f t="shared" si="114"/>
        <v>0.7445250486226862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401.06118089678654</v>
      </c>
      <c r="T143" s="59">
        <f t="shared" si="142"/>
        <v>399.58193819355591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252.98248842635206</v>
      </c>
      <c r="AO143" s="59">
        <f t="shared" si="144"/>
        <v>207.11938580878308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0.3548830917919033</v>
      </c>
      <c r="AV143" s="21">
        <f>EXP(-LN(2)/25)*AV142+(1-EXP(-LN(2)/25))/(LN(2)/25)*Calculateur!AQ143*Calculateur!AS143*VLOOKUP('Données projet'!$B$10,Paramètres!$A$1:$I$89,3,0)*0.475*44/12</f>
        <v>0.3720830455931074</v>
      </c>
      <c r="AW143" s="21">
        <f>EXP(-LN(2)/2)*AW142+(1-EXP(-LN(2)/2))/(LN(2)/2)*AQ143*AT143*VLOOKUP('Données projet'!$B$10,Paramètres!$A$1:$I$89,3,0)*0.475*44/12</f>
        <v>2.7289771776506355E-16</v>
      </c>
      <c r="AX143" s="21">
        <f t="shared" si="114"/>
        <v>0.72696613738501092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401.06118089678654</v>
      </c>
      <c r="T144" s="59">
        <f t="shared" si="142"/>
        <v>399.58193819355591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252.98248842635206</v>
      </c>
      <c r="AO144" s="59">
        <f t="shared" si="144"/>
        <v>207.11938580878308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0.34792405081917671</v>
      </c>
      <c r="AV144" s="21">
        <f>EXP(-LN(2)/25)*AV143+(1-EXP(-LN(2)/25))/(LN(2)/25)*Calculateur!AQ144*Calculateur!AS144*VLOOKUP('Données projet'!$B$10,Paramètres!$A$1:$I$89,3,0)*0.475*44/12</f>
        <v>0.36190841514436689</v>
      </c>
      <c r="AW144" s="21">
        <f>EXP(-LN(2)/2)*AW143+(1-EXP(-LN(2)/2))/(LN(2)/2)*AQ144*AT144*VLOOKUP('Données projet'!$B$10,Paramètres!$A$1:$I$89,3,0)*0.475*44/12</f>
        <v>1.92967826802009E-16</v>
      </c>
      <c r="AX144" s="21">
        <f t="shared" si="114"/>
        <v>0.70983246596354377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401.06118089678654</v>
      </c>
      <c r="T145" s="59">
        <f t="shared" si="142"/>
        <v>399.58193819355591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252.98248842635206</v>
      </c>
      <c r="AO145" s="59">
        <f t="shared" si="144"/>
        <v>207.11938580878308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0.3411014723953294</v>
      </c>
      <c r="AV145" s="21">
        <f>EXP(-LN(2)/25)*AV144+(1-EXP(-LN(2)/25))/(LN(2)/25)*Calculateur!AQ145*Calculateur!AS145*VLOOKUP('Données projet'!$B$10,Paramètres!$A$1:$I$89,3,0)*0.475*44/12</f>
        <v>0.35201201050030778</v>
      </c>
      <c r="AW145" s="21">
        <f>EXP(-LN(2)/2)*AW144+(1-EXP(-LN(2)/2))/(LN(2)/2)*AQ145*AT145*VLOOKUP('Données projet'!$B$10,Paramètres!$A$1:$I$89,3,0)*0.475*44/12</f>
        <v>1.3644885888253177E-16</v>
      </c>
      <c r="AX145" s="21">
        <f t="shared" si="114"/>
        <v>0.69311348289563723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401.06118089678654</v>
      </c>
      <c r="T146" s="59">
        <f t="shared" si="142"/>
        <v>399.58193819355591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252.98248842635206</v>
      </c>
      <c r="AO146" s="59">
        <f t="shared" si="144"/>
        <v>207.11938580878308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0.33441268057301177</v>
      </c>
      <c r="AV146" s="21">
        <f>EXP(-LN(2)/25)*AV145+(1-EXP(-LN(2)/25))/(LN(2)/25)*Calculateur!AQ146*Calculateur!AS146*VLOOKUP('Données projet'!$B$10,Paramètres!$A$1:$I$89,3,0)*0.475*44/12</f>
        <v>0.34238622356166976</v>
      </c>
      <c r="AW146" s="21">
        <f>EXP(-LN(2)/2)*AW145+(1-EXP(-LN(2)/2))/(LN(2)/2)*AQ146*AT146*VLOOKUP('Données projet'!$B$10,Paramètres!$A$1:$I$89,3,0)*0.475*44/12</f>
        <v>9.6483913401004499E-17</v>
      </c>
      <c r="AX146" s="21">
        <f t="shared" si="114"/>
        <v>0.67679890413468169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401.06118089678654</v>
      </c>
      <c r="T147" s="59">
        <f t="shared" si="142"/>
        <v>399.58193819355591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252.98248842635206</v>
      </c>
      <c r="AO147" s="59">
        <f t="shared" si="144"/>
        <v>207.11938580878308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0.32785505187856961</v>
      </c>
      <c r="AV147" s="21">
        <f>EXP(-LN(2)/25)*AV146+(1-EXP(-LN(2)/25))/(LN(2)/25)*Calculateur!AQ147*Calculateur!AS147*VLOOKUP('Données projet'!$B$10,Paramètres!$A$1:$I$89,3,0)*0.475*44/12</f>
        <v>0.33302365427306696</v>
      </c>
      <c r="AW147" s="21">
        <f>EXP(-LN(2)/2)*AW146+(1-EXP(-LN(2)/2))/(LN(2)/2)*AQ147*AT147*VLOOKUP('Données projet'!$B$10,Paramètres!$A$1:$I$89,3,0)*0.475*44/12</f>
        <v>6.8224429441265887E-17</v>
      </c>
      <c r="AX147" s="21">
        <f t="shared" si="114"/>
        <v>0.66087870615163669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401.06118089678654</v>
      </c>
      <c r="T148" s="59">
        <f t="shared" si="142"/>
        <v>399.58193819355591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252.98248842635206</v>
      </c>
      <c r="AO148" s="59">
        <f t="shared" si="144"/>
        <v>207.11938580878308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0.32142601428306694</v>
      </c>
      <c r="AV148" s="21">
        <f>EXP(-LN(2)/25)*AV147+(1-EXP(-LN(2)/25))/(LN(2)/25)*Calculateur!AQ148*Calculateur!AS148*VLOOKUP('Données projet'!$B$10,Paramètres!$A$1:$I$89,3,0)*0.475*44/12</f>
        <v>0.3239171049340171</v>
      </c>
      <c r="AW148" s="21">
        <f>EXP(-LN(2)/2)*AW147+(1-EXP(-LN(2)/2))/(LN(2)/2)*AQ148*AT148*VLOOKUP('Données projet'!$B$10,Paramètres!$A$1:$I$89,3,0)*0.475*44/12</f>
        <v>4.8241956700502249E-17</v>
      </c>
      <c r="AX148" s="21">
        <f t="shared" si="114"/>
        <v>0.64534311921708398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401.06118089678654</v>
      </c>
      <c r="T149" s="59">
        <f t="shared" si="142"/>
        <v>399.58193819355591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252.98248842635206</v>
      </c>
      <c r="AO149" s="59">
        <f t="shared" si="144"/>
        <v>207.11938580878308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0.31512304619348636</v>
      </c>
      <c r="AV149" s="21">
        <f>EXP(-LN(2)/25)*AV148+(1-EXP(-LN(2)/25))/(LN(2)/25)*Calculateur!AQ149*Calculateur!AS149*VLOOKUP('Données projet'!$B$10,Paramètres!$A$1:$I$89,3,0)*0.475*44/12</f>
        <v>0.31505957466553619</v>
      </c>
      <c r="AW149" s="21">
        <f>EXP(-LN(2)/2)*AW148+(1-EXP(-LN(2)/2))/(LN(2)/2)*AQ149*AT149*VLOOKUP('Données projet'!$B$10,Paramètres!$A$1:$I$89,3,0)*0.475*44/12</f>
        <v>3.4112214720632944E-17</v>
      </c>
      <c r="AX149" s="21">
        <f t="shared" si="114"/>
        <v>0.63018262085902255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401.06118089678654</v>
      </c>
      <c r="T150" s="59">
        <f t="shared" si="142"/>
        <v>399.58193819355591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252.98248842635206</v>
      </c>
      <c r="AO150" s="59">
        <f t="shared" si="144"/>
        <v>207.11938580878308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0.30894367546371149</v>
      </c>
      <c r="AV150" s="21">
        <f>EXP(-LN(2)/25)*AV149+(1-EXP(-LN(2)/25))/(LN(2)/25)*Calculateur!AQ150*Calculateur!AS150*VLOOKUP('Données projet'!$B$10,Paramètres!$A$1:$I$89,3,0)*0.475*44/12</f>
        <v>0.30644425402804415</v>
      </c>
      <c r="AW150" s="21">
        <f>EXP(-LN(2)/2)*AW149+(1-EXP(-LN(2)/2))/(LN(2)/2)*AQ150*AT150*VLOOKUP('Données projet'!$B$10,Paramètres!$A$1:$I$89,3,0)*0.475*44/12</f>
        <v>2.4120978350251125E-17</v>
      </c>
      <c r="AX150" s="21">
        <f t="shared" si="114"/>
        <v>0.61538792949175569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401.06118089678654</v>
      </c>
      <c r="T151" s="59">
        <f t="shared" si="142"/>
        <v>399.58193819355591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252.98248842635206</v>
      </c>
      <c r="AO151" s="59">
        <f t="shared" si="144"/>
        <v>207.11938580878308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0.30288547842490354</v>
      </c>
      <c r="AV151" s="21">
        <f>EXP(-LN(2)/25)*AV150+(1-EXP(-LN(2)/25))/(LN(2)/25)*Calculateur!AQ151*Calculateur!AS151*VLOOKUP('Données projet'!$B$10,Paramètres!$A$1:$I$89,3,0)*0.475*44/12</f>
        <v>0.29806451978644433</v>
      </c>
      <c r="AW151" s="21">
        <f>EXP(-LN(2)/2)*AW150+(1-EXP(-LN(2)/2))/(LN(2)/2)*AQ151*AT151*VLOOKUP('Données projet'!$B$10,Paramètres!$A$1:$I$89,3,0)*0.475*44/12</f>
        <v>1.7056107360316472E-17</v>
      </c>
      <c r="AX151" s="21">
        <f t="shared" si="114"/>
        <v>0.60094999821134787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401.06118089678654</v>
      </c>
      <c r="T152" s="59">
        <f t="shared" si="142"/>
        <v>399.58193819355591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252.98248842635206</v>
      </c>
      <c r="AO152" s="59">
        <f t="shared" si="144"/>
        <v>207.11938580878308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0.29694607893489128</v>
      </c>
      <c r="AV152" s="21">
        <f>EXP(-LN(2)/25)*AV151+(1-EXP(-LN(2)/25))/(LN(2)/25)*Calculateur!AQ152*Calculateur!AS152*VLOOKUP('Données projet'!$B$10,Paramètres!$A$1:$I$89,3,0)*0.475*44/12</f>
        <v>0.28991392981835212</v>
      </c>
      <c r="AW152" s="21">
        <f>EXP(-LN(2)/2)*AW151+(1-EXP(-LN(2)/2))/(LN(2)/2)*AQ152*AT152*VLOOKUP('Données projet'!$B$10,Paramètres!$A$1:$I$89,3,0)*0.475*44/12</f>
        <v>1.2060489175125562E-17</v>
      </c>
      <c r="AX152" s="21">
        <f t="shared" si="114"/>
        <v>0.5868600087532434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401.06118089678654</v>
      </c>
      <c r="T153" s="59">
        <f t="shared" si="142"/>
        <v>399.58193819355591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252.98248842635206</v>
      </c>
      <c r="AO153" s="59">
        <f t="shared" si="144"/>
        <v>207.11938580878308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0.29112314744620216</v>
      </c>
      <c r="AV153" s="21">
        <f>EXP(-LN(2)/25)*AV152+(1-EXP(-LN(2)/25))/(LN(2)/25)*Calculateur!AQ153*Calculateur!AS153*VLOOKUP('Données projet'!$B$10,Paramètres!$A$1:$I$89,3,0)*0.475*44/12</f>
        <v>0.28198621816155833</v>
      </c>
      <c r="AW153" s="21">
        <f>EXP(-LN(2)/2)*AW152+(1-EXP(-LN(2)/2))/(LN(2)/2)*AQ153*AT153*VLOOKUP('Données projet'!$B$10,Paramètres!$A$1:$I$89,3,0)*0.475*44/12</f>
        <v>8.5280536801582359E-18</v>
      </c>
      <c r="AX153" s="21">
        <f t="shared" si="114"/>
        <v>0.57310936560776049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401.06118089678654</v>
      </c>
      <c r="T154" s="59">
        <f t="shared" si="142"/>
        <v>399.58193819355591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252.98248842635206</v>
      </c>
      <c r="AO154" s="59">
        <f t="shared" si="144"/>
        <v>207.11938580878308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0.28541440009236874</v>
      </c>
      <c r="AV154" s="21">
        <f>EXP(-LN(2)/25)*AV153+(1-EXP(-LN(2)/25))/(LN(2)/25)*Calculateur!AQ154*Calculateur!AS154*VLOOKUP('Données projet'!$B$10,Paramètres!$A$1:$I$89,3,0)*0.475*44/12</f>
        <v>0.27427529019691982</v>
      </c>
      <c r="AW154" s="21">
        <f>EXP(-LN(2)/2)*AW153+(1-EXP(-LN(2)/2))/(LN(2)/2)*AQ154*AT154*VLOOKUP('Données projet'!$B$10,Paramètres!$A$1:$I$89,3,0)*0.475*44/12</f>
        <v>6.0302445875627812E-18</v>
      </c>
      <c r="AX154" s="21">
        <f t="shared" ref="AX154:AX203" si="166">SUM(AU154:AW154)</f>
        <v>0.5596896902892885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401.06118089678654</v>
      </c>
      <c r="T155" s="59">
        <f t="shared" si="142"/>
        <v>399.58193819355591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252.98248842635206</v>
      </c>
      <c r="AO155" s="59">
        <f t="shared" si="144"/>
        <v>207.11938580878308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0.27981759779215193</v>
      </c>
      <c r="AV155" s="21">
        <f>EXP(-LN(2)/25)*AV154+(1-EXP(-LN(2)/25))/(LN(2)/25)*Calculateur!AQ155*Calculateur!AS155*VLOOKUP('Données projet'!$B$10,Paramètres!$A$1:$I$89,3,0)*0.475*44/12</f>
        <v>0.26677521796297438</v>
      </c>
      <c r="AW155" s="21">
        <f>EXP(-LN(2)/2)*AW154+(1-EXP(-LN(2)/2))/(LN(2)/2)*AQ155*AT155*VLOOKUP('Données projet'!$B$10,Paramètres!$A$1:$I$89,3,0)*0.475*44/12</f>
        <v>4.264026840079118E-18</v>
      </c>
      <c r="AX155" s="21">
        <f t="shared" si="166"/>
        <v>0.5465928157551263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401.06118089678654</v>
      </c>
      <c r="T156" s="59">
        <f t="shared" si="142"/>
        <v>399.58193819355591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252.98248842635206</v>
      </c>
      <c r="AO156" s="59">
        <f t="shared" si="144"/>
        <v>207.11938580878308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0.27433054537133006</v>
      </c>
      <c r="AV156" s="21">
        <f>EXP(-LN(2)/25)*AV155+(1-EXP(-LN(2)/25))/(LN(2)/25)*Calculateur!AQ156*Calculateur!AS156*VLOOKUP('Données projet'!$B$10,Paramètres!$A$1:$I$89,3,0)*0.475*44/12</f>
        <v>0.25948023559867783</v>
      </c>
      <c r="AW156" s="21">
        <f>EXP(-LN(2)/2)*AW155+(1-EXP(-LN(2)/2))/(LN(2)/2)*AQ156*AT156*VLOOKUP('Données projet'!$B$10,Paramètres!$A$1:$I$89,3,0)*0.475*44/12</f>
        <v>3.0151222937813906E-18</v>
      </c>
      <c r="AX156" s="21">
        <f t="shared" si="166"/>
        <v>0.53381078097000789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401.06118089678654</v>
      </c>
      <c r="T157" s="59">
        <f t="shared" si="142"/>
        <v>399.58193819355591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252.98248842635206</v>
      </c>
      <c r="AO157" s="59">
        <f t="shared" si="144"/>
        <v>207.11938580878308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0.26895109070170897</v>
      </c>
      <c r="AV157" s="21">
        <f>EXP(-LN(2)/25)*AV156+(1-EXP(-LN(2)/25))/(LN(2)/25)*Calculateur!AQ157*Calculateur!AS157*VLOOKUP('Données projet'!$B$10,Paramètres!$A$1:$I$89,3,0)*0.475*44/12</f>
        <v>0.25238473491075947</v>
      </c>
      <c r="AW157" s="21">
        <f>EXP(-LN(2)/2)*AW156+(1-EXP(-LN(2)/2))/(LN(2)/2)*AQ157*AT157*VLOOKUP('Données projet'!$B$10,Paramètres!$A$1:$I$89,3,0)*0.475*44/12</f>
        <v>2.132013420039559E-18</v>
      </c>
      <c r="AX157" s="21">
        <f t="shared" si="166"/>
        <v>0.5213358256124685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401.06118089678654</v>
      </c>
      <c r="T158" s="59">
        <f t="shared" si="142"/>
        <v>399.58193819355591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252.98248842635206</v>
      </c>
      <c r="AO158" s="59">
        <f t="shared" si="144"/>
        <v>207.11938580878308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0.2636771238570158</v>
      </c>
      <c r="AV158" s="21">
        <f>EXP(-LN(2)/25)*AV157+(1-EXP(-LN(2)/25))/(LN(2)/25)*Calculateur!AQ158*Calculateur!AS158*VLOOKUP('Données projet'!$B$10,Paramètres!$A$1:$I$89,3,0)*0.475*44/12</f>
        <v>0.24548326106228838</v>
      </c>
      <c r="AW158" s="21">
        <f>EXP(-LN(2)/2)*AW157+(1-EXP(-LN(2)/2))/(LN(2)/2)*AQ158*AT158*VLOOKUP('Données projet'!$B$10,Paramètres!$A$1:$I$89,3,0)*0.475*44/12</f>
        <v>1.5075611468906953E-18</v>
      </c>
      <c r="AX158" s="21">
        <f t="shared" si="166"/>
        <v>0.50916038491930415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401.06118089678654</v>
      </c>
      <c r="T159" s="59">
        <f t="shared" si="142"/>
        <v>399.58193819355591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252.98248842635206</v>
      </c>
      <c r="AO159" s="59">
        <f t="shared" si="144"/>
        <v>207.11938580878308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0.2585065762853449</v>
      </c>
      <c r="AV159" s="21">
        <f>EXP(-LN(2)/25)*AV158+(1-EXP(-LN(2)/25))/(LN(2)/25)*Calculateur!AQ159*Calculateur!AS159*VLOOKUP('Données projet'!$B$10,Paramètres!$A$1:$I$89,3,0)*0.475*44/12</f>
        <v>0.23877050837913646</v>
      </c>
      <c r="AW159" s="21">
        <f>EXP(-LN(2)/2)*AW158+(1-EXP(-LN(2)/2))/(LN(2)/2)*AQ159*AT159*VLOOKUP('Données projet'!$B$10,Paramètres!$A$1:$I$89,3,0)*0.475*44/12</f>
        <v>1.0660067100197795E-18</v>
      </c>
      <c r="AX159" s="21">
        <f t="shared" si="166"/>
        <v>0.49727708466448139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401.06118089678654</v>
      </c>
      <c r="T160" s="59">
        <f t="shared" si="142"/>
        <v>399.58193819355591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252.98248842635206</v>
      </c>
      <c r="AO160" s="59">
        <f t="shared" si="144"/>
        <v>207.11938580878308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0.25343741999783187</v>
      </c>
      <c r="AV160" s="21">
        <f>EXP(-LN(2)/25)*AV159+(1-EXP(-LN(2)/25))/(LN(2)/25)*Calculateur!AQ160*Calculateur!AS160*VLOOKUP('Données projet'!$B$10,Paramètres!$A$1:$I$89,3,0)*0.475*44/12</f>
        <v>0.23224131627111366</v>
      </c>
      <c r="AW160" s="21">
        <f>EXP(-LN(2)/2)*AW159+(1-EXP(-LN(2)/2))/(LN(2)/2)*AQ160*AT160*VLOOKUP('Données projet'!$B$10,Paramètres!$A$1:$I$89,3,0)*0.475*44/12</f>
        <v>7.5378057344534765E-19</v>
      </c>
      <c r="AX160" s="21">
        <f t="shared" si="166"/>
        <v>0.48567873626894553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401.06118089678654</v>
      </c>
      <c r="T161" s="59">
        <f t="shared" si="142"/>
        <v>399.58193819355591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252.98248842635206</v>
      </c>
      <c r="AO161" s="59">
        <f t="shared" si="144"/>
        <v>207.11938580878308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0.24846766677323692</v>
      </c>
      <c r="AV161" s="21">
        <f>EXP(-LN(2)/25)*AV160+(1-EXP(-LN(2)/25))/(LN(2)/25)*Calculateur!AQ161*Calculateur!AS161*VLOOKUP('Données projet'!$B$10,Paramètres!$A$1:$I$89,3,0)*0.475*44/12</f>
        <v>0.22589066526464002</v>
      </c>
      <c r="AW161" s="21">
        <f>EXP(-LN(2)/2)*AW160+(1-EXP(-LN(2)/2))/(LN(2)/2)*AQ161*AT161*VLOOKUP('Données projet'!$B$10,Paramètres!$A$1:$I$89,3,0)*0.475*44/12</f>
        <v>5.3300335500988974E-19</v>
      </c>
      <c r="AX161" s="21">
        <f t="shared" si="166"/>
        <v>0.47435833203787692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401.06118089678654</v>
      </c>
      <c r="T162" s="59">
        <f t="shared" si="142"/>
        <v>399.58193819355591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252.98248842635206</v>
      </c>
      <c r="AO162" s="59">
        <f t="shared" si="144"/>
        <v>207.11938580878308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0.24359536737812612</v>
      </c>
      <c r="AV162" s="21">
        <f>EXP(-LN(2)/25)*AV161+(1-EXP(-LN(2)/25))/(LN(2)/25)*Calculateur!AQ162*Calculateur!AS162*VLOOKUP('Données projet'!$B$10,Paramètres!$A$1:$I$89,3,0)*0.475*44/12</f>
        <v>0.21971367314390464</v>
      </c>
      <c r="AW162" s="21">
        <f>EXP(-LN(2)/2)*AW161+(1-EXP(-LN(2)/2))/(LN(2)/2)*AQ162*AT162*VLOOKUP('Données projet'!$B$10,Paramètres!$A$1:$I$89,3,0)*0.475*44/12</f>
        <v>3.7689028672267382E-19</v>
      </c>
      <c r="AX162" s="21">
        <f t="shared" si="166"/>
        <v>0.46330904052203076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401.06118089678654</v>
      </c>
      <c r="T163" s="59">
        <f t="shared" si="142"/>
        <v>399.58193819355591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252.98248842635206</v>
      </c>
      <c r="AO163" s="59">
        <f t="shared" si="144"/>
        <v>207.11938580878308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0.23881861080234426</v>
      </c>
      <c r="AV163" s="21">
        <f>EXP(-LN(2)/25)*AV162+(1-EXP(-LN(2)/25))/(LN(2)/25)*Calculateur!AQ163*Calculateur!AS163*VLOOKUP('Données projet'!$B$10,Paramètres!$A$1:$I$89,3,0)*0.475*44/12</f>
        <v>0.21370559119754465</v>
      </c>
      <c r="AW163" s="21">
        <f>EXP(-LN(2)/2)*AW162+(1-EXP(-LN(2)/2))/(LN(2)/2)*AQ163*AT163*VLOOKUP('Données projet'!$B$10,Paramètres!$A$1:$I$89,3,0)*0.475*44/12</f>
        <v>2.6650167750494487E-19</v>
      </c>
      <c r="AX163" s="21">
        <f t="shared" si="166"/>
        <v>0.45252420199988891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401.06118089678654</v>
      </c>
      <c r="T164" s="59">
        <f t="shared" si="142"/>
        <v>399.58193819355591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252.98248842635206</v>
      </c>
      <c r="AO164" s="59">
        <f t="shared" si="144"/>
        <v>207.11938580878308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0.23413552350947966</v>
      </c>
      <c r="AV164" s="21">
        <f>EXP(-LN(2)/25)*AV163+(1-EXP(-LN(2)/25))/(LN(2)/25)*Calculateur!AQ164*Calculateur!AS164*VLOOKUP('Données projet'!$B$10,Paramètres!$A$1:$I$89,3,0)*0.475*44/12</f>
        <v>0.20786180056795917</v>
      </c>
      <c r="AW164" s="21">
        <f>EXP(-LN(2)/2)*AW163+(1-EXP(-LN(2)/2))/(LN(2)/2)*AQ164*AT164*VLOOKUP('Données projet'!$B$10,Paramètres!$A$1:$I$89,3,0)*0.475*44/12</f>
        <v>1.8844514336133691E-19</v>
      </c>
      <c r="AX164" s="21">
        <f t="shared" si="166"/>
        <v>0.44199732407743886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401.06118089678654</v>
      </c>
      <c r="T165" s="59">
        <f t="shared" si="142"/>
        <v>399.58193819355591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252.98248842635206</v>
      </c>
      <c r="AO165" s="59">
        <f t="shared" si="144"/>
        <v>207.11938580878308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0.22954426870202693</v>
      </c>
      <c r="AV165" s="21">
        <f>EXP(-LN(2)/25)*AV164+(1-EXP(-LN(2)/25))/(LN(2)/25)*Calculateur!AQ165*Calculateur!AS165*VLOOKUP('Données projet'!$B$10,Paramètres!$A$1:$I$89,3,0)*0.475*44/12</f>
        <v>0.20217780870045129</v>
      </c>
      <c r="AW165" s="21">
        <f>EXP(-LN(2)/2)*AW164+(1-EXP(-LN(2)/2))/(LN(2)/2)*AQ165*AT165*VLOOKUP('Données projet'!$B$10,Paramètres!$A$1:$I$89,3,0)*0.475*44/12</f>
        <v>1.3325083875247244E-19</v>
      </c>
      <c r="AX165" s="21">
        <f t="shared" si="166"/>
        <v>0.43172207740247825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401.06118089678654</v>
      </c>
      <c r="T166" s="59">
        <f t="shared" si="142"/>
        <v>399.58193819355591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252.98248842635206</v>
      </c>
      <c r="AO166" s="59">
        <f t="shared" si="144"/>
        <v>207.11938580878308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0.22504304560095945</v>
      </c>
      <c r="AV166" s="21">
        <f>EXP(-LN(2)/25)*AV165+(1-EXP(-LN(2)/25))/(LN(2)/25)*Calculateur!AQ166*Calculateur!AS166*VLOOKUP('Données projet'!$B$10,Paramètres!$A$1:$I$89,3,0)*0.475*44/12</f>
        <v>0.19664924588946858</v>
      </c>
      <c r="AW166" s="21">
        <f>EXP(-LN(2)/2)*AW165+(1-EXP(-LN(2)/2))/(LN(2)/2)*AQ166*AT166*VLOOKUP('Données projet'!$B$10,Paramètres!$A$1:$I$89,3,0)*0.475*44/12</f>
        <v>9.4222571680668456E-20</v>
      </c>
      <c r="AX166" s="21">
        <f t="shared" si="166"/>
        <v>0.42169229149042803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401.06118089678654</v>
      </c>
      <c r="T167" s="59">
        <f t="shared" si="142"/>
        <v>399.58193819355591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252.98248842635206</v>
      </c>
      <c r="AO167" s="59">
        <f t="shared" si="144"/>
        <v>207.11938580878308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0.22063008873942888</v>
      </c>
      <c r="AV167" s="21">
        <f>EXP(-LN(2)/25)*AV166+(1-EXP(-LN(2)/25))/(LN(2)/25)*Calculateur!AQ167*Calculateur!AS167*VLOOKUP('Données projet'!$B$10,Paramètres!$A$1:$I$89,3,0)*0.475*44/12</f>
        <v>0.19127186191928666</v>
      </c>
      <c r="AW167" s="21">
        <f>EXP(-LN(2)/2)*AW166+(1-EXP(-LN(2)/2))/(LN(2)/2)*AQ167*AT167*VLOOKUP('Données projet'!$B$10,Paramètres!$A$1:$I$89,3,0)*0.475*44/12</f>
        <v>6.6625419376236218E-20</v>
      </c>
      <c r="AX167" s="21">
        <f t="shared" si="166"/>
        <v>0.41190195065871554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401.06118089678654</v>
      </c>
      <c r="T168" s="59">
        <f t="shared" si="142"/>
        <v>399.58193819355591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252.98248842635206</v>
      </c>
      <c r="AO168" s="59">
        <f t="shared" si="144"/>
        <v>207.11938580878308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0.21630366727031503</v>
      </c>
      <c r="AV168" s="21">
        <f>EXP(-LN(2)/25)*AV167+(1-EXP(-LN(2)/25))/(LN(2)/25)*Calculateur!AQ168*Calculateur!AS168*VLOOKUP('Données projet'!$B$10,Paramètres!$A$1:$I$89,3,0)*0.475*44/12</f>
        <v>0.1860415227965537</v>
      </c>
      <c r="AW168" s="21">
        <f>EXP(-LN(2)/2)*AW167+(1-EXP(-LN(2)/2))/(LN(2)/2)*AQ168*AT168*VLOOKUP('Données projet'!$B$10,Paramètres!$A$1:$I$89,3,0)*0.475*44/12</f>
        <v>4.7111285840334228E-20</v>
      </c>
      <c r="AX168" s="21">
        <f t="shared" si="166"/>
        <v>0.40234519006686875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401.06118089678654</v>
      </c>
      <c r="T169" s="59">
        <f t="shared" si="142"/>
        <v>399.58193819355591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252.98248842635206</v>
      </c>
      <c r="AO169" s="59">
        <f t="shared" si="144"/>
        <v>207.11938580878308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0.21206208428735396</v>
      </c>
      <c r="AV169" s="21">
        <f>EXP(-LN(2)/25)*AV168+(1-EXP(-LN(2)/25))/(LN(2)/25)*Calculateur!AQ169*Calculateur!AS169*VLOOKUP('Données projet'!$B$10,Paramètres!$A$1:$I$89,3,0)*0.475*44/12</f>
        <v>0.18095420757218345</v>
      </c>
      <c r="AW169" s="21">
        <f>EXP(-LN(2)/2)*AW168+(1-EXP(-LN(2)/2))/(LN(2)/2)*AQ169*AT169*VLOOKUP('Données projet'!$B$10,Paramètres!$A$1:$I$89,3,0)*0.475*44/12</f>
        <v>3.3312709688118109E-20</v>
      </c>
      <c r="AX169" s="21">
        <f t="shared" si="166"/>
        <v>0.3930162918595374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401.06118089678654</v>
      </c>
      <c r="T170" s="59">
        <f t="shared" si="142"/>
        <v>399.58193819355591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252.98248842635206</v>
      </c>
      <c r="AO170" s="59">
        <f t="shared" si="144"/>
        <v>207.11938580878308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0.20790367615957858</v>
      </c>
      <c r="AV170" s="21">
        <f>EXP(-LN(2)/25)*AV169+(1-EXP(-LN(2)/25))/(LN(2)/25)*Calculateur!AQ170*Calculateur!AS170*VLOOKUP('Données projet'!$B$10,Paramètres!$A$1:$I$89,3,0)*0.475*44/12</f>
        <v>0.17600600525015389</v>
      </c>
      <c r="AW170" s="21">
        <f>EXP(-LN(2)/2)*AW169+(1-EXP(-LN(2)/2))/(LN(2)/2)*AQ170*AT170*VLOOKUP('Données projet'!$B$10,Paramètres!$A$1:$I$89,3,0)*0.475*44/12</f>
        <v>2.3555642920167114E-20</v>
      </c>
      <c r="AX170" s="21">
        <f t="shared" si="166"/>
        <v>0.38390968140973247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401.06118089678654</v>
      </c>
      <c r="T171" s="59">
        <f t="shared" si="142"/>
        <v>399.58193819355591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252.98248842635206</v>
      </c>
      <c r="AO171" s="59">
        <f t="shared" si="144"/>
        <v>207.11938580878308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0.20382681187881038</v>
      </c>
      <c r="AV171" s="21">
        <f>EXP(-LN(2)/25)*AV170+(1-EXP(-LN(2)/25))/(LN(2)/25)*Calculateur!AQ171*Calculateur!AS171*VLOOKUP('Données projet'!$B$10,Paramètres!$A$1:$I$89,3,0)*0.475*44/12</f>
        <v>0.17119311178083488</v>
      </c>
      <c r="AW171" s="21">
        <f>EXP(-LN(2)/2)*AW170+(1-EXP(-LN(2)/2))/(LN(2)/2)*AQ171*AT171*VLOOKUP('Données projet'!$B$10,Paramètres!$A$1:$I$89,3,0)*0.475*44/12</f>
        <v>1.6656354844059055E-20</v>
      </c>
      <c r="AX171" s="21">
        <f t="shared" si="166"/>
        <v>0.37501992365964526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401.06118089678654</v>
      </c>
      <c r="T172" s="59">
        <f t="shared" si="142"/>
        <v>399.58193819355591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252.98248842635206</v>
      </c>
      <c r="AO172" s="59">
        <f t="shared" si="144"/>
        <v>207.11938580878308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0.19982989241994636</v>
      </c>
      <c r="AV172" s="21">
        <f>EXP(-LN(2)/25)*AV171+(1-EXP(-LN(2)/25))/(LN(2)/25)*Calculateur!AQ172*Calculateur!AS172*VLOOKUP('Données projet'!$B$10,Paramètres!$A$1:$I$89,3,0)*0.475*44/12</f>
        <v>0.16651182713653348</v>
      </c>
      <c r="AW172" s="21">
        <f>EXP(-LN(2)/2)*AW171+(1-EXP(-LN(2)/2))/(LN(2)/2)*AQ172*AT172*VLOOKUP('Données projet'!$B$10,Paramètres!$A$1:$I$89,3,0)*0.475*44/12</f>
        <v>1.1777821460083557E-20</v>
      </c>
      <c r="AX172" s="21">
        <f t="shared" si="166"/>
        <v>0.36634171955647987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401.06118089678654</v>
      </c>
      <c r="T173" s="59">
        <f t="shared" si="142"/>
        <v>399.58193819355591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252.98248842635206</v>
      </c>
      <c r="AO173" s="59">
        <f t="shared" si="144"/>
        <v>207.11938580878308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0.19591135011379052</v>
      </c>
      <c r="AV173" s="21">
        <f>EXP(-LN(2)/25)*AV172+(1-EXP(-LN(2)/25))/(LN(2)/25)*Calculateur!AQ173*Calculateur!AS173*VLOOKUP('Données projet'!$B$10,Paramètres!$A$1:$I$89,3,0)*0.475*44/12</f>
        <v>0.16195855246700855</v>
      </c>
      <c r="AW173" s="21">
        <f>EXP(-LN(2)/2)*AW172+(1-EXP(-LN(2)/2))/(LN(2)/2)*AQ173*AT173*VLOOKUP('Données projet'!$B$10,Paramètres!$A$1:$I$89,3,0)*0.475*44/12</f>
        <v>8.3281774220295273E-21</v>
      </c>
      <c r="AX173" s="21">
        <f t="shared" si="166"/>
        <v>0.35786990258079909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401.06118089678654</v>
      </c>
      <c r="T174" s="59">
        <f t="shared" si="142"/>
        <v>399.58193819355591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252.98248842635206</v>
      </c>
      <c r="AO174" s="59">
        <f t="shared" si="144"/>
        <v>207.11938580878308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0.1920696480321836</v>
      </c>
      <c r="AV174" s="21">
        <f>EXP(-LN(2)/25)*AV173+(1-EXP(-LN(2)/25))/(LN(2)/25)*Calculateur!AQ174*Calculateur!AS174*VLOOKUP('Données projet'!$B$10,Paramètres!$A$1:$I$89,3,0)*0.475*44/12</f>
        <v>0.1575297873327681</v>
      </c>
      <c r="AW174" s="21">
        <f>EXP(-LN(2)/2)*AW173+(1-EXP(-LN(2)/2))/(LN(2)/2)*AQ174*AT174*VLOOKUP('Données projet'!$B$10,Paramètres!$A$1:$I$89,3,0)*0.475*44/12</f>
        <v>5.8889107300417785E-21</v>
      </c>
      <c r="AX174" s="21">
        <f t="shared" si="166"/>
        <v>0.34959943536495169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401.06118089678654</v>
      </c>
      <c r="T175" s="59">
        <f t="shared" si="142"/>
        <v>399.58193819355591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252.98248842635206</v>
      </c>
      <c r="AO175" s="59">
        <f t="shared" si="144"/>
        <v>207.11938580878308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0.18830327938519009</v>
      </c>
      <c r="AV175" s="21">
        <f>EXP(-LN(2)/25)*AV174+(1-EXP(-LN(2)/25))/(LN(2)/25)*Calculateur!AQ175*Calculateur!AS175*VLOOKUP('Données projet'!$B$10,Paramètres!$A$1:$I$89,3,0)*0.475*44/12</f>
        <v>0.15322212701402207</v>
      </c>
      <c r="AW175" s="21">
        <f>EXP(-LN(2)/2)*AW174+(1-EXP(-LN(2)/2))/(LN(2)/2)*AQ175*AT175*VLOOKUP('Données projet'!$B$10,Paramètres!$A$1:$I$89,3,0)*0.475*44/12</f>
        <v>4.1640887110147636E-21</v>
      </c>
      <c r="AX175" s="21">
        <f t="shared" si="166"/>
        <v>0.34152540639921214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401.06118089678654</v>
      </c>
      <c r="T176" s="59">
        <f t="shared" si="142"/>
        <v>399.58193819355591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252.98248842635206</v>
      </c>
      <c r="AO176" s="59">
        <f t="shared" si="144"/>
        <v>207.11938580878308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0.18461076693010608</v>
      </c>
      <c r="AV176" s="21">
        <f>EXP(-LN(2)/25)*AV175+(1-EXP(-LN(2)/25))/(LN(2)/25)*Calculateur!AQ176*Calculateur!AS176*VLOOKUP('Données projet'!$B$10,Paramètres!$A$1:$I$89,3,0)*0.475*44/12</f>
        <v>0.14903225989322216</v>
      </c>
      <c r="AW176" s="21">
        <f>EXP(-LN(2)/2)*AW175+(1-EXP(-LN(2)/2))/(LN(2)/2)*AQ176*AT176*VLOOKUP('Données projet'!$B$10,Paramètres!$A$1:$I$89,3,0)*0.475*44/12</f>
        <v>2.9444553650208892E-21</v>
      </c>
      <c r="AX176" s="21">
        <f t="shared" si="166"/>
        <v>0.33364302682332825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401.06118089678654</v>
      </c>
      <c r="T177" s="59">
        <f t="shared" si="142"/>
        <v>399.58193819355591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252.98248842635206</v>
      </c>
      <c r="AO177" s="59">
        <f t="shared" si="144"/>
        <v>207.11938580878308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0.18099066239205605</v>
      </c>
      <c r="AV177" s="21">
        <f>EXP(-LN(2)/25)*AV176+(1-EXP(-LN(2)/25))/(LN(2)/25)*Calculateur!AQ177*Calculateur!AS177*VLOOKUP('Données projet'!$B$10,Paramètres!$A$1:$I$89,3,0)*0.475*44/12</f>
        <v>0.14495696490917606</v>
      </c>
      <c r="AW177" s="21">
        <f>EXP(-LN(2)/2)*AW176+(1-EXP(-LN(2)/2))/(LN(2)/2)*AQ177*AT177*VLOOKUP('Données projet'!$B$10,Paramètres!$A$1:$I$89,3,0)*0.475*44/12</f>
        <v>2.0820443555073818E-21</v>
      </c>
      <c r="AX177" s="21">
        <f t="shared" si="166"/>
        <v>0.32594762730123211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401.06118089678654</v>
      </c>
      <c r="T178" s="59">
        <f t="shared" si="142"/>
        <v>399.58193819355591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252.98248842635206</v>
      </c>
      <c r="AO178" s="59">
        <f t="shared" si="144"/>
        <v>207.11938580878308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0.17744154589595146</v>
      </c>
      <c r="AV178" s="21">
        <f>EXP(-LN(2)/25)*AV177+(1-EXP(-LN(2)/25))/(LN(2)/25)*Calculateur!AQ178*Calculateur!AS178*VLOOKUP('Données projet'!$B$10,Paramètres!$A$1:$I$89,3,0)*0.475*44/12</f>
        <v>0.14099310908077917</v>
      </c>
      <c r="AW178" s="21">
        <f>EXP(-LN(2)/2)*AW177+(1-EXP(-LN(2)/2))/(LN(2)/2)*AQ178*AT178*VLOOKUP('Données projet'!$B$10,Paramètres!$A$1:$I$89,3,0)*0.475*44/12</f>
        <v>1.4722276825104446E-21</v>
      </c>
      <c r="AX178" s="21">
        <f t="shared" si="166"/>
        <v>0.31843465497673062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401.06118089678654</v>
      </c>
      <c r="T179" s="59">
        <f t="shared" si="142"/>
        <v>399.58193819355591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252.98248842635206</v>
      </c>
      <c r="AO179" s="59">
        <f t="shared" si="144"/>
        <v>207.11938580878308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0.17396202540958816</v>
      </c>
      <c r="AV179" s="21">
        <f>EXP(-LN(2)/25)*AV178+(1-EXP(-LN(2)/25))/(LN(2)/25)*Calculateur!AQ179*Calculateur!AS179*VLOOKUP('Données projet'!$B$10,Paramètres!$A$1:$I$89,3,0)*0.475*44/12</f>
        <v>0.13713764509845991</v>
      </c>
      <c r="AW179" s="21">
        <f>EXP(-LN(2)/2)*AW178+(1-EXP(-LN(2)/2))/(LN(2)/2)*AQ179*AT179*VLOOKUP('Données projet'!$B$10,Paramètres!$A$1:$I$89,3,0)*0.475*44/12</f>
        <v>1.0410221777536909E-21</v>
      </c>
      <c r="AX179" s="21">
        <f t="shared" si="166"/>
        <v>0.3110996705080481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401.06118089678654</v>
      </c>
      <c r="T180" s="59">
        <f t="shared" si="142"/>
        <v>399.58193819355591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252.98248842635206</v>
      </c>
      <c r="AO180" s="59">
        <f t="shared" si="144"/>
        <v>207.11938580878308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0.1705507361976645</v>
      </c>
      <c r="AV180" s="21">
        <f>EXP(-LN(2)/25)*AV179+(1-EXP(-LN(2)/25))/(LN(2)/25)*Calculateur!AQ180*Calculateur!AS180*VLOOKUP('Données projet'!$B$10,Paramètres!$A$1:$I$89,3,0)*0.475*44/12</f>
        <v>0.13338760898148719</v>
      </c>
      <c r="AW180" s="21">
        <f>EXP(-LN(2)/2)*AW179+(1-EXP(-LN(2)/2))/(LN(2)/2)*AQ180*AT180*VLOOKUP('Données projet'!$B$10,Paramètres!$A$1:$I$89,3,0)*0.475*44/12</f>
        <v>7.3611384125522231E-22</v>
      </c>
      <c r="AX180" s="21">
        <f t="shared" si="166"/>
        <v>0.30393834517915169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401.06118089678654</v>
      </c>
      <c r="T181" s="59">
        <f t="shared" si="142"/>
        <v>399.58193819355591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252.98248842635206</v>
      </c>
      <c r="AO181" s="59">
        <f t="shared" si="144"/>
        <v>207.11938580878308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0.16720634028650569</v>
      </c>
      <c r="AV181" s="21">
        <f>EXP(-LN(2)/25)*AV180+(1-EXP(-LN(2)/25))/(LN(2)/25)*Calculateur!AQ181*Calculateur!AS181*VLOOKUP('Données projet'!$B$10,Paramètres!$A$1:$I$89,3,0)*0.475*44/12</f>
        <v>0.12974011779933892</v>
      </c>
      <c r="AW181" s="21">
        <f>EXP(-LN(2)/2)*AW180+(1-EXP(-LN(2)/2))/(LN(2)/2)*AQ181*AT181*VLOOKUP('Données projet'!$B$10,Paramètres!$A$1:$I$89,3,0)*0.475*44/12</f>
        <v>5.2051108887684545E-22</v>
      </c>
      <c r="AX181" s="21">
        <f t="shared" si="166"/>
        <v>0.29694645808584463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401.06118089678654</v>
      </c>
      <c r="T182" s="59">
        <f t="shared" si="142"/>
        <v>399.58193819355591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252.98248842635206</v>
      </c>
      <c r="AO182" s="59">
        <f t="shared" si="144"/>
        <v>207.11938580878308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0.16392752593928461</v>
      </c>
      <c r="AV182" s="21">
        <f>EXP(-LN(2)/25)*AV181+(1-EXP(-LN(2)/25))/(LN(2)/25)*Calculateur!AQ182*Calculateur!AS182*VLOOKUP('Données projet'!$B$10,Paramètres!$A$1:$I$89,3,0)*0.475*44/12</f>
        <v>0.12619236745537973</v>
      </c>
      <c r="AW182" s="21">
        <f>EXP(-LN(2)/2)*AW181+(1-EXP(-LN(2)/2))/(LN(2)/2)*AQ182*AT182*VLOOKUP('Données projet'!$B$10,Paramètres!$A$1:$I$89,3,0)*0.475*44/12</f>
        <v>3.6805692062761116E-22</v>
      </c>
      <c r="AX182" s="21">
        <f t="shared" si="166"/>
        <v>0.29011989339466437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401.06118089678654</v>
      </c>
      <c r="T183" s="59">
        <f t="shared" si="142"/>
        <v>399.58193819355591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252.98248842635206</v>
      </c>
      <c r="AO183" s="59">
        <f t="shared" si="144"/>
        <v>207.11938580878308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0.16071300714153328</v>
      </c>
      <c r="AV183" s="21">
        <f>EXP(-LN(2)/25)*AV182+(1-EXP(-LN(2)/25))/(LN(2)/25)*Calculateur!AQ183*Calculateur!AS183*VLOOKUP('Données projet'!$B$10,Paramètres!$A$1:$I$89,3,0)*0.475*44/12</f>
        <v>0.12274163053114419</v>
      </c>
      <c r="AW183" s="21">
        <f>EXP(-LN(2)/2)*AW182+(1-EXP(-LN(2)/2))/(LN(2)/2)*AQ183*AT183*VLOOKUP('Données projet'!$B$10,Paramètres!$A$1:$I$89,3,0)*0.475*44/12</f>
        <v>2.6025554443842273E-22</v>
      </c>
      <c r="AX183" s="21">
        <f t="shared" si="166"/>
        <v>0.28345463767267748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401.06118089678654</v>
      </c>
      <c r="T184" s="59">
        <f t="shared" si="142"/>
        <v>399.58193819355591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252.98248842635206</v>
      </c>
      <c r="AO184" s="59">
        <f t="shared" si="144"/>
        <v>207.11938580878308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0.15756152309674298</v>
      </c>
      <c r="AV184" s="21">
        <f>EXP(-LN(2)/25)*AV183+(1-EXP(-LN(2)/25))/(LN(2)/25)*Calculateur!AQ184*Calculateur!AS184*VLOOKUP('Données projet'!$B$10,Paramètres!$A$1:$I$89,3,0)*0.475*44/12</f>
        <v>0.11938525418956823</v>
      </c>
      <c r="AW184" s="21">
        <f>EXP(-LN(2)/2)*AW183+(1-EXP(-LN(2)/2))/(LN(2)/2)*AQ184*AT184*VLOOKUP('Données projet'!$B$10,Paramètres!$A$1:$I$89,3,0)*0.475*44/12</f>
        <v>1.8402846031380558E-22</v>
      </c>
      <c r="AX184" s="21">
        <f t="shared" si="166"/>
        <v>0.27694677728631123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401.06118089678654</v>
      </c>
      <c r="T185" s="59">
        <f t="shared" si="142"/>
        <v>399.58193819355591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252.98248842635206</v>
      </c>
      <c r="AO185" s="59">
        <f t="shared" si="144"/>
        <v>207.11938580878308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0.15447183773185555</v>
      </c>
      <c r="AV185" s="21">
        <f>EXP(-LN(2)/25)*AV184+(1-EXP(-LN(2)/25))/(LN(2)/25)*Calculateur!AQ185*Calculateur!AS185*VLOOKUP('Données projet'!$B$10,Paramètres!$A$1:$I$89,3,0)*0.475*44/12</f>
        <v>0.11612065813555683</v>
      </c>
      <c r="AW185" s="21">
        <f>EXP(-LN(2)/2)*AW184+(1-EXP(-LN(2)/2))/(LN(2)/2)*AQ185*AT185*VLOOKUP('Données projet'!$B$10,Paramètres!$A$1:$I$89,3,0)*0.475*44/12</f>
        <v>1.3012777221921136E-22</v>
      </c>
      <c r="AX185" s="21">
        <f t="shared" si="166"/>
        <v>0.27059249586741241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401.06118089678654</v>
      </c>
      <c r="T186" s="59">
        <f t="shared" si="142"/>
        <v>399.58193819355591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252.98248842635206</v>
      </c>
      <c r="AO186" s="59">
        <f t="shared" si="144"/>
        <v>207.11938580878308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0.15144273921245158</v>
      </c>
      <c r="AV186" s="21">
        <f>EXP(-LN(2)/25)*AV185+(1-EXP(-LN(2)/25))/(LN(2)/25)*Calculateur!AQ186*Calculateur!AS186*VLOOKUP('Données projet'!$B$10,Paramètres!$A$1:$I$89,3,0)*0.475*44/12</f>
        <v>0.11294533263232001</v>
      </c>
      <c r="AW186" s="21">
        <f>EXP(-LN(2)/2)*AW185+(1-EXP(-LN(2)/2))/(LN(2)/2)*AQ186*AT186*VLOOKUP('Données projet'!$B$10,Paramètres!$A$1:$I$89,3,0)*0.475*44/12</f>
        <v>9.2014230156902789E-23</v>
      </c>
      <c r="AX186" s="21">
        <f t="shared" si="166"/>
        <v>0.26438807184477159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401.06118089678654</v>
      </c>
      <c r="T187" s="59">
        <f t="shared" si="142"/>
        <v>399.58193819355591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252.98248842635206</v>
      </c>
      <c r="AO187" s="59">
        <f t="shared" si="144"/>
        <v>207.11938580878308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0.14847303946744544</v>
      </c>
      <c r="AV187" s="21">
        <f>EXP(-LN(2)/25)*AV186+(1-EXP(-LN(2)/25))/(LN(2)/25)*Calculateur!AQ187*Calculateur!AS187*VLOOKUP('Données projet'!$B$10,Paramètres!$A$1:$I$89,3,0)*0.475*44/12</f>
        <v>0.10985683657195232</v>
      </c>
      <c r="AW187" s="21">
        <f>EXP(-LN(2)/2)*AW186+(1-EXP(-LN(2)/2))/(LN(2)/2)*AQ187*AT187*VLOOKUP('Données projet'!$B$10,Paramètres!$A$1:$I$89,3,0)*0.475*44/12</f>
        <v>6.5063886109605682E-23</v>
      </c>
      <c r="AX187" s="21">
        <f t="shared" si="166"/>
        <v>0.25832987603939778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401.06118089678654</v>
      </c>
      <c r="T188" s="59">
        <f t="shared" si="142"/>
        <v>399.58193819355591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252.98248842635206</v>
      </c>
      <c r="AO188" s="59">
        <f t="shared" si="144"/>
        <v>207.11938580878308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0.14556157372310088</v>
      </c>
      <c r="AV188" s="21">
        <f>EXP(-LN(2)/25)*AV187+(1-EXP(-LN(2)/25))/(LN(2)/25)*Calculateur!AQ188*Calculateur!AS188*VLOOKUP('Données projet'!$B$10,Paramètres!$A$1:$I$89,3,0)*0.475*44/12</f>
        <v>0.10685279559877232</v>
      </c>
      <c r="AW188" s="21">
        <f>EXP(-LN(2)/2)*AW187+(1-EXP(-LN(2)/2))/(LN(2)/2)*AQ188*AT188*VLOOKUP('Données projet'!$B$10,Paramètres!$A$1:$I$89,3,0)*0.475*44/12</f>
        <v>4.6007115078451394E-23</v>
      </c>
      <c r="AX188" s="21">
        <f t="shared" si="166"/>
        <v>0.25241436932187322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401.06118089678654</v>
      </c>
      <c r="T189" s="59">
        <f t="shared" si="142"/>
        <v>399.58193819355591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252.98248842635206</v>
      </c>
      <c r="AO189" s="59">
        <f t="shared" si="144"/>
        <v>207.11938580878308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0.14270720004618417</v>
      </c>
      <c r="AV189" s="21">
        <f>EXP(-LN(2)/25)*AV188+(1-EXP(-LN(2)/25))/(LN(2)/25)*Calculateur!AQ189*Calculateur!AS189*VLOOKUP('Données projet'!$B$10,Paramètres!$A$1:$I$89,3,0)*0.475*44/12</f>
        <v>0.10393090028397958</v>
      </c>
      <c r="AW189" s="21">
        <f>EXP(-LN(2)/2)*AW188+(1-EXP(-LN(2)/2))/(LN(2)/2)*AQ189*AT189*VLOOKUP('Données projet'!$B$10,Paramètres!$A$1:$I$89,3,0)*0.475*44/12</f>
        <v>3.2531943054802841E-23</v>
      </c>
      <c r="AX189" s="21">
        <f t="shared" si="166"/>
        <v>0.24663810033016376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401.06118089678654</v>
      </c>
      <c r="T190" s="59">
        <f t="shared" si="142"/>
        <v>399.58193819355591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252.98248842635206</v>
      </c>
      <c r="AO190" s="59">
        <f t="shared" si="144"/>
        <v>207.11938580878308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0.13990879889607577</v>
      </c>
      <c r="AV190" s="21">
        <f>EXP(-LN(2)/25)*AV189+(1-EXP(-LN(2)/25))/(LN(2)/25)*Calculateur!AQ190*Calculateur!AS190*VLOOKUP('Données projet'!$B$10,Paramètres!$A$1:$I$89,3,0)*0.475*44/12</f>
        <v>0.10108890435022565</v>
      </c>
      <c r="AW190" s="21">
        <f>EXP(-LN(2)/2)*AW189+(1-EXP(-LN(2)/2))/(LN(2)/2)*AQ190*AT190*VLOOKUP('Données projet'!$B$10,Paramètres!$A$1:$I$89,3,0)*0.475*44/12</f>
        <v>2.3003557539225697E-23</v>
      </c>
      <c r="AX190" s="21">
        <f t="shared" si="166"/>
        <v>0.24099770324630143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401.06118089678654</v>
      </c>
      <c r="T191" s="59">
        <f t="shared" si="142"/>
        <v>399.58193819355591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252.98248842635206</v>
      </c>
      <c r="AO191" s="59">
        <f t="shared" si="144"/>
        <v>207.11938580878308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0.13716527268566484</v>
      </c>
      <c r="AV191" s="21">
        <f>EXP(-LN(2)/25)*AV190+(1-EXP(-LN(2)/25))/(LN(2)/25)*Calculateur!AQ191*Calculateur!AS191*VLOOKUP('Données projet'!$B$10,Paramètres!$A$1:$I$89,3,0)*0.475*44/12</f>
        <v>9.8324622944734291E-2</v>
      </c>
      <c r="AW191" s="21">
        <f>EXP(-LN(2)/2)*AW190+(1-EXP(-LN(2)/2))/(LN(2)/2)*AQ191*AT191*VLOOKUP('Données projet'!$B$10,Paramètres!$A$1:$I$89,3,0)*0.475*44/12</f>
        <v>1.626597152740142E-23</v>
      </c>
      <c r="AX191" s="21">
        <f t="shared" si="166"/>
        <v>0.23548989563039913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401.06118089678654</v>
      </c>
      <c r="T192" s="59">
        <f t="shared" si="142"/>
        <v>399.58193819355591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252.98248842635206</v>
      </c>
      <c r="AO192" s="59">
        <f t="shared" si="144"/>
        <v>207.11938580878308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0.13447554535085429</v>
      </c>
      <c r="AV192" s="21">
        <f>EXP(-LN(2)/25)*AV191+(1-EXP(-LN(2)/25))/(LN(2)/25)*Calculateur!AQ192*Calculateur!AS192*VLOOKUP('Données projet'!$B$10,Paramètres!$A$1:$I$89,3,0)*0.475*44/12</f>
        <v>9.5635930959643331E-2</v>
      </c>
      <c r="AW192" s="21">
        <f>EXP(-LN(2)/2)*AW191+(1-EXP(-LN(2)/2))/(LN(2)/2)*AQ192*AT192*VLOOKUP('Données projet'!$B$10,Paramètres!$A$1:$I$89,3,0)*0.475*44/12</f>
        <v>1.1501778769612849E-23</v>
      </c>
      <c r="AX192" s="21">
        <f t="shared" si="166"/>
        <v>0.23011147631049761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401.06118089678654</v>
      </c>
      <c r="T193" s="59">
        <f t="shared" si="142"/>
        <v>399.58193819355591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252.98248842635206</v>
      </c>
      <c r="AO193" s="59">
        <f t="shared" si="144"/>
        <v>207.11938580878308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0.13183856192850771</v>
      </c>
      <c r="AV193" s="21">
        <f>EXP(-LN(2)/25)*AV192+(1-EXP(-LN(2)/25))/(LN(2)/25)*Calculateur!AQ193*Calculateur!AS193*VLOOKUP('Données projet'!$B$10,Paramètres!$A$1:$I$89,3,0)*0.475*44/12</f>
        <v>9.3020761398276849E-2</v>
      </c>
      <c r="AW193" s="21">
        <f>EXP(-LN(2)/2)*AW192+(1-EXP(-LN(2)/2))/(LN(2)/2)*AQ193*AT193*VLOOKUP('Données projet'!$B$10,Paramètres!$A$1:$I$89,3,0)*0.475*44/12</f>
        <v>8.1329857637007102E-24</v>
      </c>
      <c r="AX193" s="21">
        <f t="shared" si="166"/>
        <v>0.22485932332678454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401.06118089678654</v>
      </c>
      <c r="T194" s="59">
        <f t="shared" si="142"/>
        <v>399.58193819355591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252.98248842635206</v>
      </c>
      <c r="AO194" s="59">
        <f t="shared" si="144"/>
        <v>207.11938580878308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0.12925328814267226</v>
      </c>
      <c r="AV194" s="21">
        <f>EXP(-LN(2)/25)*AV193+(1-EXP(-LN(2)/25))/(LN(2)/25)*Calculateur!AQ194*Calculateur!AS194*VLOOKUP('Données projet'!$B$10,Paramètres!$A$1:$I$89,3,0)*0.475*44/12</f>
        <v>9.0477103786091723E-2</v>
      </c>
      <c r="AW194" s="21">
        <f>EXP(-LN(2)/2)*AW193+(1-EXP(-LN(2)/2))/(LN(2)/2)*AQ194*AT194*VLOOKUP('Données projet'!$B$10,Paramètres!$A$1:$I$89,3,0)*0.475*44/12</f>
        <v>5.7508893848064243E-24</v>
      </c>
      <c r="AX194" s="21">
        <f t="shared" si="166"/>
        <v>0.21973039192876398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401.06118089678654</v>
      </c>
      <c r="T195" s="59">
        <f t="shared" si="142"/>
        <v>399.58193819355591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252.98248842635206</v>
      </c>
      <c r="AO195" s="59">
        <f t="shared" si="144"/>
        <v>207.11938580878308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0.12671870999891574</v>
      </c>
      <c r="AV195" s="21">
        <f>EXP(-LN(2)/25)*AV194+(1-EXP(-LN(2)/25))/(LN(2)/25)*Calculateur!AQ195*Calculateur!AS195*VLOOKUP('Données projet'!$B$10,Paramètres!$A$1:$I$89,3,0)*0.475*44/12</f>
        <v>8.8003002625076945E-2</v>
      </c>
      <c r="AW195" s="21">
        <f>EXP(-LN(2)/2)*AW194+(1-EXP(-LN(2)/2))/(LN(2)/2)*AQ195*AT195*VLOOKUP('Données projet'!$B$10,Paramètres!$A$1:$I$89,3,0)*0.475*44/12</f>
        <v>4.0664928818503551E-24</v>
      </c>
      <c r="AX195" s="21">
        <f t="shared" si="166"/>
        <v>0.2147217126239927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401.06118089678654</v>
      </c>
      <c r="T196" s="59">
        <f t="shared" si="142"/>
        <v>399.58193819355591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252.98248842635206</v>
      </c>
      <c r="AO196" s="59">
        <f t="shared" si="144"/>
        <v>207.11938580878308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0.12423383338661827</v>
      </c>
      <c r="AV196" s="21">
        <f>EXP(-LN(2)/25)*AV195+(1-EXP(-LN(2)/25))/(LN(2)/25)*Calculateur!AQ196*Calculateur!AS196*VLOOKUP('Données projet'!$B$10,Paramètres!$A$1:$I$89,3,0)*0.475*44/12</f>
        <v>8.5596555890417439E-2</v>
      </c>
      <c r="AW196" s="21">
        <f>EXP(-LN(2)/2)*AW195+(1-EXP(-LN(2)/2))/(LN(2)/2)*AQ196*AT196*VLOOKUP('Données projet'!$B$10,Paramètres!$A$1:$I$89,3,0)*0.475*44/12</f>
        <v>2.8754446924032122E-24</v>
      </c>
      <c r="AX196" s="21">
        <f t="shared" si="166"/>
        <v>0.20983038927703571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401.06118089678654</v>
      </c>
      <c r="T197" s="59">
        <f t="shared" ref="T197:T203" si="204">$T$3</f>
        <v>399.58193819355591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252.98248842635206</v>
      </c>
      <c r="AO197" s="59">
        <f t="shared" ref="AO197:AO203" si="205">$AO$3</f>
        <v>207.11938580878308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0.12179768368906288</v>
      </c>
      <c r="AV197" s="21">
        <f>EXP(-LN(2)/25)*AV196+(1-EXP(-LN(2)/25))/(LN(2)/25)*Calculateur!AQ197*Calculateur!AS197*VLOOKUP('Données projet'!$B$10,Paramètres!$A$1:$I$89,3,0)*0.475*44/12</f>
        <v>8.325591356826674E-2</v>
      </c>
      <c r="AW197" s="21">
        <f>EXP(-LN(2)/2)*AW196+(1-EXP(-LN(2)/2))/(LN(2)/2)*AQ197*AT197*VLOOKUP('Données projet'!$B$10,Paramètres!$A$1:$I$89,3,0)*0.475*44/12</f>
        <v>2.0332464409251776E-24</v>
      </c>
      <c r="AX197" s="21">
        <f t="shared" si="166"/>
        <v>0.20505359725732963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401.06118089678654</v>
      </c>
      <c r="T198" s="59">
        <f t="shared" si="204"/>
        <v>399.58193819355591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252.98248842635206</v>
      </c>
      <c r="AO198" s="59">
        <f t="shared" si="205"/>
        <v>207.11938580878308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0.11940930540117195</v>
      </c>
      <c r="AV198" s="21">
        <f>EXP(-LN(2)/25)*AV197+(1-EXP(-LN(2)/25))/(LN(2)/25)*Calculateur!AQ198*Calculateur!AS198*VLOOKUP('Données projet'!$B$10,Paramètres!$A$1:$I$89,3,0)*0.475*44/12</f>
        <v>8.0979276233504274E-2</v>
      </c>
      <c r="AW198" s="21">
        <f>EXP(-LN(2)/2)*AW197+(1-EXP(-LN(2)/2))/(LN(2)/2)*AQ198*AT198*VLOOKUP('Données projet'!$B$10,Paramètres!$A$1:$I$89,3,0)*0.475*44/12</f>
        <v>1.4377223462016061E-24</v>
      </c>
      <c r="AX198" s="21">
        <f t="shared" si="166"/>
        <v>0.20038858163467621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401.06118089678654</v>
      </c>
      <c r="T199" s="59">
        <f t="shared" si="204"/>
        <v>399.58193819355591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252.98248842635206</v>
      </c>
      <c r="AO199" s="59">
        <f t="shared" si="205"/>
        <v>207.11938580878308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0.11706776175473965</v>
      </c>
      <c r="AV199" s="21">
        <f>EXP(-LN(2)/25)*AV198+(1-EXP(-LN(2)/25))/(LN(2)/25)*Calculateur!AQ199*Calculateur!AS199*VLOOKUP('Données projet'!$B$10,Paramètres!$A$1:$I$89,3,0)*0.475*44/12</f>
        <v>7.8764893666384048E-2</v>
      </c>
      <c r="AW199" s="21">
        <f>EXP(-LN(2)/2)*AW198+(1-EXP(-LN(2)/2))/(LN(2)/2)*AQ199*AT199*VLOOKUP('Données projet'!$B$10,Paramètres!$A$1:$I$89,3,0)*0.475*44/12</f>
        <v>1.0166232204625888E-24</v>
      </c>
      <c r="AX199" s="21">
        <f t="shared" si="166"/>
        <v>0.19583265542112371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401.06118089678654</v>
      </c>
      <c r="T200" s="59">
        <f t="shared" si="204"/>
        <v>399.58193819355591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252.98248842635206</v>
      </c>
      <c r="AO200" s="59">
        <f t="shared" si="205"/>
        <v>207.11938580878308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0.11477213435101329</v>
      </c>
      <c r="AV200" s="21">
        <f>EXP(-LN(2)/25)*AV199+(1-EXP(-LN(2)/25))/(LN(2)/25)*Calculateur!AQ200*Calculateur!AS200*VLOOKUP('Données projet'!$B$10,Paramètres!$A$1:$I$89,3,0)*0.475*44/12</f>
        <v>7.6611063507011037E-2</v>
      </c>
      <c r="AW200" s="21">
        <f>EXP(-LN(2)/2)*AW199+(1-EXP(-LN(2)/2))/(LN(2)/2)*AQ200*AT200*VLOOKUP('Données projet'!$B$10,Paramètres!$A$1:$I$89,3,0)*0.475*44/12</f>
        <v>7.1886117310080304E-25</v>
      </c>
      <c r="AX200" s="21">
        <f t="shared" si="166"/>
        <v>0.19138319785802432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401.06118089678654</v>
      </c>
      <c r="T201" s="59">
        <f t="shared" si="204"/>
        <v>399.58193819355591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252.98248842635206</v>
      </c>
      <c r="AO201" s="59">
        <f t="shared" si="205"/>
        <v>207.11938580878308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0.11252152280047954</v>
      </c>
      <c r="AV201" s="21">
        <f>EXP(-LN(2)/25)*AV200+(1-EXP(-LN(2)/25))/(LN(2)/25)*Calculateur!AQ201*Calculateur!AS201*VLOOKUP('Données projet'!$B$10,Paramètres!$A$1:$I$89,3,0)*0.475*44/12</f>
        <v>7.4516129946611082E-2</v>
      </c>
      <c r="AW201" s="21">
        <f>EXP(-LN(2)/2)*AW200+(1-EXP(-LN(2)/2))/(LN(2)/2)*AQ201*AT201*VLOOKUP('Données projet'!$B$10,Paramètres!$A$1:$I$89,3,0)*0.475*44/12</f>
        <v>5.0831161023129439E-25</v>
      </c>
      <c r="AX201" s="21">
        <f t="shared" si="166"/>
        <v>0.18703765274709061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401.06118089678654</v>
      </c>
      <c r="T202" s="59">
        <f t="shared" si="204"/>
        <v>399.58193819355591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252.98248842635206</v>
      </c>
      <c r="AO202" s="59">
        <f t="shared" si="205"/>
        <v>207.11938580878308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0.11031504436971426</v>
      </c>
      <c r="AV202" s="21">
        <f>EXP(-LN(2)/25)*AV201+(1-EXP(-LN(2)/25))/(LN(2)/25)*Calculateur!AQ202*Calculateur!AS202*VLOOKUP('Données projet'!$B$10,Paramètres!$A$1:$I$89,3,0)*0.475*44/12</f>
        <v>7.2478482454588031E-2</v>
      </c>
      <c r="AW202" s="21">
        <f>EXP(-LN(2)/2)*AW201+(1-EXP(-LN(2)/2))/(LN(2)/2)*AQ202*AT202*VLOOKUP('Données projet'!$B$10,Paramètres!$A$1:$I$89,3,0)*0.475*44/12</f>
        <v>3.5943058655040152E-25</v>
      </c>
      <c r="AX202" s="21">
        <f t="shared" si="166"/>
        <v>0.18279352682430228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401.06118089678654</v>
      </c>
      <c r="T203" s="59">
        <f t="shared" si="204"/>
        <v>399.58193819355591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252.98248842635206</v>
      </c>
      <c r="AO203" s="59">
        <f t="shared" si="205"/>
        <v>207.11938580878308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0.10815183363515733</v>
      </c>
      <c r="AV203" s="21">
        <f>EXP(-LN(2)/25)*AV202+(1-EXP(-LN(2)/25))/(LN(2)/25)*Calculateur!AQ203*Calculateur!AS203*VLOOKUP('Données projet'!$B$10,Paramètres!$A$1:$I$89,3,0)*0.475*44/12</f>
        <v>7.0496554540389583E-2</v>
      </c>
      <c r="AW203" s="21">
        <f>EXP(-LN(2)/2)*AW202+(1-EXP(-LN(2)/2))/(LN(2)/2)*AQ203*AT203*VLOOKUP('Données projet'!$B$10,Paramètres!$A$1:$I$89,3,0)*0.475*44/12</f>
        <v>2.5415580511564719E-25</v>
      </c>
      <c r="AX203" s="21">
        <f t="shared" si="166"/>
        <v>0.1786483881755469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1.3492828476735632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30" sqref="M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5.43</v>
      </c>
      <c r="C6" s="147">
        <f ca="1">IF(OR('Données projet'!B9="",'Données projet'!C9="",'Données projet'!C9=0%),0,Calculateur!S3)</f>
        <v>401.06118089678654</v>
      </c>
      <c r="D6" s="147">
        <f>IF(OR('Données projet'!B9="",'Données projet'!C9="",'Données projet'!C9=0%),0,Calculateur!T3)</f>
        <v>399.58193819355591</v>
      </c>
      <c r="E6" s="147">
        <f ca="1">MIN(C6,D6)</f>
        <v>399.58193819355591</v>
      </c>
      <c r="F6" s="147">
        <f ca="1">E6*B6</f>
        <v>2169.7299243910084</v>
      </c>
      <c r="G6" s="147">
        <f ca="1">F6*(100%-'Données projet'!$C$24)*(100%-'Données projet'!$C$25)*(100%-'Données projet'!$C$26)*(100%-'Données projet'!$C$27)</f>
        <v>1952.7569319519075</v>
      </c>
      <c r="H6" s="148">
        <f>IF(OR('Données projet'!B9="",'Données projet'!C9="",'Données projet'!C9=0%),0,AVERAGE(Calculateur!$AC$3:$AC$33)*B6)</f>
        <v>55.249984332510408</v>
      </c>
      <c r="I6" s="149">
        <f>H6*(100%-'Données projet'!$C$24)*(100%-'Données projet'!$C$25)*(100%-'Données projet'!$C$26)*(100%-'Données projet'!$C$27)</f>
        <v>49.724985899259366</v>
      </c>
      <c r="J6" s="150">
        <f>IF(OR('Données projet'!B9="",'Données projet'!C9="",'Données projet'!C9=0%),0,SUM(Calculateur!$V$3:$V$33)*VLOOKUP('Données projet'!$B$9,Paramètres!$A$1:$I$89,9,0)*B6)</f>
        <v>490.32899999999995</v>
      </c>
      <c r="K6" s="151">
        <f>J6*(100%-'Données projet'!$C$24)*(100%-'Données projet'!$C$25)*(100%-'Données projet'!$C$26)*(100%-'Données projet'!$C$27)</f>
        <v>441.29609999999997</v>
      </c>
      <c r="L6" s="152">
        <f ca="1">G6+I6+K6</f>
        <v>2443.7780178511666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5.43</v>
      </c>
      <c r="C7" s="147">
        <f ca="1">IF(OR('Données projet'!B10="",'Données projet'!C10="",'Données projet'!C10=0%),0,Calculateur!AN3)</f>
        <v>252.98248842635206</v>
      </c>
      <c r="D7" s="147">
        <f>IF(OR('Données projet'!B10="",'Données projet'!C10="",'Données projet'!C10=0%),0,Calculateur!AO3)</f>
        <v>207.11938580878308</v>
      </c>
      <c r="E7" s="147">
        <f t="shared" ref="E7:E15" ca="1" si="0">MIN(C7,D7)</f>
        <v>207.11938580878308</v>
      </c>
      <c r="F7" s="147">
        <f t="shared" ref="F7:F15" ca="1" si="1">E7*B7</f>
        <v>1124.6582649416921</v>
      </c>
      <c r="G7" s="147">
        <f ca="1">F7*(100%-'Données projet'!$C$24)*(100%-'Données projet'!$C$25)*(100%-'Données projet'!$C$26)*(100%-'Données projet'!$C$27)</f>
        <v>1012.1924384475229</v>
      </c>
      <c r="H7" s="155">
        <f>IF(OR('Données projet'!B10="",'Données projet'!C10="",'Données projet'!C10=0%),0,AVERAGE(Calculateur!$AX$3:$AX$33)*B7)</f>
        <v>8.8630279344690059</v>
      </c>
      <c r="I7" s="149">
        <f>H7*(100%-'Données projet'!$C$24)*(100%-'Données projet'!$C$25)*(100%-'Données projet'!$C$26)*(100%-'Données projet'!$C$27)</f>
        <v>7.9767251410221052</v>
      </c>
      <c r="J7" s="150">
        <f>IF(OR('Données projet'!B10="",'Données projet'!C10="",'Données projet'!C10=0%),0,SUM(Calculateur!$AQ$3:$AQ$33)*VLOOKUP('Données projet'!$B$10,Paramètres!$A$1:$I$89,9,0)*B7)</f>
        <v>136.35815999999997</v>
      </c>
      <c r="K7" s="151">
        <f>J7*(100%-'Données projet'!$C$24)*(100%-'Données projet'!$C$25)*(100%-'Données projet'!$C$26)*(100%-'Données projet'!$C$27)</f>
        <v>122.72234399999998</v>
      </c>
      <c r="L7" s="152">
        <f t="shared" ref="L7:L15" ca="1" si="2">G7+I7+K7</f>
        <v>1142.891507588545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3294.3881893327007</v>
      </c>
      <c r="G16" s="166">
        <f t="shared" ca="1" si="3"/>
        <v>2964.9493703994303</v>
      </c>
      <c r="H16" s="167">
        <f t="shared" si="3"/>
        <v>64.11301226697941</v>
      </c>
      <c r="I16" s="167">
        <f t="shared" si="3"/>
        <v>57.701711040281474</v>
      </c>
      <c r="J16" s="168">
        <f t="shared" si="3"/>
        <v>626.68715999999995</v>
      </c>
      <c r="K16" s="168">
        <f t="shared" si="3"/>
        <v>564.01844399999993</v>
      </c>
      <c r="L16" s="169">
        <f t="shared" ca="1" si="3"/>
        <v>3586.6695254397118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3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2866.6370527858571</v>
      </c>
      <c r="U10" s="178">
        <f>'Données projet'!D9</f>
        <v>5.43</v>
      </c>
      <c r="V10" s="177">
        <f>U10*T10</f>
        <v>15565.839196627203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-1816.6263372419403</v>
      </c>
      <c r="U11" s="178">
        <f>'Données projet'!D10</f>
        <v>5.43</v>
      </c>
      <c r="V11" s="177">
        <f t="shared" ref="V11" si="0">U11*T11</f>
        <v>-9864.2810112237348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2197</v>
      </c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0</v>
      </c>
      <c r="I20" s="191">
        <v>650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400</v>
      </c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-12806.85940765309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84</v>
      </c>
      <c r="C24" s="193">
        <v>12</v>
      </c>
      <c r="D24" s="182">
        <f t="shared" ref="D24:D42" si="2">B24*C24</f>
        <v>1008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1027.2509884082535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126</v>
      </c>
      <c r="C25" s="193">
        <v>35</v>
      </c>
      <c r="D25" s="182">
        <f t="shared" si="2"/>
        <v>4410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5">
        <f ca="1">T23-T24</f>
        <v>-13834.110396061344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126</v>
      </c>
      <c r="C26" s="193">
        <v>45</v>
      </c>
      <c r="D26" s="182">
        <f t="shared" si="2"/>
        <v>5670</v>
      </c>
      <c r="E26" s="193"/>
      <c r="F26" s="233"/>
      <c r="G26" s="229"/>
      <c r="H26" s="190"/>
      <c r="I26" s="191"/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119</v>
      </c>
      <c r="C27" s="193">
        <v>50</v>
      </c>
      <c r="D27" s="182">
        <f t="shared" si="2"/>
        <v>5950</v>
      </c>
      <c r="E27" s="193"/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90</v>
      </c>
      <c r="C28" s="193">
        <v>55</v>
      </c>
      <c r="D28" s="182">
        <f t="shared" si="2"/>
        <v>4950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75</v>
      </c>
      <c r="C29" s="193">
        <v>60</v>
      </c>
      <c r="D29" s="182">
        <f t="shared" si="2"/>
        <v>4500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719</v>
      </c>
      <c r="C30" s="193">
        <v>60</v>
      </c>
      <c r="D30" s="182">
        <f t="shared" si="2"/>
        <v>43140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3016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12.5</v>
      </c>
      <c r="C54" s="191">
        <v>8</v>
      </c>
      <c r="D54" s="179">
        <f>B54*C54</f>
        <v>100</v>
      </c>
      <c r="E54" s="193">
        <v>1810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45.9</v>
      </c>
      <c r="C55" s="191">
        <v>8</v>
      </c>
      <c r="D55" s="179">
        <f t="shared" ref="D55:D73" si="4">B55*C55</f>
        <v>367.2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83.4</v>
      </c>
      <c r="C56" s="191">
        <v>15</v>
      </c>
      <c r="D56" s="179">
        <f t="shared" si="4"/>
        <v>1251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83.4</v>
      </c>
      <c r="C57" s="191">
        <v>25</v>
      </c>
      <c r="D57" s="179">
        <f t="shared" si="4"/>
        <v>2085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83.4</v>
      </c>
      <c r="C58" s="191">
        <v>30</v>
      </c>
      <c r="D58" s="179">
        <f t="shared" si="4"/>
        <v>2502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83.4</v>
      </c>
      <c r="C59" s="191">
        <v>50</v>
      </c>
      <c r="D59" s="179">
        <f t="shared" si="4"/>
        <v>4170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83.4</v>
      </c>
      <c r="C60" s="191">
        <v>50</v>
      </c>
      <c r="D60" s="179">
        <f t="shared" si="4"/>
        <v>4170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83.4</v>
      </c>
      <c r="C61" s="191">
        <v>50</v>
      </c>
      <c r="D61" s="179">
        <f t="shared" si="4"/>
        <v>4170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726.2</v>
      </c>
      <c r="C62" s="191">
        <v>100</v>
      </c>
      <c r="D62" s="179">
        <f t="shared" si="4"/>
        <v>72620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2023-01-24T16:28:37Z</dcterms:modified>
</cp:coreProperties>
</file>