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7_Dijon\BOENE NEUY\"/>
    </mc:Choice>
  </mc:AlternateContent>
  <xr:revisionPtr revIDLastSave="0" documentId="13_ncr:1_{0297074D-308B-4BE4-98D2-7296CC4D6BFA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8" i="1" l="1"/>
  <c r="D68" i="1" s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X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FR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G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X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HH163" i="2"/>
  <c r="HG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S164" i="2"/>
  <c r="HG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EB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H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X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BC58" i="2" a="1"/>
  <c r="BC58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<sst xmlns="http://schemas.openxmlformats.org/spreadsheetml/2006/main" count="1172" uniqueCount="324">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</sst>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1.8462109889683529</c:v>
                </c:pt>
                <c:pt idx="2">
                  <c:v>2.3451489488503281</c:v>
                </c:pt>
                <c:pt idx="3">
                  <c:v>2.9794649120615269</c:v>
                </c:pt>
                <c:pt idx="4">
                  <c:v>3.786029750845104</c:v>
                </c:pt>
                <c:pt idx="5">
                  <c:v>4.8117916429562113</c:v>
                </c:pt>
                <c:pt idx="6">
                  <c:v>6.1165393222775526</c:v>
                </c:pt>
                <c:pt idx="7">
                  <c:v>7.776425305000866</c:v>
                </c:pt>
                <c:pt idx="8">
                  <c:v>9.8884586824205432</c:v>
                </c:pt>
                <c:pt idx="9">
                  <c:v>12.576235018664383</c:v>
                </c:pt>
                <c:pt idx="10">
                  <c:v>15.997244896491198</c:v>
                </c:pt>
                <c:pt idx="11">
                  <c:v>35.11946593524749</c:v>
                </c:pt>
                <c:pt idx="12">
                  <c:v>53.941533317200332</c:v>
                </c:pt>
                <c:pt idx="13">
                  <c:v>72.587839462606041</c:v>
                </c:pt>
                <c:pt idx="14">
                  <c:v>91.110686124684605</c:v>
                </c:pt>
                <c:pt idx="15">
                  <c:v>109.53891756394221</c:v>
                </c:pt>
                <c:pt idx="16">
                  <c:v>127.89076379214985</c:v>
                </c:pt>
                <c:pt idx="17">
                  <c:v>146.17875680898462</c:v>
                </c:pt>
                <c:pt idx="18">
                  <c:v>164.41202153837858</c:v>
                </c:pt>
                <c:pt idx="19">
                  <c:v>182.59748696177417</c:v>
                </c:pt>
                <c:pt idx="20">
                  <c:v>200.74058596732007</c:v>
                </c:pt>
                <c:pt idx="21">
                  <c:v>151.28925619778201</c:v>
                </c:pt>
                <c:pt idx="22">
                  <c:v>178.23702366279221</c:v>
                </c:pt>
                <c:pt idx="23">
                  <c:v>205.08912920241869</c:v>
                </c:pt>
                <c:pt idx="24">
                  <c:v>231.85987083514172</c:v>
                </c:pt>
                <c:pt idx="25">
                  <c:v>258.55996582862002</c:v>
                </c:pt>
                <c:pt idx="26">
                  <c:v>285.19773351607643</c:v>
                </c:pt>
                <c:pt idx="27">
                  <c:v>311.77981081702814</c:v>
                </c:pt>
                <c:pt idx="28">
                  <c:v>338.31161007994922</c:v>
                </c:pt>
                <c:pt idx="29">
                  <c:v>364.79762541449355</c:v>
                </c:pt>
                <c:pt idx="30">
                  <c:v>391.24164524422287</c:v>
                </c:pt>
                <c:pt idx="31">
                  <c:v>283.75933157442824</c:v>
                </c:pt>
                <c:pt idx="32">
                  <c:v>310.10500044645295</c:v>
                </c:pt>
                <c:pt idx="33">
                  <c:v>336.40098850741833</c:v>
                </c:pt>
                <c:pt idx="34">
                  <c:v>362.6517220826974</c:v>
                </c:pt>
                <c:pt idx="35">
                  <c:v>388.86093454636375</c:v>
                </c:pt>
                <c:pt idx="36">
                  <c:v>415.03181517088063</c:v>
                </c:pt>
                <c:pt idx="37">
                  <c:v>441.16711844087371</c:v>
                </c:pt>
                <c:pt idx="38">
                  <c:v>467.26924609904478</c:v>
                </c:pt>
                <c:pt idx="39">
                  <c:v>493.34030989948968</c:v>
                </c:pt>
                <c:pt idx="40">
                  <c:v>519.3821804047584</c:v>
                </c:pt>
                <c:pt idx="41">
                  <c:v>409.3249286811602</c:v>
                </c:pt>
                <c:pt idx="42">
                  <c:v>432.14242504303388</c:v>
                </c:pt>
                <c:pt idx="43">
                  <c:v>454.93405296728002</c:v>
                </c:pt>
                <c:pt idx="44">
                  <c:v>477.701289583191</c:v>
                </c:pt>
                <c:pt idx="45">
                  <c:v>500.44545984540667</c:v>
                </c:pt>
                <c:pt idx="46">
                  <c:v>523.16775855438141</c:v>
                </c:pt>
                <c:pt idx="47">
                  <c:v>545.86926835341148</c:v>
                </c:pt>
                <c:pt idx="48">
                  <c:v>568.55097457736008</c:v>
                </c:pt>
                <c:pt idx="49">
                  <c:v>591.21377760988844</c:v>
                </c:pt>
                <c:pt idx="50">
                  <c:v>613.85850324857017</c:v>
                </c:pt>
                <c:pt idx="51">
                  <c:v>505.41779238953194</c:v>
                </c:pt>
                <c:pt idx="52">
                  <c:v>524.58720128194273</c:v>
                </c:pt>
                <c:pt idx="53">
                  <c:v>543.74185767351298</c:v>
                </c:pt>
                <c:pt idx="54">
                  <c:v>562.88235401865029</c:v>
                </c:pt>
                <c:pt idx="55">
                  <c:v>582.00923922497111</c:v>
                </c:pt>
                <c:pt idx="56">
                  <c:v>601.12302320907963</c:v>
                </c:pt>
                <c:pt idx="57">
                  <c:v>620.22418084313767</c:v>
                </c:pt>
                <c:pt idx="58">
                  <c:v>639.31315539031277</c:v>
                </c:pt>
                <c:pt idx="59">
                  <c:v>658.39036150888137</c:v>
                </c:pt>
                <c:pt idx="60">
                  <c:v>677.45618789031789</c:v>
                </c:pt>
                <c:pt idx="61">
                  <c:v>595.46101689050818</c:v>
                </c:pt>
                <c:pt idx="62">
                  <c:v>611.26468734168623</c:v>
                </c:pt>
                <c:pt idx="63">
                  <c:v>627.05988300825231</c:v>
                </c:pt>
                <c:pt idx="64">
                  <c:v>642.84684729505659</c:v>
                </c:pt>
                <c:pt idx="65">
                  <c:v>658.62581068526822</c:v>
                </c:pt>
                <c:pt idx="66">
                  <c:v>674.39699172585108</c:v>
                </c:pt>
                <c:pt idx="67">
                  <c:v>690.16059791612599</c:v>
                </c:pt>
                <c:pt idx="68">
                  <c:v>705.91682651099427</c:v>
                </c:pt>
                <c:pt idx="69">
                  <c:v>721.66586524877459</c:v>
                </c:pt>
                <c:pt idx="70">
                  <c:v>737.40789301225266</c:v>
                </c:pt>
                <c:pt idx="71">
                  <c:v>670.86679558240803</c:v>
                </c:pt>
                <c:pt idx="72">
                  <c:v>683.10319046019015</c:v>
                </c:pt>
                <c:pt idx="73">
                  <c:v>695.33508908742158</c:v>
                </c:pt>
                <c:pt idx="74">
                  <c:v>707.56258166653413</c:v>
                </c:pt>
                <c:pt idx="75">
                  <c:v>719.78575502980368</c:v>
                </c:pt>
                <c:pt idx="76">
                  <c:v>732.00469282155143</c:v>
                </c:pt>
                <c:pt idx="77">
                  <c:v>744.21947566755978</c:v>
                </c:pt>
                <c:pt idx="78">
                  <c:v>756.4301813327919</c:v>
                </c:pt>
                <c:pt idx="79">
                  <c:v>768.63688486840704</c:v>
                </c:pt>
                <c:pt idx="80">
                  <c:v>780.83965874895682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2.0615802021639595</c:v>
                </c:pt>
                <c:pt idx="2">
                  <c:v>2.6306720199279545</c:v>
                </c:pt>
                <c:pt idx="3">
                  <c:v>3.357488018453298</c:v>
                </c:pt>
                <c:pt idx="4">
                  <c:v>4.2859059270606634</c:v>
                </c:pt>
                <c:pt idx="5">
                  <c:v>5.4720527619498105</c:v>
                </c:pt>
                <c:pt idx="6">
                  <c:v>6.9877355562224617</c:v>
                </c:pt>
                <c:pt idx="7">
                  <c:v>8.9248358288257617</c:v>
                </c:pt>
                <c:pt idx="8">
                  <c:v>11.400939260761424</c:v>
                </c:pt>
                <c:pt idx="9">
                  <c:v>14.566548705207111</c:v>
                </c:pt>
                <c:pt idx="10">
                  <c:v>18.614327012382446</c:v>
                </c:pt>
                <c:pt idx="11">
                  <c:v>23.790942352926717</c:v>
                </c:pt>
                <c:pt idx="12">
                  <c:v>30.41225067621362</c:v>
                </c:pt>
                <c:pt idx="13">
                  <c:v>38.88275778896849</c:v>
                </c:pt>
                <c:pt idx="14">
                  <c:v>49.720570316163929</c:v>
                </c:pt>
                <c:pt idx="15">
                  <c:v>63.589387248149137</c:v>
                </c:pt>
                <c:pt idx="16">
                  <c:v>81.339523385051294</c:v>
                </c:pt>
                <c:pt idx="17">
                  <c:v>104.0605203802959</c:v>
                </c:pt>
                <c:pt idx="18">
                  <c:v>133.14862574111029</c:v>
                </c:pt>
                <c:pt idx="19">
                  <c:v>170.39335065109825</c:v>
                </c:pt>
                <c:pt idx="20">
                  <c:v>218.08851241049035</c:v>
                </c:pt>
                <c:pt idx="21">
                  <c:v>159.32874195250244</c:v>
                </c:pt>
                <c:pt idx="22">
                  <c:v>181.66813736078151</c:v>
                </c:pt>
                <c:pt idx="23">
                  <c:v>203.94321057745549</c:v>
                </c:pt>
                <c:pt idx="24">
                  <c:v>226.16197789995076</c:v>
                </c:pt>
                <c:pt idx="25">
                  <c:v>248.33074918569818</c:v>
                </c:pt>
                <c:pt idx="26">
                  <c:v>270.45461449361864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336.59539404232538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1.56682834306264</c:v>
                </c:pt>
                <c:pt idx="2">
                  <c:v>1.9515586563673146</c:v>
                </c:pt>
                <c:pt idx="3">
                  <c:v>2.4311331858959355</c:v>
                </c:pt>
                <c:pt idx="4">
                  <c:v>3.0290204687505287</c:v>
                </c:pt>
                <c:pt idx="5">
                  <c:v>3.7745164777294953</c:v>
                </c:pt>
                <c:pt idx="6">
                  <c:v>4.7041963241079152</c:v>
                </c:pt>
                <c:pt idx="7">
                  <c:v>5.8637286860828803</c:v>
                </c:pt>
                <c:pt idx="8">
                  <c:v>7.3101438436548882</c:v>
                </c:pt>
                <c:pt idx="9">
                  <c:v>9.1146690280129867</c:v>
                </c:pt>
                <c:pt idx="10">
                  <c:v>11.36627336758013</c:v>
                </c:pt>
                <c:pt idx="11">
                  <c:v>14.17610048349583</c:v>
                </c:pt>
                <c:pt idx="12">
                  <c:v>17.683011570607853</c:v>
                </c:pt>
                <c:pt idx="13">
                  <c:v>22.060517871315398</c:v>
                </c:pt>
                <c:pt idx="14">
                  <c:v>27.525451659590289</c:v>
                </c:pt>
                <c:pt idx="15">
                  <c:v>34.348812773132863</c:v>
                </c:pt>
                <c:pt idx="16">
                  <c:v>42.869337838761396</c:v>
                </c:pt>
                <c:pt idx="17">
                  <c:v>53.510477238691315</c:v>
                </c:pt>
                <c:pt idx="18">
                  <c:v>66.801637592516627</c:v>
                </c:pt>
                <c:pt idx="19">
                  <c:v>83.404763891104167</c:v>
                </c:pt>
                <c:pt idx="20">
                  <c:v>104.14760645595801</c:v>
                </c:pt>
                <c:pt idx="21">
                  <c:v>127.5329083784389</c:v>
                </c:pt>
                <c:pt idx="22">
                  <c:v>150.81403684621014</c:v>
                </c:pt>
                <c:pt idx="23">
                  <c:v>174.00938053467337</c:v>
                </c:pt>
                <c:pt idx="24">
                  <c:v>197.13199917409852</c:v>
                </c:pt>
                <c:pt idx="25">
                  <c:v>220.19162819449525</c:v>
                </c:pt>
                <c:pt idx="26">
                  <c:v>243.19579296947248</c:v>
                </c:pt>
                <c:pt idx="27">
                  <c:v>266.15047699682117</c:v>
                </c:pt>
                <c:pt idx="28">
                  <c:v>289.06054654178126</c:v>
                </c:pt>
                <c:pt idx="29">
                  <c:v>311.93003320050815</c:v>
                </c:pt>
                <c:pt idx="30">
                  <c:v>334.76232907654128</c:v>
                </c:pt>
                <c:pt idx="31">
                  <c:v>261.19123519966905</c:v>
                </c:pt>
                <c:pt idx="32">
                  <c:v>286.58580460988145</c:v>
                </c:pt>
                <c:pt idx="33">
                  <c:v>311.93003320050815</c:v>
                </c:pt>
                <c:pt idx="34">
                  <c:v>337.22858350415618</c:v>
                </c:pt>
                <c:pt idx="35">
                  <c:v>362.48536141537079</c:v>
                </c:pt>
                <c:pt idx="36">
                  <c:v>387.7036842526233</c:v>
                </c:pt>
                <c:pt idx="37">
                  <c:v>412.88640276119321</c:v>
                </c:pt>
                <c:pt idx="38">
                  <c:v>438.03599177600387</c:v>
                </c:pt>
                <c:pt idx="39">
                  <c:v>463.15461896808614</c:v>
                </c:pt>
                <c:pt idx="40">
                  <c:v>488.2441978973996</c:v>
                </c:pt>
                <c:pt idx="41">
                  <c:v>377.25178103754297</c:v>
                </c:pt>
                <c:pt idx="42">
                  <c:v>401.22062373138345</c:v>
                </c:pt>
                <c:pt idx="43">
                  <c:v>425.15849287721011</c:v>
                </c:pt>
                <c:pt idx="44">
                  <c:v>449.06737605989952</c:v>
                </c:pt>
                <c:pt idx="45">
                  <c:v>472.94903211084261</c:v>
                </c:pt>
                <c:pt idx="46">
                  <c:v>496.80502789110125</c:v>
                </c:pt>
                <c:pt idx="47">
                  <c:v>520.63676764250874</c:v>
                </c:pt>
                <c:pt idx="48">
                  <c:v>544.44551668644533</c:v>
                </c:pt>
                <c:pt idx="49">
                  <c:v>568.23242076316217</c:v>
                </c:pt>
                <c:pt idx="50">
                  <c:v>591.99852196603786</c:v>
                </c:pt>
                <c:pt idx="51">
                  <c:v>477.23272437386987</c:v>
                </c:pt>
                <c:pt idx="52">
                  <c:v>496.80502789110125</c:v>
                </c:pt>
                <c:pt idx="53">
                  <c:v>516.36100378617914</c:v>
                </c:pt>
                <c:pt idx="54">
                  <c:v>535.90135700397695</c:v>
                </c:pt>
                <c:pt idx="55">
                  <c:v>555.42673692699225</c:v>
                </c:pt>
                <c:pt idx="56">
                  <c:v>574.93774359362271</c:v>
                </c:pt>
                <c:pt idx="57">
                  <c:v>594.43493302890863</c:v>
                </c:pt>
                <c:pt idx="58">
                  <c:v>613.91882183995142</c:v>
                </c:pt>
                <c:pt idx="59">
                  <c:v>633.38989119800635</c:v>
                </c:pt>
                <c:pt idx="60">
                  <c:v>652.84859030581424</c:v>
                </c:pt>
                <c:pt idx="61">
                  <c:v>562.54175945157533</c:v>
                </c:pt>
                <c:pt idx="62">
                  <c:v>579.81331549688014</c:v>
                </c:pt>
                <c:pt idx="63">
                  <c:v>597.07414390694873</c:v>
                </c:pt>
                <c:pt idx="64">
                  <c:v>614.32459826050399</c:v>
                </c:pt>
                <c:pt idx="65">
                  <c:v>631.56501067447016</c:v>
                </c:pt>
                <c:pt idx="66">
                  <c:v>648.795693668951</c:v>
                </c:pt>
                <c:pt idx="67">
                  <c:v>666.01694182392941</c:v>
                </c:pt>
                <c:pt idx="68">
                  <c:v>683.22903325583331</c:v>
                </c:pt>
                <c:pt idx="69">
                  <c:v>700.43223093768893</c:v>
                </c:pt>
                <c:pt idx="70">
                  <c:v>717.62678388294546</c:v>
                </c:pt>
                <c:pt idx="71">
                  <c:v>643.42480053791849</c:v>
                </c:pt>
                <c:pt idx="72">
                  <c:v>658.31917885838322</c:v>
                </c:pt>
                <c:pt idx="73">
                  <c:v>673.20661928386801</c:v>
                </c:pt>
                <c:pt idx="74">
                  <c:v>688.08729675395989</c:v>
                </c:pt>
                <c:pt idx="75">
                  <c:v>702.96137803000727</c:v>
                </c:pt>
                <c:pt idx="76">
                  <c:v>717.82902224596637</c:v>
                </c:pt>
                <c:pt idx="77">
                  <c:v>732.69038141127112</c:v>
                </c:pt>
                <c:pt idx="78">
                  <c:v>747.54560087081745</c:v>
                </c:pt>
                <c:pt idx="79">
                  <c:v>762.39481972651311</c:v>
                </c:pt>
                <c:pt idx="80">
                  <c:v>777.23817122430262</c:v>
                </c:pt>
                <c:pt idx="81">
                  <c:v>9.2334028056631319E-12</c:v>
                </c:pt>
                <c:pt idx="82">
                  <c:v>9.2334028056631319E-12</c:v>
                </c:pt>
                <c:pt idx="83">
                  <c:v>9.2334028056631319E-12</c:v>
                </c:pt>
                <c:pt idx="84">
                  <c:v>9.2334028056631319E-12</c:v>
                </c:pt>
                <c:pt idx="85">
                  <c:v>9.2334028056631319E-12</c:v>
                </c:pt>
                <c:pt idx="86">
                  <c:v>9.2334028056631319E-12</c:v>
                </c:pt>
                <c:pt idx="87">
                  <c:v>9.2334028056631319E-12</c:v>
                </c:pt>
                <c:pt idx="88">
                  <c:v>9.2334028056631319E-12</c:v>
                </c:pt>
                <c:pt idx="89">
                  <c:v>9.2334028056631319E-12</c:v>
                </c:pt>
                <c:pt idx="90">
                  <c:v>9.2334028056631319E-12</c:v>
                </c:pt>
                <c:pt idx="91">
                  <c:v>9.2334028056631319E-12</c:v>
                </c:pt>
                <c:pt idx="92">
                  <c:v>9.2334028056631319E-12</c:v>
                </c:pt>
                <c:pt idx="93">
                  <c:v>9.2334028056631319E-12</c:v>
                </c:pt>
                <c:pt idx="94">
                  <c:v>9.2334028056631319E-12</c:v>
                </c:pt>
                <c:pt idx="95">
                  <c:v>9.2334028056631319E-12</c:v>
                </c:pt>
                <c:pt idx="96">
                  <c:v>9.2334028056631319E-12</c:v>
                </c:pt>
                <c:pt idx="97">
                  <c:v>9.2334028056631319E-12</c:v>
                </c:pt>
                <c:pt idx="98">
                  <c:v>9.2334028056631319E-12</c:v>
                </c:pt>
                <c:pt idx="99">
                  <c:v>9.2334028056631319E-12</c:v>
                </c:pt>
                <c:pt idx="100">
                  <c:v>9.2334028056631319E-12</c:v>
                </c:pt>
                <c:pt idx="101">
                  <c:v>9.2334028056631319E-12</c:v>
                </c:pt>
                <c:pt idx="102">
                  <c:v>9.2334028056631319E-12</c:v>
                </c:pt>
                <c:pt idx="103">
                  <c:v>9.2334028056631319E-12</c:v>
                </c:pt>
                <c:pt idx="104">
                  <c:v>9.2334028056631319E-12</c:v>
                </c:pt>
                <c:pt idx="105">
                  <c:v>9.2334028056631319E-12</c:v>
                </c:pt>
                <c:pt idx="106">
                  <c:v>9.2334028056631319E-12</c:v>
                </c:pt>
                <c:pt idx="107">
                  <c:v>9.2334028056631319E-12</c:v>
                </c:pt>
                <c:pt idx="108">
                  <c:v>9.2334028056631319E-12</c:v>
                </c:pt>
                <c:pt idx="109">
                  <c:v>9.2334028056631319E-12</c:v>
                </c:pt>
                <c:pt idx="110">
                  <c:v>9.2334028056631319E-12</c:v>
                </c:pt>
                <c:pt idx="111">
                  <c:v>9.2334028056631319E-12</c:v>
                </c:pt>
                <c:pt idx="112">
                  <c:v>9.2334028056631319E-12</c:v>
                </c:pt>
                <c:pt idx="113">
                  <c:v>9.2334028056631319E-12</c:v>
                </c:pt>
                <c:pt idx="114">
                  <c:v>9.2334028056631319E-12</c:v>
                </c:pt>
                <c:pt idx="115">
                  <c:v>9.2334028056631319E-12</c:v>
                </c:pt>
                <c:pt idx="116">
                  <c:v>9.2334028056631319E-12</c:v>
                </c:pt>
                <c:pt idx="117">
                  <c:v>9.2334028056631319E-12</c:v>
                </c:pt>
                <c:pt idx="118">
                  <c:v>9.2334028056631319E-12</c:v>
                </c:pt>
                <c:pt idx="119">
                  <c:v>9.2334028056631319E-12</c:v>
                </c:pt>
                <c:pt idx="120">
                  <c:v>9.2334028056631319E-12</c:v>
                </c:pt>
                <c:pt idx="121">
                  <c:v>9.2334028056631319E-12</c:v>
                </c:pt>
                <c:pt idx="122">
                  <c:v>9.2334028056631319E-12</c:v>
                </c:pt>
                <c:pt idx="123">
                  <c:v>9.2334028056631319E-12</c:v>
                </c:pt>
                <c:pt idx="124">
                  <c:v>9.2334028056631319E-12</c:v>
                </c:pt>
                <c:pt idx="125">
                  <c:v>9.2334028056631319E-12</c:v>
                </c:pt>
                <c:pt idx="126">
                  <c:v>9.2334028056631319E-12</c:v>
                </c:pt>
                <c:pt idx="127">
                  <c:v>9.2334028056631319E-12</c:v>
                </c:pt>
                <c:pt idx="128">
                  <c:v>9.2334028056631319E-12</c:v>
                </c:pt>
                <c:pt idx="129">
                  <c:v>9.2334028056631319E-12</c:v>
                </c:pt>
                <c:pt idx="130">
                  <c:v>9.2334028056631319E-12</c:v>
                </c:pt>
                <c:pt idx="131">
                  <c:v>9.2334028056631319E-12</c:v>
                </c:pt>
                <c:pt idx="132">
                  <c:v>9.2334028056631319E-12</c:v>
                </c:pt>
                <c:pt idx="133">
                  <c:v>9.2334028056631319E-12</c:v>
                </c:pt>
                <c:pt idx="134">
                  <c:v>9.2334028056631319E-12</c:v>
                </c:pt>
                <c:pt idx="135">
                  <c:v>9.2334028056631319E-12</c:v>
                </c:pt>
                <c:pt idx="136">
                  <c:v>9.2334028056631319E-12</c:v>
                </c:pt>
                <c:pt idx="137">
                  <c:v>9.2334028056631319E-12</c:v>
                </c:pt>
                <c:pt idx="138">
                  <c:v>9.2334028056631319E-12</c:v>
                </c:pt>
                <c:pt idx="139">
                  <c:v>9.2334028056631319E-12</c:v>
                </c:pt>
                <c:pt idx="140">
                  <c:v>9.2334028056631319E-12</c:v>
                </c:pt>
                <c:pt idx="141">
                  <c:v>9.2334028056631319E-12</c:v>
                </c:pt>
                <c:pt idx="142">
                  <c:v>9.2334028056631319E-12</c:v>
                </c:pt>
                <c:pt idx="143">
                  <c:v>9.2334028056631319E-12</c:v>
                </c:pt>
                <c:pt idx="144">
                  <c:v>9.2334028056631319E-12</c:v>
                </c:pt>
                <c:pt idx="145">
                  <c:v>9.2334028056631319E-12</c:v>
                </c:pt>
                <c:pt idx="146">
                  <c:v>9.2334028056631319E-12</c:v>
                </c:pt>
                <c:pt idx="147">
                  <c:v>9.2334028056631319E-12</c:v>
                </c:pt>
                <c:pt idx="148">
                  <c:v>9.2334028056631319E-12</c:v>
                </c:pt>
                <c:pt idx="149">
                  <c:v>9.2334028056631319E-12</c:v>
                </c:pt>
                <c:pt idx="150">
                  <c:v>9.2334028056631319E-12</c:v>
                </c:pt>
                <c:pt idx="151">
                  <c:v>9.2334028056631319E-12</c:v>
                </c:pt>
                <c:pt idx="152">
                  <c:v>9.2334028056631319E-12</c:v>
                </c:pt>
                <c:pt idx="153">
                  <c:v>9.2334028056631319E-12</c:v>
                </c:pt>
                <c:pt idx="154">
                  <c:v>9.2334028056631319E-12</c:v>
                </c:pt>
                <c:pt idx="155">
                  <c:v>9.2334028056631319E-12</c:v>
                </c:pt>
                <c:pt idx="156">
                  <c:v>9.2334028056631319E-12</c:v>
                </c:pt>
                <c:pt idx="157">
                  <c:v>9.2334028056631319E-12</c:v>
                </c:pt>
                <c:pt idx="158">
                  <c:v>9.2334028056631319E-12</c:v>
                </c:pt>
                <c:pt idx="159">
                  <c:v>9.2334028056631319E-12</c:v>
                </c:pt>
                <c:pt idx="160">
                  <c:v>9.2334028056631319E-12</c:v>
                </c:pt>
                <c:pt idx="161">
                  <c:v>9.2334028056631319E-12</c:v>
                </c:pt>
                <c:pt idx="162">
                  <c:v>9.2334028056631319E-12</c:v>
                </c:pt>
                <c:pt idx="163">
                  <c:v>9.2334028056631319E-12</c:v>
                </c:pt>
                <c:pt idx="164">
                  <c:v>9.2334028056631319E-12</c:v>
                </c:pt>
                <c:pt idx="165">
                  <c:v>9.2334028056631319E-12</c:v>
                </c:pt>
                <c:pt idx="166">
                  <c:v>9.2334028056631319E-12</c:v>
                </c:pt>
                <c:pt idx="167">
                  <c:v>9.2334028056631319E-12</c:v>
                </c:pt>
                <c:pt idx="168">
                  <c:v>9.2334028056631319E-12</c:v>
                </c:pt>
                <c:pt idx="169">
                  <c:v>9.2334028056631319E-12</c:v>
                </c:pt>
                <c:pt idx="170">
                  <c:v>9.2334028056631319E-12</c:v>
                </c:pt>
                <c:pt idx="171">
                  <c:v>9.2334028056631319E-12</c:v>
                </c:pt>
                <c:pt idx="172">
                  <c:v>9.2334028056631319E-12</c:v>
                </c:pt>
                <c:pt idx="173">
                  <c:v>9.2334028056631319E-12</c:v>
                </c:pt>
                <c:pt idx="174">
                  <c:v>9.2334028056631319E-12</c:v>
                </c:pt>
                <c:pt idx="175">
                  <c:v>9.2334028056631319E-12</c:v>
                </c:pt>
                <c:pt idx="176">
                  <c:v>9.2334028056631319E-12</c:v>
                </c:pt>
                <c:pt idx="177">
                  <c:v>9.2334028056631319E-12</c:v>
                </c:pt>
                <c:pt idx="178">
                  <c:v>9.2334028056631319E-12</c:v>
                </c:pt>
                <c:pt idx="179">
                  <c:v>9.2334028056631319E-12</c:v>
                </c:pt>
                <c:pt idx="180">
                  <c:v>9.2334028056631319E-12</c:v>
                </c:pt>
                <c:pt idx="181">
                  <c:v>9.2334028056631319E-12</c:v>
                </c:pt>
                <c:pt idx="182">
                  <c:v>9.2334028056631319E-12</c:v>
                </c:pt>
                <c:pt idx="183">
                  <c:v>9.2334028056631319E-12</c:v>
                </c:pt>
                <c:pt idx="184">
                  <c:v>9.2334028056631319E-12</c:v>
                </c:pt>
                <c:pt idx="185">
                  <c:v>9.2334028056631319E-12</c:v>
                </c:pt>
                <c:pt idx="186">
                  <c:v>9.2334028056631319E-12</c:v>
                </c:pt>
                <c:pt idx="187">
                  <c:v>9.2334028056631319E-12</c:v>
                </c:pt>
                <c:pt idx="188">
                  <c:v>9.2334028056631319E-12</c:v>
                </c:pt>
                <c:pt idx="189">
                  <c:v>9.2334028056631319E-12</c:v>
                </c:pt>
                <c:pt idx="190">
                  <c:v>9.2334028056631319E-12</c:v>
                </c:pt>
                <c:pt idx="191">
                  <c:v>9.2334028056631319E-12</c:v>
                </c:pt>
                <c:pt idx="192">
                  <c:v>9.2334028056631319E-12</c:v>
                </c:pt>
                <c:pt idx="193">
                  <c:v>9.2334028056631319E-12</c:v>
                </c:pt>
                <c:pt idx="194">
                  <c:v>9.2334028056631319E-12</c:v>
                </c:pt>
                <c:pt idx="195">
                  <c:v>9.2334028056631319E-12</c:v>
                </c:pt>
                <c:pt idx="196">
                  <c:v>9.2334028056631319E-12</c:v>
                </c:pt>
                <c:pt idx="197">
                  <c:v>9.2334028056631319E-12</c:v>
                </c:pt>
                <c:pt idx="198">
                  <c:v>9.2334028056631319E-12</c:v>
                </c:pt>
                <c:pt idx="199">
                  <c:v>9.2334028056631319E-12</c:v>
                </c:pt>
                <c:pt idx="200">
                  <c:v>9.2334028056631319E-12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0" zoomScale="80" zoomScaleNormal="80" workbookViewId="0">
      <selection activeCell="B78" sqref="B7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11.15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0.43</v>
      </c>
      <c r="D9" s="33">
        <f t="shared" ref="D9:D18" si="0">C9*$C$5</f>
        <v>4.7945000000000002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27</v>
      </c>
      <c r="C10" s="32">
        <v>0.5</v>
      </c>
      <c r="D10" s="33">
        <f t="shared" si="0"/>
        <v>5.5750000000000002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47</v>
      </c>
      <c r="C11" s="32">
        <v>7.0000000000000007E-2</v>
      </c>
      <c r="D11" s="33">
        <f t="shared" si="0"/>
        <v>0.78050000000000008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11.15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10</v>
      </c>
      <c r="B36" s="257">
        <v>12</v>
      </c>
      <c r="C36" s="257"/>
      <c r="D36" s="257">
        <v>0</v>
      </c>
      <c r="E36" s="63"/>
      <c r="F36" s="63"/>
      <c r="G36" s="63"/>
      <c r="H36" s="51"/>
      <c r="I36" s="49">
        <f>IFERROR(B36/A36,"")</f>
        <v>1.2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7">
        <v>20</v>
      </c>
      <c r="B37" s="257">
        <v>162</v>
      </c>
      <c r="C37" s="257">
        <v>1</v>
      </c>
      <c r="D37" s="257">
        <v>63</v>
      </c>
      <c r="E37" s="63"/>
      <c r="F37" s="63">
        <v>0.5</v>
      </c>
      <c r="G37" s="63">
        <v>0.5</v>
      </c>
      <c r="H37" s="51"/>
      <c r="I37" s="53">
        <f t="shared" ref="I37:I55" si="1">IF(A37&lt;&gt;0,(B37-(B36-D36))/(A37-A36),"")</f>
        <v>15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7">
        <v>30</v>
      </c>
      <c r="B38" s="257">
        <v>321</v>
      </c>
      <c r="C38" s="257">
        <v>2</v>
      </c>
      <c r="D38" s="257">
        <v>112</v>
      </c>
      <c r="E38" s="63">
        <v>0.1</v>
      </c>
      <c r="F38" s="63">
        <v>0.45</v>
      </c>
      <c r="G38" s="63">
        <v>0.45</v>
      </c>
      <c r="H38" s="51"/>
      <c r="I38" s="53">
        <f t="shared" si="1"/>
        <v>22.2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7">
        <v>40</v>
      </c>
      <c r="B39" s="257">
        <v>429</v>
      </c>
      <c r="C39" s="257">
        <v>3</v>
      </c>
      <c r="D39" s="257">
        <v>112</v>
      </c>
      <c r="E39" s="63"/>
      <c r="F39" s="63"/>
      <c r="G39" s="63"/>
      <c r="H39" s="51"/>
      <c r="I39" s="49">
        <f t="shared" si="1"/>
        <v>22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7">
        <v>50</v>
      </c>
      <c r="B40" s="257">
        <v>509</v>
      </c>
      <c r="C40" s="257">
        <v>4</v>
      </c>
      <c r="D40" s="257">
        <v>108</v>
      </c>
      <c r="E40" s="63"/>
      <c r="F40" s="63"/>
      <c r="G40" s="63"/>
      <c r="H40" s="51"/>
      <c r="I40" s="49">
        <f t="shared" si="1"/>
        <v>19.2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7">
        <v>60</v>
      </c>
      <c r="B41" s="257">
        <v>563</v>
      </c>
      <c r="C41" s="257">
        <v>5</v>
      </c>
      <c r="D41" s="257">
        <v>83</v>
      </c>
      <c r="E41" s="63"/>
      <c r="F41" s="63"/>
      <c r="G41" s="63"/>
      <c r="H41" s="51"/>
      <c r="I41" s="53">
        <f t="shared" si="1"/>
        <v>16.2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7">
        <v>70</v>
      </c>
      <c r="B42" s="257">
        <v>614</v>
      </c>
      <c r="C42" s="257">
        <v>6</v>
      </c>
      <c r="D42" s="257">
        <v>67</v>
      </c>
      <c r="E42" s="63"/>
      <c r="F42" s="63"/>
      <c r="G42" s="63"/>
      <c r="H42" s="51"/>
      <c r="I42" s="53">
        <f t="shared" si="1"/>
        <v>13.4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7">
        <v>80</v>
      </c>
      <c r="B43" s="257">
        <v>651</v>
      </c>
      <c r="C43" s="257">
        <v>7</v>
      </c>
      <c r="D43" s="257">
        <v>651</v>
      </c>
      <c r="E43" s="63"/>
      <c r="F43" s="63"/>
      <c r="G43" s="63"/>
      <c r="H43" s="51"/>
      <c r="I43" s="49">
        <f t="shared" si="1"/>
        <v>10.4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55">
        <v>158</v>
      </c>
      <c r="C62" s="55">
        <v>1</v>
      </c>
      <c r="D62" s="55">
        <v>60</v>
      </c>
      <c r="E62" s="63"/>
      <c r="F62" s="63">
        <v>0.5</v>
      </c>
      <c r="G62" s="63">
        <v>0.5</v>
      </c>
      <c r="H62" s="51"/>
      <c r="I62" s="53">
        <f>IFERROR(B62/A62,"")</f>
        <v>7.9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55">
        <v>263</v>
      </c>
      <c r="C63" s="55">
        <v>2</v>
      </c>
      <c r="D63" s="55">
        <v>84</v>
      </c>
      <c r="E63" s="63">
        <v>0.2</v>
      </c>
      <c r="F63" s="63">
        <v>0.4</v>
      </c>
      <c r="G63" s="63">
        <v>0.4</v>
      </c>
      <c r="H63" s="51"/>
      <c r="I63" s="49">
        <f>IF(A63&lt;&gt;0,(B63-(B62-D62))/(A63-A62),"")</f>
        <v>16.5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55">
        <v>330</v>
      </c>
      <c r="C64" s="55">
        <v>3</v>
      </c>
      <c r="D64" s="55">
        <v>82</v>
      </c>
      <c r="E64" s="51"/>
      <c r="F64" s="51"/>
      <c r="G64" s="51"/>
      <c r="H64" s="51"/>
      <c r="I64" s="49">
        <f>IF(A64&lt;&gt;0,(B64-(B63-D63))/(A64-A63),"")</f>
        <v>15.1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55">
        <v>372</v>
      </c>
      <c r="C65" s="55">
        <v>4</v>
      </c>
      <c r="D65" s="55">
        <v>68</v>
      </c>
      <c r="E65" s="51"/>
      <c r="F65" s="51"/>
      <c r="G65" s="51"/>
      <c r="H65" s="51"/>
      <c r="I65" s="49">
        <f>IF(A65&lt;&gt;0,(B65-(B64-D64))/(A65-A64),"")</f>
        <v>12.4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55">
        <v>404</v>
      </c>
      <c r="C66" s="55">
        <v>5</v>
      </c>
      <c r="D66" s="55">
        <v>55</v>
      </c>
      <c r="E66" s="51"/>
      <c r="F66" s="51"/>
      <c r="G66" s="51"/>
      <c r="H66" s="51"/>
      <c r="I66" s="49">
        <f t="shared" ref="I66:I81" si="2">IF(A66&lt;&gt;0,(B66-(B65-D65))/(A66-A65),"")</f>
        <v>10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55">
        <v>427</v>
      </c>
      <c r="C67" s="55">
        <v>6</v>
      </c>
      <c r="D67" s="55">
        <v>45</v>
      </c>
      <c r="E67" s="63"/>
      <c r="F67" s="63"/>
      <c r="G67" s="63"/>
      <c r="H67" s="51"/>
      <c r="I67" s="49">
        <f t="shared" si="2"/>
        <v>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55">
        <f>406+36</f>
        <v>442</v>
      </c>
      <c r="C68" s="55">
        <v>7</v>
      </c>
      <c r="D68" s="55">
        <f>B68</f>
        <v>442</v>
      </c>
      <c r="E68" s="63"/>
      <c r="F68" s="63"/>
      <c r="G68" s="63"/>
      <c r="H68" s="51"/>
      <c r="I68" s="49">
        <f t="shared" si="2"/>
        <v>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Sapin méditerranéen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55">
        <v>96</v>
      </c>
      <c r="C88" s="55"/>
      <c r="D88" s="55">
        <v>0</v>
      </c>
      <c r="E88" s="51"/>
      <c r="F88" s="51">
        <v>0.5</v>
      </c>
      <c r="G88" s="51">
        <v>0.5</v>
      </c>
      <c r="H88" s="87"/>
      <c r="I88" s="53">
        <f>IFERROR(B88/A88,"")</f>
        <v>4.8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55">
        <v>318</v>
      </c>
      <c r="C89" s="55">
        <v>1</v>
      </c>
      <c r="D89" s="55">
        <v>96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22.2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55">
        <v>468</v>
      </c>
      <c r="C90" s="55">
        <v>2</v>
      </c>
      <c r="D90" s="55">
        <v>132</v>
      </c>
      <c r="E90" s="51"/>
      <c r="F90" s="51"/>
      <c r="G90" s="51"/>
      <c r="H90" s="87"/>
      <c r="I90" s="53">
        <f t="shared" si="3"/>
        <v>24.6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55">
        <v>570</v>
      </c>
      <c r="C91" s="55">
        <v>3</v>
      </c>
      <c r="D91" s="55">
        <v>132</v>
      </c>
      <c r="E91" s="51"/>
      <c r="F91" s="51"/>
      <c r="G91" s="51"/>
      <c r="H91" s="87"/>
      <c r="I91" s="53">
        <f t="shared" si="3"/>
        <v>23.4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55">
        <v>630</v>
      </c>
      <c r="C92" s="55">
        <v>4</v>
      </c>
      <c r="D92" s="55">
        <v>106</v>
      </c>
      <c r="E92" s="63"/>
      <c r="F92" s="63"/>
      <c r="G92" s="51"/>
      <c r="H92" s="87"/>
      <c r="I92" s="53">
        <f t="shared" si="3"/>
        <v>19.2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55">
        <v>694</v>
      </c>
      <c r="C93" s="55">
        <v>5</v>
      </c>
      <c r="D93" s="55">
        <v>88</v>
      </c>
      <c r="E93" s="63"/>
      <c r="F93" s="63"/>
      <c r="G93" s="51"/>
      <c r="H93" s="87"/>
      <c r="I93" s="53">
        <f t="shared" si="3"/>
        <v>17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55">
        <v>753</v>
      </c>
      <c r="C94" s="55">
        <v>6</v>
      </c>
      <c r="D94" s="55">
        <v>753</v>
      </c>
      <c r="E94" s="63"/>
      <c r="F94" s="63"/>
      <c r="G94" s="51"/>
      <c r="H94" s="87"/>
      <c r="I94" s="53">
        <f t="shared" si="3"/>
        <v>14.7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9" zoomScaleNormal="100" workbookViewId="0">
      <selection activeCell="C29" sqref="C2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Douglas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Mélèze d'Europe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Sapin méditerranéen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356.67698551373468</v>
      </c>
      <c r="T3" s="59">
        <f>IF('Données projet'!E9&gt;30,$R$33-$H$33,LOOKUP('Données projet'!$E$9,$A$3:$A$203,R3:R203)-LOOKUP('Données projet'!$E$9,$A$3:$A$203,$H$3:$H$203))</f>
        <v>353.21836615408171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285.77483300338548</v>
      </c>
      <c r="AO3" s="59">
        <f>IF('Données projet'!E10&gt;30,$AM$33-$H$33,LOOKUP('Données projet'!$E$10,$A$3:$A$203,AM3:AM203)-LOOKUP('Données projet'!$E$10,$A$3:$A$203,$H$3:$H$203))</f>
        <v>320.55212417690637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327.58421465651799</v>
      </c>
      <c r="BJ3" s="59">
        <f>IF('Données projet'!E11&gt;30,$BH$33-$H$33,LOOKUP('Données projet'!$E$11,$A$3:$A$203,BH3:BH203)-LOOKUP('Données projet'!$E$11,$A$3:$A$203,$H$3:$H$203))</f>
        <v>296.73904998640018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1.2</v>
      </c>
      <c r="N4" s="13">
        <f>IF('Données projet'!$A$36&gt;35,N3+M4-V3,IF(A4&lt;'Données projet'!$A$36,$K$205^A4,IF(A4='Données projet'!$A$36,'Données projet'!$B$36,N3+M4-V3)))</f>
        <v>1.2820888539868154</v>
      </c>
      <c r="O4" s="13">
        <f>N4*VLOOKUP('Données projet'!$B$9,Paramètres!$A$1:$I$89,3,0)*VLOOKUP('Données projet'!$B$9,Paramètres!$A$1:$I$89,5,0)</f>
        <v>0.71668766937862982</v>
      </c>
      <c r="P4" s="13">
        <f>EXP(-1.0587+0.8836*LN(O4)+0.284)</f>
        <v>0.3433377788328647</v>
      </c>
      <c r="Q4" s="20">
        <f t="shared" ref="Q4:Q34" si="2">(O4+P4)*0.475*44/12</f>
        <v>1.8462109889683529</v>
      </c>
      <c r="R4" s="59">
        <f t="shared" si="0"/>
        <v>295.17954432230169</v>
      </c>
      <c r="S4" s="59">
        <f ca="1">AVERAGE(OFFSET($R$3,0,0,'Données projet'!$E$9+1,1))-AVERAGE(OFFSET($H$3,0,0,'Données projet'!$E$9+1,1))</f>
        <v>356.67698551373468</v>
      </c>
      <c r="T4" s="59">
        <f>$T$3</f>
        <v>353.21836615408171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7.9</v>
      </c>
      <c r="AI4" s="13">
        <f>IF('Données projet'!$A$62&gt;35,AI3+AH4-AQ3,IF(A4&lt;'Données projet'!$A$62,$AF$205^A4,IF(A4='Données projet'!$A$62,'Données projet'!$B$62,AI3+AH4-AQ3)))</f>
        <v>1.2880503926580862</v>
      </c>
      <c r="AJ4" s="13">
        <f>AI4*VLOOKUP('Données projet'!$B$10,Paramètres!$A$1:$I$89,3,0)*VLOOKUP('Données projet'!$B$10,Paramètres!$A$1:$I$89,5,0)</f>
        <v>0.80374344501864581</v>
      </c>
      <c r="AK4" s="13">
        <f>EXP(-1.0587+0.8836*LN(AJ4)+0.284)</f>
        <v>0.37993896770707264</v>
      </c>
      <c r="AL4" s="20">
        <f t="shared" ref="AL4:AL67" si="4">(AJ4+AK4)*0.475*44/12</f>
        <v>2.0615802021639595</v>
      </c>
      <c r="AM4" s="59">
        <f t="shared" ref="AM4:AM67" si="5">AL4+(AD4+AE4)*44/12</f>
        <v>295.39491353549727</v>
      </c>
      <c r="AN4" s="59">
        <f ca="1">AVERAGE(OFFSET($AM$3,0,0,'Données projet'!$E$10+1,1))-AVERAGE(OFFSET($H$3,0,0,'Données projet'!$E$10+1,1))</f>
        <v>285.77483300338548</v>
      </c>
      <c r="AO4" s="59">
        <f>$AO$3</f>
        <v>320.55212417690637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4.8</v>
      </c>
      <c r="BD4" s="12">
        <f>IF('Données projet'!$A$88&gt;35,BD3+BC4-BL3,IF(A4&lt;'Données projet'!$A$88,$BA$205^A4,IF(A4='Données projet'!$A$88,'Données projet'!$B$88,BD3+BC4-BL3)))</f>
        <v>1.2563584400948855</v>
      </c>
      <c r="BE4" s="13">
        <f>BD4*VLOOKUP('Données projet'!$B$11,Paramètres!$A$1:$I$89,3,0)*VLOOKUP('Données projet'!$B$11,Paramètres!$A$1:$I$89,5,0)</f>
        <v>0.60430840968563992</v>
      </c>
      <c r="BF4" s="13">
        <f>EXP(-1.0587+0.8836*LN(BE4)+0.284)</f>
        <v>0.29530594996755061</v>
      </c>
      <c r="BG4" s="20">
        <f t="shared" ref="BG4:BG67" si="7">(BE4+BF4)*0.475*44/12</f>
        <v>1.56682834306264</v>
      </c>
      <c r="BH4" s="59">
        <f t="shared" ref="BH4:BH67" si="8">BG4+(AY4+AZ4)*44/12</f>
        <v>294.90016167639595</v>
      </c>
      <c r="BI4" s="59">
        <f ca="1">AVERAGE(OFFSET($BH$3,0,0,'Données projet'!$E$11+1,1))-AVERAGE(OFFSET($H$3,0,0,'Données projet'!$E$11+1,1))</f>
        <v>327.58421465651799</v>
      </c>
      <c r="BJ4" s="59">
        <f>$BJ$3</f>
        <v>296.73904998640018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1.2</v>
      </c>
      <c r="N5" s="13">
        <f>IF('Données projet'!$A$36&gt;35,N4+M5-V4,IF(A5&lt;'Données projet'!$A$36,$K$205^A5,IF(A5='Données projet'!$A$36,'Données projet'!$B$36,N4+M5-V4)))</f>
        <v>1.6437518295172255</v>
      </c>
      <c r="O5" s="13">
        <f>N5*VLOOKUP('Données projet'!$B$9,Paramètres!$A$1:$I$89,3,0)*VLOOKUP('Données projet'!$B$9,Paramètres!$A$1:$I$89,5,0)</f>
        <v>0.91885727270012907</v>
      </c>
      <c r="P5" s="13">
        <f t="shared" ref="P5:P68" si="33">EXP(-1.0587+0.8836*LN(O5)+0.284)</f>
        <v>0.4276397314244611</v>
      </c>
      <c r="Q5" s="20">
        <f t="shared" si="2"/>
        <v>2.3451489488503281</v>
      </c>
      <c r="R5" s="59">
        <f t="shared" si="0"/>
        <v>295.67848228218367</v>
      </c>
      <c r="S5" s="59">
        <f ca="1">AVERAGE(OFFSET($R$3,0,0,'Données projet'!$E$9+1,1))-AVERAGE(OFFSET($H$3,0,0,'Données projet'!$E$9+1,1))</f>
        <v>356.67698551373468</v>
      </c>
      <c r="T5" s="59">
        <f t="shared" ref="T5:T68" si="34">$T$3</f>
        <v>353.21836615408171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7.9</v>
      </c>
      <c r="AI5" s="13">
        <f>IF('Données projet'!$A$62&gt;35,AI4+AH5-AQ4,IF(A5&lt;'Données projet'!$A$62,$AF$205^A5,IF(A5='Données projet'!$A$62,'Données projet'!$B$62,AI4+AH5-AQ4)))</f>
        <v>1.6590738140266501</v>
      </c>
      <c r="AJ5" s="13">
        <f>AI5*VLOOKUP('Données projet'!$B$10,Paramètres!$A$1:$I$89,3,0)*VLOOKUP('Données projet'!$B$10,Paramètres!$A$1:$I$89,5,0)</f>
        <v>1.0352620599526297</v>
      </c>
      <c r="AK5" s="13">
        <f t="shared" ref="AK5:AK68" si="35">EXP(-1.0587+0.8836*LN(AJ5)+0.284)</f>
        <v>0.4751716356997846</v>
      </c>
      <c r="AL5" s="20">
        <f t="shared" si="4"/>
        <v>2.6306720199279545</v>
      </c>
      <c r="AM5" s="59">
        <f t="shared" si="5"/>
        <v>295.96400535326126</v>
      </c>
      <c r="AN5" s="59">
        <f ca="1">AVERAGE(OFFSET($AM$3,0,0,'Données projet'!$E$10+1,1))-AVERAGE(OFFSET($H$3,0,0,'Données projet'!$E$10+1,1))</f>
        <v>285.77483300338548</v>
      </c>
      <c r="AO5" s="59">
        <f t="shared" ref="AO5:AO68" si="36">$AO$3</f>
        <v>320.55212417690637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4.8</v>
      </c>
      <c r="BD5" s="12">
        <f>IF('Données projet'!$A$88&gt;35,BD4+BC5-BL4,IF(A5&lt;'Données projet'!$A$88,$BA$205^A5,IF(A5='Données projet'!$A$88,'Données projet'!$B$88,BD4+BC5-BL4)))</f>
        <v>1.5784365299976539</v>
      </c>
      <c r="BE5" s="13">
        <f>BD5*VLOOKUP('Données projet'!$B$11,Paramètres!$A$1:$I$89,3,0)*VLOOKUP('Données projet'!$B$11,Paramètres!$A$1:$I$89,5,0)</f>
        <v>0.75922797092887162</v>
      </c>
      <c r="BF5" s="13">
        <f t="shared" ref="BF5:BF68" si="37">EXP(-1.0587+0.8836*LN(BE5)+0.284)</f>
        <v>0.3612841762676729</v>
      </c>
      <c r="BG5" s="20">
        <f t="shared" si="7"/>
        <v>1.9515586563673146</v>
      </c>
      <c r="BH5" s="59">
        <f t="shared" si="8"/>
        <v>295.28489198970061</v>
      </c>
      <c r="BI5" s="59">
        <f ca="1">AVERAGE(OFFSET($BH$3,0,0,'Données projet'!$E$11+1,1))-AVERAGE(OFFSET($H$3,0,0,'Données projet'!$E$11+1,1))</f>
        <v>327.58421465651799</v>
      </c>
      <c r="BJ5" s="59">
        <f t="shared" ref="BJ5:BJ68" si="38">$BJ$3</f>
        <v>296.73904998640018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1.2</v>
      </c>
      <c r="N6" s="13">
        <f>IF('Données projet'!$A$36&gt;35,N5+M6-V5,IF(A6&lt;'Données projet'!$A$36,$K$205^A6,IF(A6='Données projet'!$A$36,'Données projet'!$B$36,N5+M6-V5)))</f>
        <v>2.1074358993444706</v>
      </c>
      <c r="O6" s="13">
        <f>N6*VLOOKUP('Données projet'!$B$9,Paramètres!$A$1:$I$89,3,0)*VLOOKUP('Données projet'!$B$9,Paramètres!$A$1:$I$89,5,0)</f>
        <v>1.1780566677335591</v>
      </c>
      <c r="P6" s="13">
        <f t="shared" si="33"/>
        <v>0.532640889430954</v>
      </c>
      <c r="Q6" s="20">
        <f t="shared" si="2"/>
        <v>2.9794649120615269</v>
      </c>
      <c r="R6" s="59">
        <f t="shared" si="0"/>
        <v>296.31279824539484</v>
      </c>
      <c r="S6" s="59">
        <f ca="1">AVERAGE(OFFSET($R$3,0,0,'Données projet'!$E$9+1,1))-AVERAGE(OFFSET($H$3,0,0,'Données projet'!$E$9+1,1))</f>
        <v>356.67698551373468</v>
      </c>
      <c r="T6" s="59">
        <f t="shared" si="34"/>
        <v>353.21836615408171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7.9</v>
      </c>
      <c r="AI6" s="13">
        <f>IF('Données projet'!$A$62&gt;35,AI5+AH6-AQ5,IF(A6&lt;'Données projet'!$A$62,$AF$205^A6,IF(A6='Données projet'!$A$62,'Données projet'!$B$62,AI5+AH6-AQ5)))</f>
        <v>2.1369706776057753</v>
      </c>
      <c r="AJ6" s="13">
        <f>AI6*VLOOKUP('Données projet'!$B$10,Paramètres!$A$1:$I$89,3,0)*VLOOKUP('Données projet'!$B$10,Paramètres!$A$1:$I$89,5,0)</f>
        <v>1.3334697028260039</v>
      </c>
      <c r="AK6" s="13">
        <f t="shared" si="35"/>
        <v>0.59427461398928705</v>
      </c>
      <c r="AL6" s="20">
        <f t="shared" si="4"/>
        <v>3.357488018453298</v>
      </c>
      <c r="AM6" s="59">
        <f t="shared" si="5"/>
        <v>296.69082135178661</v>
      </c>
      <c r="AN6" s="59">
        <f ca="1">AVERAGE(OFFSET($AM$3,0,0,'Données projet'!$E$10+1,1))-AVERAGE(OFFSET($H$3,0,0,'Données projet'!$E$10+1,1))</f>
        <v>285.77483300338548</v>
      </c>
      <c r="AO6" s="59">
        <f t="shared" si="36"/>
        <v>320.55212417690637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4.8</v>
      </c>
      <c r="BD6" s="12">
        <f>IF('Données projet'!$A$88&gt;35,BD5+BC6-BL5,IF(A6&lt;'Données projet'!$A$88,$BA$205^A6,IF(A6='Données projet'!$A$88,'Données projet'!$B$88,BD5+BC6-BL5)))</f>
        <v>1.9830820566166365</v>
      </c>
      <c r="BE6" s="13">
        <f>BD6*VLOOKUP('Données projet'!$B$11,Paramètres!$A$1:$I$89,3,0)*VLOOKUP('Données projet'!$B$11,Paramètres!$A$1:$I$89,5,0)</f>
        <v>0.95386246923260221</v>
      </c>
      <c r="BF6" s="13">
        <f t="shared" si="37"/>
        <v>0.44200347482248059</v>
      </c>
      <c r="BG6" s="20">
        <f t="shared" si="7"/>
        <v>2.4311331858959355</v>
      </c>
      <c r="BH6" s="59">
        <f t="shared" si="8"/>
        <v>295.76446651922925</v>
      </c>
      <c r="BI6" s="59">
        <f ca="1">AVERAGE(OFFSET($BH$3,0,0,'Données projet'!$E$11+1,1))-AVERAGE(OFFSET($H$3,0,0,'Données projet'!$E$11+1,1))</f>
        <v>327.58421465651799</v>
      </c>
      <c r="BJ6" s="59">
        <f t="shared" si="38"/>
        <v>296.73904998640018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1.2</v>
      </c>
      <c r="N7" s="13">
        <f>IF('Données projet'!$A$36&gt;35,N6+M7-V6,IF(A7&lt;'Données projet'!$A$36,$K$205^A7,IF(A7='Données projet'!$A$36,'Données projet'!$B$36,N6+M7-V6)))</f>
        <v>2.7019200770412262</v>
      </c>
      <c r="O7" s="13">
        <f>N7*VLOOKUP('Données projet'!$B$9,Paramètres!$A$1:$I$89,3,0)*VLOOKUP('Données projet'!$B$9,Paramètres!$A$1:$I$89,5,0)</f>
        <v>1.5103733230660454</v>
      </c>
      <c r="P7" s="13">
        <f t="shared" si="33"/>
        <v>0.66342366306511447</v>
      </c>
      <c r="Q7" s="20">
        <f t="shared" si="2"/>
        <v>3.786029750845104</v>
      </c>
      <c r="R7" s="59">
        <f t="shared" si="0"/>
        <v>297.11936308417842</v>
      </c>
      <c r="S7" s="59">
        <f ca="1">AVERAGE(OFFSET($R$3,0,0,'Données projet'!$E$9+1,1))-AVERAGE(OFFSET($H$3,0,0,'Données projet'!$E$9+1,1))</f>
        <v>356.67698551373468</v>
      </c>
      <c r="T7" s="59">
        <f t="shared" si="34"/>
        <v>353.21836615408171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7.9</v>
      </c>
      <c r="AI7" s="13">
        <f>IF('Données projet'!$A$62&gt;35,AI6+AH7-AQ6,IF(A7&lt;'Données projet'!$A$62,$AF$205^A7,IF(A7='Données projet'!$A$62,'Données projet'!$B$62,AI6+AH7-AQ6)))</f>
        <v>2.7525259203889356</v>
      </c>
      <c r="AJ7" s="13">
        <f>AI7*VLOOKUP('Données projet'!$B$10,Paramètres!$A$1:$I$89,3,0)*VLOOKUP('Données projet'!$B$10,Paramètres!$A$1:$I$89,5,0)</f>
        <v>1.7175761743226958</v>
      </c>
      <c r="AK7" s="13">
        <f t="shared" si="35"/>
        <v>0.74323105652553223</v>
      </c>
      <c r="AL7" s="20">
        <f t="shared" si="4"/>
        <v>4.2859059270606634</v>
      </c>
      <c r="AM7" s="59">
        <f t="shared" si="5"/>
        <v>297.61923926039395</v>
      </c>
      <c r="AN7" s="59">
        <f ca="1">AVERAGE(OFFSET($AM$3,0,0,'Données projet'!$E$10+1,1))-AVERAGE(OFFSET($H$3,0,0,'Données projet'!$E$10+1,1))</f>
        <v>285.77483300338548</v>
      </c>
      <c r="AO7" s="59">
        <f t="shared" si="36"/>
        <v>320.55212417690637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4.8</v>
      </c>
      <c r="BD7" s="12">
        <f>IF('Données projet'!$A$88&gt;35,BD6+BC7-BL6,IF(A7&lt;'Données projet'!$A$88,$BA$205^A7,IF(A7='Données projet'!$A$88,'Données projet'!$B$88,BD6+BC7-BL6)))</f>
        <v>2.4914618792310348</v>
      </c>
      <c r="BE7" s="13">
        <f>BD7*VLOOKUP('Données projet'!$B$11,Paramètres!$A$1:$I$89,3,0)*VLOOKUP('Données projet'!$B$11,Paramètres!$A$1:$I$89,5,0)</f>
        <v>1.1983931639101277</v>
      </c>
      <c r="BF7" s="13">
        <f t="shared" si="37"/>
        <v>0.54075734446338186</v>
      </c>
      <c r="BG7" s="20">
        <f t="shared" si="7"/>
        <v>3.0290204687505287</v>
      </c>
      <c r="BH7" s="59">
        <f t="shared" si="8"/>
        <v>296.36235380208382</v>
      </c>
      <c r="BI7" s="59">
        <f ca="1">AVERAGE(OFFSET($BH$3,0,0,'Données projet'!$E$11+1,1))-AVERAGE(OFFSET($H$3,0,0,'Données projet'!$E$11+1,1))</f>
        <v>327.58421465651799</v>
      </c>
      <c r="BJ7" s="59">
        <f t="shared" si="38"/>
        <v>296.73904998640018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1.2</v>
      </c>
      <c r="N8" s="13">
        <f>IF('Données projet'!$A$36&gt;35,N7+M8-V7,IF(A8&lt;'Données projet'!$A$36,$K$205^A8,IF(A8='Données projet'!$A$36,'Données projet'!$B$36,N7+M8-V7)))</f>
        <v>3.4641016151377535</v>
      </c>
      <c r="O8" s="13">
        <f>N8*VLOOKUP('Données projet'!$B$9,Paramètres!$A$1:$I$89,3,0)*VLOOKUP('Données projet'!$B$9,Paramètres!$A$1:$I$89,5,0)</f>
        <v>1.9364328028620041</v>
      </c>
      <c r="P8" s="13">
        <f t="shared" si="33"/>
        <v>0.82631837969658639</v>
      </c>
      <c r="Q8" s="20">
        <f t="shared" si="2"/>
        <v>4.8117916429562113</v>
      </c>
      <c r="R8" s="59">
        <f t="shared" si="0"/>
        <v>298.14512497628954</v>
      </c>
      <c r="S8" s="59">
        <f ca="1">AVERAGE(OFFSET($R$3,0,0,'Données projet'!$E$9+1,1))-AVERAGE(OFFSET($H$3,0,0,'Données projet'!$E$9+1,1))</f>
        <v>356.67698551373468</v>
      </c>
      <c r="T8" s="59">
        <f t="shared" si="34"/>
        <v>353.21836615408171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7.9</v>
      </c>
      <c r="AI8" s="13">
        <f>IF('Données projet'!$A$62&gt;35,AI7+AH8-AQ7,IF(A8&lt;'Données projet'!$A$62,$AF$205^A8,IF(A8='Données projet'!$A$62,'Données projet'!$B$62,AI7+AH8-AQ7)))</f>
        <v>3.5453920925585285</v>
      </c>
      <c r="AJ8" s="13">
        <f>AI8*VLOOKUP('Données projet'!$B$10,Paramètres!$A$1:$I$89,3,0)*VLOOKUP('Données projet'!$B$10,Paramètres!$A$1:$I$89,5,0)</f>
        <v>2.2123246657565216</v>
      </c>
      <c r="AK8" s="13">
        <f t="shared" si="35"/>
        <v>0.9295238100041352</v>
      </c>
      <c r="AL8" s="20">
        <f t="shared" si="4"/>
        <v>5.4720527619498105</v>
      </c>
      <c r="AM8" s="59">
        <f t="shared" si="5"/>
        <v>298.8053860952831</v>
      </c>
      <c r="AN8" s="59">
        <f ca="1">AVERAGE(OFFSET($AM$3,0,0,'Données projet'!$E$10+1,1))-AVERAGE(OFFSET($H$3,0,0,'Données projet'!$E$10+1,1))</f>
        <v>285.77483300338548</v>
      </c>
      <c r="AO8" s="59">
        <f t="shared" si="36"/>
        <v>320.55212417690637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4.8</v>
      </c>
      <c r="BD8" s="12">
        <f>IF('Données projet'!$A$88&gt;35,BD7+BC8-BL7,IF(A8&lt;'Données projet'!$A$88,$BA$205^A8,IF(A8='Données projet'!$A$88,'Données projet'!$B$88,BD7+BC8-BL7)))</f>
        <v>3.1301691601465751</v>
      </c>
      <c r="BE8" s="13">
        <f>BD8*VLOOKUP('Données projet'!$B$11,Paramètres!$A$1:$I$89,3,0)*VLOOKUP('Données projet'!$B$11,Paramètres!$A$1:$I$89,5,0)</f>
        <v>1.5056113660305028</v>
      </c>
      <c r="BF8" s="13">
        <f t="shared" si="37"/>
        <v>0.66157512835963828</v>
      </c>
      <c r="BG8" s="20">
        <f t="shared" si="7"/>
        <v>3.7745164777294953</v>
      </c>
      <c r="BH8" s="59">
        <f t="shared" si="8"/>
        <v>297.10784981106281</v>
      </c>
      <c r="BI8" s="59">
        <f ca="1">AVERAGE(OFFSET($BH$3,0,0,'Données projet'!$E$11+1,1))-AVERAGE(OFFSET($H$3,0,0,'Données projet'!$E$11+1,1))</f>
        <v>327.58421465651799</v>
      </c>
      <c r="BJ8" s="59">
        <f t="shared" si="38"/>
        <v>296.73904998640018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1.2</v>
      </c>
      <c r="N9" s="13">
        <f>IF('Données projet'!$A$36&gt;35,N8+M9-V8,IF(A9&lt;'Données projet'!$A$36,$K$205^A9,IF(A9='Données projet'!$A$36,'Données projet'!$B$36,N8+M9-V8)))</f>
        <v>4.4412860698458383</v>
      </c>
      <c r="O9" s="13">
        <f>N9*VLOOKUP('Données projet'!$B$9,Paramètres!$A$1:$I$89,3,0)*VLOOKUP('Données projet'!$B$9,Paramètres!$A$1:$I$89,5,0)</f>
        <v>2.4826789130438236</v>
      </c>
      <c r="P9" s="13">
        <f t="shared" si="33"/>
        <v>1.0292096930485513</v>
      </c>
      <c r="Q9" s="20">
        <f t="shared" si="2"/>
        <v>6.1165393222775526</v>
      </c>
      <c r="R9" s="59">
        <f t="shared" si="0"/>
        <v>299.44987265561087</v>
      </c>
      <c r="S9" s="59">
        <f ca="1">AVERAGE(OFFSET($R$3,0,0,'Données projet'!$E$9+1,1))-AVERAGE(OFFSET($H$3,0,0,'Données projet'!$E$9+1,1))</f>
        <v>356.67698551373468</v>
      </c>
      <c r="T9" s="59">
        <f t="shared" si="34"/>
        <v>353.21836615408171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</v>
      </c>
      <c r="AI9" s="13">
        <f>IF('Données projet'!$A$62&gt;35,AI8+AH9-AQ8,IF(A9&lt;'Données projet'!$A$62,$AF$205^A9,IF(A9='Données projet'!$A$62,'Données projet'!$B$62,AI8+AH9-AQ8)))</f>
        <v>4.566643676946887</v>
      </c>
      <c r="AJ9" s="13">
        <f>AI9*VLOOKUP('Données projet'!$B$10,Paramètres!$A$1:$I$89,3,0)*VLOOKUP('Données projet'!$B$10,Paramètres!$A$1:$I$89,5,0)</f>
        <v>2.8495856544148572</v>
      </c>
      <c r="AK9" s="13">
        <f t="shared" si="35"/>
        <v>1.1625113156650257</v>
      </c>
      <c r="AL9" s="20">
        <f t="shared" si="4"/>
        <v>6.9877355562224617</v>
      </c>
      <c r="AM9" s="59">
        <f t="shared" si="5"/>
        <v>300.32106888955576</v>
      </c>
      <c r="AN9" s="59">
        <f ca="1">AVERAGE(OFFSET($AM$3,0,0,'Données projet'!$E$10+1,1))-AVERAGE(OFFSET($H$3,0,0,'Données projet'!$E$10+1,1))</f>
        <v>285.77483300338548</v>
      </c>
      <c r="AO9" s="59">
        <f t="shared" si="36"/>
        <v>320.55212417690637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4.8</v>
      </c>
      <c r="BD9" s="12">
        <f>IF('Données projet'!$A$88&gt;35,BD8+BC9-BL8,IF(A9&lt;'Données projet'!$A$88,$BA$205^A9,IF(A9='Données projet'!$A$88,'Données projet'!$B$88,BD8+BC9-BL8)))</f>
        <v>3.9326144432748684</v>
      </c>
      <c r="BE9" s="13">
        <f>BD9*VLOOKUP('Données projet'!$B$11,Paramètres!$A$1:$I$89,3,0)*VLOOKUP('Données projet'!$B$11,Paramètres!$A$1:$I$89,5,0)</f>
        <v>1.8915875472152117</v>
      </c>
      <c r="BF9" s="13">
        <f t="shared" si="37"/>
        <v>0.80938641877976369</v>
      </c>
      <c r="BG9" s="20">
        <f t="shared" si="7"/>
        <v>4.7041963241079152</v>
      </c>
      <c r="BH9" s="59">
        <f t="shared" si="8"/>
        <v>298.03752965744121</v>
      </c>
      <c r="BI9" s="59">
        <f ca="1">AVERAGE(OFFSET($BH$3,0,0,'Données projet'!$E$11+1,1))-AVERAGE(OFFSET($H$3,0,0,'Données projet'!$E$11+1,1))</f>
        <v>327.58421465651799</v>
      </c>
      <c r="BJ9" s="59">
        <f t="shared" si="38"/>
        <v>296.73904998640018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1.2</v>
      </c>
      <c r="N10" s="13">
        <f>IF('Données projet'!$A$36&gt;35,N9+M10-V9,IF(A10&lt;'Données projet'!$A$36,$K$205^A10,IF(A10='Données projet'!$A$36,'Données projet'!$B$36,N9+M10-V9)))</f>
        <v>5.6941233675162577</v>
      </c>
      <c r="O10" s="13">
        <f>N10*VLOOKUP('Données projet'!$B$9,Paramètres!$A$1:$I$89,3,0)*VLOOKUP('Données projet'!$B$9,Paramètres!$A$1:$I$89,5,0)</f>
        <v>3.1830149624415882</v>
      </c>
      <c r="P10" s="13">
        <f t="shared" si="33"/>
        <v>1.2819182270325931</v>
      </c>
      <c r="Q10" s="20">
        <f t="shared" si="2"/>
        <v>7.776425305000866</v>
      </c>
      <c r="R10" s="59">
        <f t="shared" si="0"/>
        <v>301.1097586383342</v>
      </c>
      <c r="S10" s="59">
        <f ca="1">AVERAGE(OFFSET($R$3,0,0,'Données projet'!$E$9+1,1))-AVERAGE(OFFSET($H$3,0,0,'Données projet'!$E$9+1,1))</f>
        <v>356.67698551373468</v>
      </c>
      <c r="T10" s="59">
        <f t="shared" si="34"/>
        <v>353.21836615408171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</v>
      </c>
      <c r="AI10" s="13">
        <f>IF('Données projet'!$A$62&gt;35,AI9+AH10-AQ9,IF(A10&lt;'Données projet'!$A$62,$AF$205^A10,IF(A10='Données projet'!$A$62,'Données projet'!$B$62,AI9+AH10-AQ9)))</f>
        <v>5.8820671812210037</v>
      </c>
      <c r="AJ10" s="13">
        <f>AI10*VLOOKUP('Données projet'!$B$10,Paramètres!$A$1:$I$89,3,0)*VLOOKUP('Données projet'!$B$10,Paramètres!$A$1:$I$89,5,0)</f>
        <v>3.6704099210819061</v>
      </c>
      <c r="AK10" s="13">
        <f t="shared" si="35"/>
        <v>1.4538977318324067</v>
      </c>
      <c r="AL10" s="20">
        <f t="shared" si="4"/>
        <v>8.9248358288257617</v>
      </c>
      <c r="AM10" s="59">
        <f t="shared" si="5"/>
        <v>302.25816916215905</v>
      </c>
      <c r="AN10" s="59">
        <f ca="1">AVERAGE(OFFSET($AM$3,0,0,'Données projet'!$E$10+1,1))-AVERAGE(OFFSET($H$3,0,0,'Données projet'!$E$10+1,1))</f>
        <v>285.77483300338548</v>
      </c>
      <c r="AO10" s="59">
        <f t="shared" si="36"/>
        <v>320.55212417690637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4.8</v>
      </c>
      <c r="BD10" s="12">
        <f>IF('Données projet'!$A$88&gt;35,BD9+BC10-BL9,IF(A10&lt;'Données projet'!$A$88,$BA$205^A10,IF(A10='Données projet'!$A$88,'Données projet'!$B$88,BD9+BC10-BL9)))</f>
        <v>4.9407733474474309</v>
      </c>
      <c r="BE10" s="13">
        <f>BD10*VLOOKUP('Données projet'!$B$11,Paramètres!$A$1:$I$89,3,0)*VLOOKUP('Données projet'!$B$11,Paramètres!$A$1:$I$89,5,0)</f>
        <v>2.3765119801222143</v>
      </c>
      <c r="BF10" s="13">
        <f t="shared" si="37"/>
        <v>0.99022219370527698</v>
      </c>
      <c r="BG10" s="20">
        <f t="shared" si="7"/>
        <v>5.8637286860828803</v>
      </c>
      <c r="BH10" s="59">
        <f t="shared" si="8"/>
        <v>299.19706201941619</v>
      </c>
      <c r="BI10" s="59">
        <f ca="1">AVERAGE(OFFSET($BH$3,0,0,'Données projet'!$E$11+1,1))-AVERAGE(OFFSET($H$3,0,0,'Données projet'!$E$11+1,1))</f>
        <v>327.58421465651799</v>
      </c>
      <c r="BJ10" s="59">
        <f t="shared" si="38"/>
        <v>296.73904998640018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1.2</v>
      </c>
      <c r="N11" s="13">
        <f>IF('Données projet'!$A$36&gt;35,N10+M11-V10,IF(A11&lt;'Données projet'!$A$36,$K$205^A11,IF(A11='Données projet'!$A$36,'Données projet'!$B$36,N10+M11-V10)))</f>
        <v>7.3003721027184652</v>
      </c>
      <c r="O11" s="13">
        <f>N11*VLOOKUP('Données projet'!$B$9,Paramètres!$A$1:$I$89,3,0)*VLOOKUP('Données projet'!$B$9,Paramètres!$A$1:$I$89,5,0)</f>
        <v>4.0809080054196221</v>
      </c>
      <c r="P11" s="13">
        <f t="shared" si="33"/>
        <v>1.5966759270706423</v>
      </c>
      <c r="Q11" s="20">
        <f t="shared" si="2"/>
        <v>9.8884586824205432</v>
      </c>
      <c r="R11" s="59">
        <f t="shared" si="0"/>
        <v>303.22179201575386</v>
      </c>
      <c r="S11" s="59">
        <f ca="1">AVERAGE(OFFSET($R$3,0,0,'Données projet'!$E$9+1,1))-AVERAGE(OFFSET($H$3,0,0,'Données projet'!$E$9+1,1))</f>
        <v>356.67698551373468</v>
      </c>
      <c r="T11" s="59">
        <f t="shared" si="34"/>
        <v>353.21836615408171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</v>
      </c>
      <c r="AI11" s="13">
        <f>IF('Données projet'!$A$62&gt;35,AI10+AH11-AQ10,IF(A11&lt;'Données projet'!$A$62,$AF$205^A11,IF(A11='Données projet'!$A$62,'Données projet'!$B$62,AI10+AH11-AQ10)))</f>
        <v>7.5763989424129567</v>
      </c>
      <c r="AJ11" s="13">
        <f>AI11*VLOOKUP('Données projet'!$B$10,Paramètres!$A$1:$I$89,3,0)*VLOOKUP('Données projet'!$B$10,Paramètres!$A$1:$I$89,5,0)</f>
        <v>4.7276729400656849</v>
      </c>
      <c r="AK11" s="13">
        <f t="shared" si="35"/>
        <v>1.8183208938643207</v>
      </c>
      <c r="AL11" s="20">
        <f t="shared" si="4"/>
        <v>11.400939260761424</v>
      </c>
      <c r="AM11" s="59">
        <f t="shared" si="5"/>
        <v>304.73427259409476</v>
      </c>
      <c r="AN11" s="59">
        <f ca="1">AVERAGE(OFFSET($AM$3,0,0,'Données projet'!$E$10+1,1))-AVERAGE(OFFSET($H$3,0,0,'Données projet'!$E$10+1,1))</f>
        <v>285.77483300338548</v>
      </c>
      <c r="AO11" s="59">
        <f t="shared" si="36"/>
        <v>320.55212417690637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4.8</v>
      </c>
      <c r="BD11" s="12">
        <f>IF('Données projet'!$A$88&gt;35,BD10+BC11-BL10,IF(A11&lt;'Données projet'!$A$88,$BA$205^A11,IF(A11='Données projet'!$A$88,'Données projet'!$B$88,BD10+BC11-BL10)))</f>
        <v>6.2073822956614393</v>
      </c>
      <c r="BE11" s="13">
        <f>BD11*VLOOKUP('Données projet'!$B$11,Paramètres!$A$1:$I$89,3,0)*VLOOKUP('Données projet'!$B$11,Paramètres!$A$1:$I$89,5,0)</f>
        <v>2.9857508842131524</v>
      </c>
      <c r="BF11" s="13">
        <f t="shared" si="37"/>
        <v>1.2114608920480276</v>
      </c>
      <c r="BG11" s="20">
        <f t="shared" si="7"/>
        <v>7.3101438436548882</v>
      </c>
      <c r="BH11" s="59">
        <f t="shared" si="8"/>
        <v>300.6434771769882</v>
      </c>
      <c r="BI11" s="59">
        <f ca="1">AVERAGE(OFFSET($BH$3,0,0,'Données projet'!$E$11+1,1))-AVERAGE(OFFSET($H$3,0,0,'Données projet'!$E$11+1,1))</f>
        <v>327.58421465651799</v>
      </c>
      <c r="BJ11" s="59">
        <f t="shared" si="38"/>
        <v>296.73904998640018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1.2</v>
      </c>
      <c r="N12" s="13">
        <f>IF('Données projet'!$A$36&gt;35,N11+M12-V11,IF(A12&lt;'Données projet'!$A$36,$K$205^A12,IF(A12='Données projet'!$A$36,'Données projet'!$B$36,N11+M12-V11)))</f>
        <v>9.3597257028516339</v>
      </c>
      <c r="O12" s="13">
        <f>N12*VLOOKUP('Données projet'!$B$9,Paramètres!$A$1:$I$89,3,0)*VLOOKUP('Données projet'!$B$9,Paramètres!$A$1:$I$89,5,0)</f>
        <v>5.2320866678940634</v>
      </c>
      <c r="P12" s="13">
        <f t="shared" si="33"/>
        <v>1.9887181275113242</v>
      </c>
      <c r="Q12" s="20">
        <f t="shared" si="2"/>
        <v>12.576235018664383</v>
      </c>
      <c r="R12" s="59">
        <f t="shared" si="0"/>
        <v>305.90956835199768</v>
      </c>
      <c r="S12" s="59">
        <f ca="1">AVERAGE(OFFSET($R$3,0,0,'Données projet'!$E$9+1,1))-AVERAGE(OFFSET($H$3,0,0,'Données projet'!$E$9+1,1))</f>
        <v>356.67698551373468</v>
      </c>
      <c r="T12" s="59">
        <f t="shared" si="34"/>
        <v>353.21836615408171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</v>
      </c>
      <c r="AI12" s="13">
        <f>IF('Données projet'!$A$62&gt;35,AI11+AH12-AQ11,IF(A12&lt;'Données projet'!$A$62,$AF$205^A12,IF(A12='Données projet'!$A$62,'Données projet'!$B$62,AI11+AH12-AQ11)))</f>
        <v>9.7587836327093171</v>
      </c>
      <c r="AJ12" s="13">
        <f>AI12*VLOOKUP('Données projet'!$B$10,Paramètres!$A$1:$I$89,3,0)*VLOOKUP('Données projet'!$B$10,Paramètres!$A$1:$I$89,5,0)</f>
        <v>6.0894809868106137</v>
      </c>
      <c r="AK12" s="13">
        <f t="shared" si="35"/>
        <v>2.2740876477580638</v>
      </c>
      <c r="AL12" s="20">
        <f t="shared" si="4"/>
        <v>14.566548705207111</v>
      </c>
      <c r="AM12" s="59">
        <f t="shared" si="5"/>
        <v>307.89988203854045</v>
      </c>
      <c r="AN12" s="59">
        <f ca="1">AVERAGE(OFFSET($AM$3,0,0,'Données projet'!$E$10+1,1))-AVERAGE(OFFSET($H$3,0,0,'Données projet'!$E$10+1,1))</f>
        <v>285.77483300338548</v>
      </c>
      <c r="AO12" s="59">
        <f t="shared" si="36"/>
        <v>320.55212417690637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4.8</v>
      </c>
      <c r="BD12" s="12">
        <f>IF('Données projet'!$A$88&gt;35,BD11+BC12-BL11,IF(A12&lt;'Données projet'!$A$88,$BA$205^A12,IF(A12='Données projet'!$A$88,'Données projet'!$B$88,BD11+BC12-BL11)))</f>
        <v>7.7986971380498149</v>
      </c>
      <c r="BE12" s="13">
        <f>BD12*VLOOKUP('Données projet'!$B$11,Paramètres!$A$1:$I$89,3,0)*VLOOKUP('Données projet'!$B$11,Paramètres!$A$1:$I$89,5,0)</f>
        <v>3.7511733234019609</v>
      </c>
      <c r="BF12" s="13">
        <f t="shared" si="37"/>
        <v>1.4821294678016681</v>
      </c>
      <c r="BG12" s="20">
        <f t="shared" si="7"/>
        <v>9.1146690280129867</v>
      </c>
      <c r="BH12" s="59">
        <f t="shared" si="8"/>
        <v>302.44800236134631</v>
      </c>
      <c r="BI12" s="59">
        <f ca="1">AVERAGE(OFFSET($BH$3,0,0,'Données projet'!$E$11+1,1))-AVERAGE(OFFSET($H$3,0,0,'Données projet'!$E$11+1,1))</f>
        <v>327.58421465651799</v>
      </c>
      <c r="BJ12" s="59">
        <f t="shared" si="38"/>
        <v>296.73904998640018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12</v>
      </c>
      <c r="L13" s="12">
        <f>VLOOKUP(A13,'Données projet'!$A$35:$I$55,9,0)</f>
        <v>1.2</v>
      </c>
      <c r="M13" s="12">
        <f t="array" ref="M13">INDEX(L:L,MIN(IF(ISNUMBER(L13:L209),ROW(L13:L209),"")))</f>
        <v>1.2</v>
      </c>
      <c r="N13" s="13">
        <f>IF('Données projet'!$A$36&gt;35,N12+M13-V12,IF(A13&lt;'Données projet'!$A$36,$K$205^A13,IF(A13='Données projet'!$A$36,'Données projet'!$B$36,N12+M13-V12)))</f>
        <v>12</v>
      </c>
      <c r="O13" s="13">
        <f>N13*VLOOKUP('Données projet'!$B$9,Paramètres!$A$1:$I$89,3,0)*VLOOKUP('Données projet'!$B$9,Paramètres!$A$1:$I$89,5,0)</f>
        <v>6.7080000000000002</v>
      </c>
      <c r="P13" s="13">
        <f t="shared" si="33"/>
        <v>2.477020993200687</v>
      </c>
      <c r="Q13" s="20">
        <f t="shared" si="2"/>
        <v>15.997244896491198</v>
      </c>
      <c r="R13" s="59">
        <f t="shared" si="0"/>
        <v>309.33057822982454</v>
      </c>
      <c r="S13" s="59">
        <f ca="1">AVERAGE(OFFSET($R$3,0,0,'Données projet'!$E$9+1,1))-AVERAGE(OFFSET($H$3,0,0,'Données projet'!$E$9+1,1))</f>
        <v>356.67698551373468</v>
      </c>
      <c r="T13" s="59">
        <f t="shared" si="34"/>
        <v>353.21836615408171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7.9</v>
      </c>
      <c r="AI13" s="13">
        <f>IF('Données projet'!$A$62&gt;35,AI12+AH13-AQ12,IF(A13&lt;'Données projet'!$A$62,$AF$205^A13,IF(A13='Données projet'!$A$62,'Données projet'!$B$62,AI12+AH13-AQ12)))</f>
        <v>12.569805089976542</v>
      </c>
      <c r="AJ13" s="13">
        <f>AI13*VLOOKUP('Données projet'!$B$10,Paramètres!$A$1:$I$89,3,0)*VLOOKUP('Données projet'!$B$10,Paramètres!$A$1:$I$89,5,0)</f>
        <v>7.8435583761453627</v>
      </c>
      <c r="AK13" s="13">
        <f t="shared" si="35"/>
        <v>2.8440934969928842</v>
      </c>
      <c r="AL13" s="20">
        <f t="shared" si="4"/>
        <v>18.614327012382446</v>
      </c>
      <c r="AM13" s="59">
        <f t="shared" si="5"/>
        <v>311.94766034571575</v>
      </c>
      <c r="AN13" s="59">
        <f ca="1">AVERAGE(OFFSET($AM$3,0,0,'Données projet'!$E$10+1,1))-AVERAGE(OFFSET($H$3,0,0,'Données projet'!$E$10+1,1))</f>
        <v>285.77483300338548</v>
      </c>
      <c r="AO13" s="59">
        <f t="shared" si="36"/>
        <v>320.55212417690637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4.8</v>
      </c>
      <c r="BD13" s="12">
        <f>IF('Données projet'!$A$88&gt;35,BD12+BC13-BL12,IF(A13&lt;'Données projet'!$A$88,$BA$205^A13,IF(A13='Données projet'!$A$88,'Données projet'!$B$88,BD12+BC13-BL12)))</f>
        <v>9.7979589711327133</v>
      </c>
      <c r="BE13" s="13">
        <f>BD13*VLOOKUP('Données projet'!$B$11,Paramètres!$A$1:$I$89,3,0)*VLOOKUP('Données projet'!$B$11,Paramètres!$A$1:$I$89,5,0)</f>
        <v>4.7128182651148354</v>
      </c>
      <c r="BF13" s="13">
        <f t="shared" si="37"/>
        <v>1.8132717067015065</v>
      </c>
      <c r="BG13" s="20">
        <f t="shared" si="7"/>
        <v>11.36627336758013</v>
      </c>
      <c r="BH13" s="59">
        <f t="shared" si="8"/>
        <v>304.69960670091342</v>
      </c>
      <c r="BI13" s="59">
        <f ca="1">AVERAGE(OFFSET($BH$3,0,0,'Données projet'!$E$11+1,1))-AVERAGE(OFFSET($H$3,0,0,'Données projet'!$E$11+1,1))</f>
        <v>327.58421465651799</v>
      </c>
      <c r="BJ13" s="59">
        <f t="shared" si="38"/>
        <v>296.73904998640018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15</v>
      </c>
      <c r="N14" s="13">
        <f>IF('Données projet'!$A$36&gt;35,N13+M14-V13,IF(A14&lt;'Données projet'!$A$36,$K$205^A14,IF(A14='Données projet'!$A$36,'Données projet'!$B$36,N13+M14-V13)))</f>
        <v>27</v>
      </c>
      <c r="O14" s="13">
        <f>N14*VLOOKUP('Données projet'!$B$9,Paramètres!$A$1:$I$89,3,0)*VLOOKUP('Données projet'!$B$9,Paramètres!$A$1:$I$89,5,0)</f>
        <v>15.093</v>
      </c>
      <c r="P14" s="13">
        <f t="shared" si="33"/>
        <v>5.0712866613861207</v>
      </c>
      <c r="Q14" s="20">
        <f t="shared" si="2"/>
        <v>35.11946593524749</v>
      </c>
      <c r="R14" s="59">
        <f t="shared" si="0"/>
        <v>328.4527992685808</v>
      </c>
      <c r="S14" s="59">
        <f ca="1">AVERAGE(OFFSET($R$3,0,0,'Données projet'!$E$9+1,1))-AVERAGE(OFFSET($H$3,0,0,'Données projet'!$E$9+1,1))</f>
        <v>356.67698551373468</v>
      </c>
      <c r="T14" s="59">
        <f t="shared" si="34"/>
        <v>353.21836615408171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7.9</v>
      </c>
      <c r="AI14" s="13">
        <f>IF('Données projet'!$A$62&gt;35,AI13+AH14-AQ13,IF(A14&lt;'Données projet'!$A$62,$AF$205^A14,IF(A14='Données projet'!$A$62,'Données projet'!$B$62,AI13+AH14-AQ13)))</f>
        <v>16.190542381779895</v>
      </c>
      <c r="AJ14" s="13">
        <f>AI14*VLOOKUP('Données projet'!$B$10,Paramètres!$A$1:$I$89,3,0)*VLOOKUP('Données projet'!$B$10,Paramètres!$A$1:$I$89,5,0)</f>
        <v>10.102898446230656</v>
      </c>
      <c r="AK14" s="13">
        <f t="shared" si="35"/>
        <v>3.5569727611913824</v>
      </c>
      <c r="AL14" s="20">
        <f t="shared" si="4"/>
        <v>23.790942352926717</v>
      </c>
      <c r="AM14" s="59">
        <f t="shared" si="5"/>
        <v>317.12427568626003</v>
      </c>
      <c r="AN14" s="59">
        <f ca="1">AVERAGE(OFFSET($AM$3,0,0,'Données projet'!$E$10+1,1))-AVERAGE(OFFSET($H$3,0,0,'Données projet'!$E$10+1,1))</f>
        <v>285.77483300338548</v>
      </c>
      <c r="AO14" s="59">
        <f t="shared" si="36"/>
        <v>320.55212417690637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4.8</v>
      </c>
      <c r="BD14" s="12">
        <f>IF('Données projet'!$A$88&gt;35,BD13+BC14-BL13,IF(A14&lt;'Données projet'!$A$88,$BA$205^A14,IF(A14='Données projet'!$A$88,'Données projet'!$B$88,BD13+BC14-BL13)))</f>
        <v>12.309748449085985</v>
      </c>
      <c r="BE14" s="13">
        <f>BD14*VLOOKUP('Données projet'!$B$11,Paramètres!$A$1:$I$89,3,0)*VLOOKUP('Données projet'!$B$11,Paramètres!$A$1:$I$89,5,0)</f>
        <v>5.9209890040103588</v>
      </c>
      <c r="BF14" s="13">
        <f t="shared" si="37"/>
        <v>2.2183988334035152</v>
      </c>
      <c r="BG14" s="20">
        <f t="shared" si="7"/>
        <v>14.17610048349583</v>
      </c>
      <c r="BH14" s="59">
        <f t="shared" si="8"/>
        <v>307.50943381682913</v>
      </c>
      <c r="BI14" s="59">
        <f ca="1">AVERAGE(OFFSET($BH$3,0,0,'Données projet'!$E$11+1,1))-AVERAGE(OFFSET($H$3,0,0,'Données projet'!$E$11+1,1))</f>
        <v>327.58421465651799</v>
      </c>
      <c r="BJ14" s="59">
        <f t="shared" si="38"/>
        <v>296.73904998640018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15</v>
      </c>
      <c r="N15" s="13">
        <f>IF('Données projet'!$A$36&gt;35,N14+M15-V14,IF(A15&lt;'Données projet'!$A$36,$K$205^A15,IF(A15='Données projet'!$A$36,'Données projet'!$B$36,N14+M15-V14)))</f>
        <v>42</v>
      </c>
      <c r="O15" s="13">
        <f>N15*VLOOKUP('Données projet'!$B$9,Paramètres!$A$1:$I$89,3,0)*VLOOKUP('Données projet'!$B$9,Paramètres!$A$1:$I$89,5,0)</f>
        <v>23.477999999999998</v>
      </c>
      <c r="P15" s="13">
        <f t="shared" si="33"/>
        <v>7.4932153017418202</v>
      </c>
      <c r="Q15" s="20">
        <f t="shared" si="2"/>
        <v>53.941533317200332</v>
      </c>
      <c r="R15" s="59">
        <f t="shared" si="0"/>
        <v>347.27486665053362</v>
      </c>
      <c r="S15" s="59">
        <f ca="1">AVERAGE(OFFSET($R$3,0,0,'Données projet'!$E$9+1,1))-AVERAGE(OFFSET($H$3,0,0,'Données projet'!$E$9+1,1))</f>
        <v>356.67698551373468</v>
      </c>
      <c r="T15" s="59">
        <f t="shared" si="34"/>
        <v>353.21836615408171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7.9</v>
      </c>
      <c r="AI15" s="13">
        <f>IF('Données projet'!$A$62&gt;35,AI14+AH15-AQ14,IF(A15&lt;'Données projet'!$A$62,$AF$205^A15,IF(A15='Données projet'!$A$62,'Données projet'!$B$62,AI14+AH15-AQ14)))</f>
        <v>20.854234472198982</v>
      </c>
      <c r="AJ15" s="13">
        <f>AI15*VLOOKUP('Données projet'!$B$10,Paramètres!$A$1:$I$89,3,0)*VLOOKUP('Données projet'!$B$10,Paramètres!$A$1:$I$89,5,0)</f>
        <v>13.013042310652164</v>
      </c>
      <c r="AK15" s="13">
        <f t="shared" si="35"/>
        <v>4.4485370249728815</v>
      </c>
      <c r="AL15" s="20">
        <f t="shared" si="4"/>
        <v>30.41225067621362</v>
      </c>
      <c r="AM15" s="59">
        <f t="shared" si="5"/>
        <v>323.74558400954692</v>
      </c>
      <c r="AN15" s="59">
        <f ca="1">AVERAGE(OFFSET($AM$3,0,0,'Données projet'!$E$10+1,1))-AVERAGE(OFFSET($H$3,0,0,'Données projet'!$E$10+1,1))</f>
        <v>285.77483300338548</v>
      </c>
      <c r="AO15" s="59">
        <f t="shared" si="36"/>
        <v>320.55212417690637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4.8</v>
      </c>
      <c r="BD15" s="12">
        <f>IF('Données projet'!$A$88&gt;35,BD14+BC15-BL14,IF(A15&lt;'Données projet'!$A$88,$BA$205^A15,IF(A15='Données projet'!$A$88,'Données projet'!$B$88,BD14+BC15-BL14)))</f>
        <v>15.465456359454105</v>
      </c>
      <c r="BE15" s="13">
        <f>BD15*VLOOKUP('Données projet'!$B$11,Paramètres!$A$1:$I$89,3,0)*VLOOKUP('Données projet'!$B$11,Paramètres!$A$1:$I$89,5,0)</f>
        <v>7.4388845088974245</v>
      </c>
      <c r="BF15" s="13">
        <f t="shared" si="37"/>
        <v>2.7140407948008654</v>
      </c>
      <c r="BG15" s="20">
        <f t="shared" si="7"/>
        <v>17.683011570607853</v>
      </c>
      <c r="BH15" s="59">
        <f t="shared" si="8"/>
        <v>311.01634490394116</v>
      </c>
      <c r="BI15" s="59">
        <f ca="1">AVERAGE(OFFSET($BH$3,0,0,'Données projet'!$E$11+1,1))-AVERAGE(OFFSET($H$3,0,0,'Données projet'!$E$11+1,1))</f>
        <v>327.58421465651799</v>
      </c>
      <c r="BJ15" s="59">
        <f t="shared" si="38"/>
        <v>296.73904998640018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</v>
      </c>
      <c r="N16" s="13">
        <f>IF('Données projet'!$A$36&gt;35,N15+M16-V15,IF(A16&lt;'Données projet'!$A$36,$K$205^A16,IF(A16='Données projet'!$A$36,'Données projet'!$B$36,N15+M16-V15)))</f>
        <v>57</v>
      </c>
      <c r="O16" s="13">
        <f>N16*VLOOKUP('Données projet'!$B$9,Paramètres!$A$1:$I$89,3,0)*VLOOKUP('Données projet'!$B$9,Paramètres!$A$1:$I$89,5,0)</f>
        <v>31.863</v>
      </c>
      <c r="P16" s="13">
        <f t="shared" si="33"/>
        <v>9.8142283995824151</v>
      </c>
      <c r="Q16" s="20">
        <f t="shared" si="2"/>
        <v>72.587839462606041</v>
      </c>
      <c r="R16" s="59">
        <f t="shared" si="0"/>
        <v>365.92117279593936</v>
      </c>
      <c r="S16" s="59">
        <f ca="1">AVERAGE(OFFSET($R$3,0,0,'Données projet'!$E$9+1,1))-AVERAGE(OFFSET($H$3,0,0,'Données projet'!$E$9+1,1))</f>
        <v>356.67698551373468</v>
      </c>
      <c r="T16" s="59">
        <f t="shared" si="34"/>
        <v>353.21836615408171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7.9</v>
      </c>
      <c r="AI16" s="13">
        <f>IF('Données projet'!$A$62&gt;35,AI15+AH16-AQ15,IF(A16&lt;'Données projet'!$A$62,$AF$205^A16,IF(A16='Données projet'!$A$62,'Données projet'!$B$62,AI15+AH16-AQ15)))</f>
        <v>26.861304900499697</v>
      </c>
      <c r="AJ16" s="13">
        <f>AI16*VLOOKUP('Données projet'!$B$10,Paramètres!$A$1:$I$89,3,0)*VLOOKUP('Données projet'!$B$10,Paramètres!$A$1:$I$89,5,0)</f>
        <v>16.761454257911808</v>
      </c>
      <c r="AK16" s="13">
        <f t="shared" si="35"/>
        <v>5.5635741376681862</v>
      </c>
      <c r="AL16" s="20">
        <f t="shared" si="4"/>
        <v>38.88275778896849</v>
      </c>
      <c r="AM16" s="59">
        <f t="shared" si="5"/>
        <v>332.2160911223018</v>
      </c>
      <c r="AN16" s="59">
        <f ca="1">AVERAGE(OFFSET($AM$3,0,0,'Données projet'!$E$10+1,1))-AVERAGE(OFFSET($H$3,0,0,'Données projet'!$E$10+1,1))</f>
        <v>285.77483300338548</v>
      </c>
      <c r="AO16" s="59">
        <f t="shared" si="36"/>
        <v>320.55212417690637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4.8</v>
      </c>
      <c r="BD16" s="12">
        <f>IF('Données projet'!$A$88&gt;35,BD15+BC16-BL15,IF(A16&lt;'Données projet'!$A$88,$BA$205^A16,IF(A16='Données projet'!$A$88,'Données projet'!$B$88,BD15+BC16-BL15)))</f>
        <v>19.430156627119288</v>
      </c>
      <c r="BE16" s="13">
        <f>BD16*VLOOKUP('Données projet'!$B$11,Paramètres!$A$1:$I$89,3,0)*VLOOKUP('Données projet'!$B$11,Paramètres!$A$1:$I$89,5,0)</f>
        <v>9.3459053376443784</v>
      </c>
      <c r="BF16" s="13">
        <f t="shared" si="37"/>
        <v>3.3204207128716408</v>
      </c>
      <c r="BG16" s="20">
        <f t="shared" si="7"/>
        <v>22.060517871315398</v>
      </c>
      <c r="BH16" s="59">
        <f t="shared" si="8"/>
        <v>315.39385120464874</v>
      </c>
      <c r="BI16" s="59">
        <f ca="1">AVERAGE(OFFSET($BH$3,0,0,'Données projet'!$E$11+1,1))-AVERAGE(OFFSET($H$3,0,0,'Données projet'!$E$11+1,1))</f>
        <v>327.58421465651799</v>
      </c>
      <c r="BJ16" s="59">
        <f t="shared" si="38"/>
        <v>296.73904998640018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</v>
      </c>
      <c r="N17" s="13">
        <f>IF('Données projet'!$A$36&gt;35,N16+M17-V16,IF(A17&lt;'Données projet'!$A$36,$K$205^A17,IF(A17='Données projet'!$A$36,'Données projet'!$B$36,N16+M17-V16)))</f>
        <v>72</v>
      </c>
      <c r="O17" s="13">
        <f>N17*VLOOKUP('Données projet'!$B$9,Paramètres!$A$1:$I$89,3,0)*VLOOKUP('Données projet'!$B$9,Paramètres!$A$1:$I$89,5,0)</f>
        <v>40.248000000000005</v>
      </c>
      <c r="P17" s="13">
        <f t="shared" si="33"/>
        <v>12.064355669675363</v>
      </c>
      <c r="Q17" s="20">
        <f t="shared" si="2"/>
        <v>91.110686124684605</v>
      </c>
      <c r="R17" s="59">
        <f t="shared" si="0"/>
        <v>384.44401945801792</v>
      </c>
      <c r="S17" s="59">
        <f ca="1">AVERAGE(OFFSET($R$3,0,0,'Données projet'!$E$9+1,1))-AVERAGE(OFFSET($H$3,0,0,'Données projet'!$E$9+1,1))</f>
        <v>356.67698551373468</v>
      </c>
      <c r="T17" s="59">
        <f t="shared" si="34"/>
        <v>353.21836615408171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7.9</v>
      </c>
      <c r="AI17" s="13">
        <f>IF('Données projet'!$A$62&gt;35,AI16+AH17-AQ16,IF(A17&lt;'Données projet'!$A$62,$AF$205^A17,IF(A17='Données projet'!$A$62,'Données projet'!$B$62,AI16+AH17-AQ16)))</f>
        <v>34.598714324397214</v>
      </c>
      <c r="AJ17" s="13">
        <f>AI17*VLOOKUP('Données projet'!$B$10,Paramètres!$A$1:$I$89,3,0)*VLOOKUP('Données projet'!$B$10,Paramètres!$A$1:$I$89,5,0)</f>
        <v>21.589597738423862</v>
      </c>
      <c r="AK17" s="13">
        <f t="shared" si="35"/>
        <v>6.9580981368855754</v>
      </c>
      <c r="AL17" s="20">
        <f t="shared" si="4"/>
        <v>49.720570316163929</v>
      </c>
      <c r="AM17" s="59">
        <f t="shared" si="5"/>
        <v>343.05390364949722</v>
      </c>
      <c r="AN17" s="59">
        <f ca="1">AVERAGE(OFFSET($AM$3,0,0,'Données projet'!$E$10+1,1))-AVERAGE(OFFSET($H$3,0,0,'Données projet'!$E$10+1,1))</f>
        <v>285.77483300338548</v>
      </c>
      <c r="AO17" s="59">
        <f t="shared" si="36"/>
        <v>320.55212417690637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4.8</v>
      </c>
      <c r="BD17" s="12">
        <f>IF('Données projet'!$A$88&gt;35,BD16+BC17-BL16,IF(A17&lt;'Données projet'!$A$88,$BA$205^A17,IF(A17='Données projet'!$A$88,'Données projet'!$B$88,BD16+BC17-BL16)))</f>
        <v>24.411241270846887</v>
      </c>
      <c r="BE17" s="13">
        <f>BD17*VLOOKUP('Données projet'!$B$11,Paramètres!$A$1:$I$89,3,0)*VLOOKUP('Données projet'!$B$11,Paramètres!$A$1:$I$89,5,0)</f>
        <v>11.741807051277354</v>
      </c>
      <c r="BF17" s="13">
        <f t="shared" si="37"/>
        <v>4.0622800259993692</v>
      </c>
      <c r="BG17" s="20">
        <f t="shared" si="7"/>
        <v>27.525451659590289</v>
      </c>
      <c r="BH17" s="59">
        <f t="shared" si="8"/>
        <v>320.85878499292357</v>
      </c>
      <c r="BI17" s="59">
        <f ca="1">AVERAGE(OFFSET($BH$3,0,0,'Données projet'!$E$11+1,1))-AVERAGE(OFFSET($H$3,0,0,'Données projet'!$E$11+1,1))</f>
        <v>327.58421465651799</v>
      </c>
      <c r="BJ17" s="59">
        <f t="shared" si="38"/>
        <v>296.73904998640018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</v>
      </c>
      <c r="N18" s="13">
        <f>IF('Données projet'!$A$36&gt;35,N17+M18-V17,IF(A18&lt;'Données projet'!$A$36,$K$205^A18,IF(A18='Données projet'!$A$36,'Données projet'!$B$36,N17+M18-V17)))</f>
        <v>87</v>
      </c>
      <c r="O18" s="13">
        <f>N18*VLOOKUP('Données projet'!$B$9,Paramètres!$A$1:$I$89,3,0)*VLOOKUP('Données projet'!$B$9,Paramètres!$A$1:$I$89,5,0)</f>
        <v>48.632999999999996</v>
      </c>
      <c r="P18" s="13">
        <f t="shared" si="33"/>
        <v>14.260158409918978</v>
      </c>
      <c r="Q18" s="20">
        <f t="shared" si="2"/>
        <v>109.53891756394221</v>
      </c>
      <c r="R18" s="59">
        <f t="shared" si="0"/>
        <v>402.87225089727553</v>
      </c>
      <c r="S18" s="59">
        <f ca="1">AVERAGE(OFFSET($R$3,0,0,'Données projet'!$E$9+1,1))-AVERAGE(OFFSET($H$3,0,0,'Données projet'!$E$9+1,1))</f>
        <v>356.67698551373468</v>
      </c>
      <c r="T18" s="59">
        <f t="shared" si="34"/>
        <v>353.21836615408171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7.9</v>
      </c>
      <c r="AI18" s="13">
        <f>IF('Données projet'!$A$62&gt;35,AI17+AH18-AQ17,IF(A18&lt;'Données projet'!$A$62,$AF$205^A18,IF(A18='Données projet'!$A$62,'Données projet'!$B$62,AI17+AH18-AQ17)))</f>
        <v>44.564887571004775</v>
      </c>
      <c r="AJ18" s="13">
        <f>AI18*VLOOKUP('Données projet'!$B$10,Paramètres!$A$1:$I$89,3,0)*VLOOKUP('Données projet'!$B$10,Paramètres!$A$1:$I$89,5,0)</f>
        <v>27.808489844306976</v>
      </c>
      <c r="AK18" s="13">
        <f t="shared" si="35"/>
        <v>8.7021631211375059</v>
      </c>
      <c r="AL18" s="20">
        <f t="shared" si="4"/>
        <v>63.589387248149137</v>
      </c>
      <c r="AM18" s="59">
        <f t="shared" si="5"/>
        <v>356.92272058148245</v>
      </c>
      <c r="AN18" s="59">
        <f ca="1">AVERAGE(OFFSET($AM$3,0,0,'Données projet'!$E$10+1,1))-AVERAGE(OFFSET($H$3,0,0,'Données projet'!$E$10+1,1))</f>
        <v>285.77483300338548</v>
      </c>
      <c r="AO18" s="59">
        <f t="shared" si="36"/>
        <v>320.55212417690637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4.8</v>
      </c>
      <c r="BD18" s="12">
        <f>IF('Données projet'!$A$88&gt;35,BD17+BC18-BL17,IF(A18&lt;'Données projet'!$A$88,$BA$205^A18,IF(A18='Données projet'!$A$88,'Données projet'!$B$88,BD17+BC18-BL17)))</f>
        <v>30.669269003821089</v>
      </c>
      <c r="BE18" s="13">
        <f>BD18*VLOOKUP('Données projet'!$B$11,Paramètres!$A$1:$I$89,3,0)*VLOOKUP('Données projet'!$B$11,Paramètres!$A$1:$I$89,5,0)</f>
        <v>14.751918390837945</v>
      </c>
      <c r="BF18" s="13">
        <f t="shared" si="37"/>
        <v>4.9698879860804466</v>
      </c>
      <c r="BG18" s="20">
        <f t="shared" si="7"/>
        <v>34.348812773132863</v>
      </c>
      <c r="BH18" s="59">
        <f t="shared" si="8"/>
        <v>327.68214610646618</v>
      </c>
      <c r="BI18" s="59">
        <f ca="1">AVERAGE(OFFSET($BH$3,0,0,'Données projet'!$E$11+1,1))-AVERAGE(OFFSET($H$3,0,0,'Données projet'!$E$11+1,1))</f>
        <v>327.58421465651799</v>
      </c>
      <c r="BJ18" s="59">
        <f t="shared" si="38"/>
        <v>296.73904998640018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</v>
      </c>
      <c r="N19" s="13">
        <f>IF('Données projet'!$A$36&gt;35,N18+M19-V18,IF(A19&lt;'Données projet'!$A$36,$K$205^A19,IF(A19='Données projet'!$A$36,'Données projet'!$B$36,N18+M19-V18)))</f>
        <v>102</v>
      </c>
      <c r="O19" s="13">
        <f>N19*VLOOKUP('Données projet'!$B$9,Paramètres!$A$1:$I$89,3,0)*VLOOKUP('Données projet'!$B$9,Paramètres!$A$1:$I$89,5,0)</f>
        <v>57.018000000000001</v>
      </c>
      <c r="P19" s="13">
        <f t="shared" si="33"/>
        <v>16.412103612717626</v>
      </c>
      <c r="Q19" s="20">
        <f t="shared" si="2"/>
        <v>127.89076379214985</v>
      </c>
      <c r="R19" s="59">
        <f t="shared" si="0"/>
        <v>421.22409712548318</v>
      </c>
      <c r="S19" s="59">
        <f ca="1">AVERAGE(OFFSET($R$3,0,0,'Données projet'!$E$9+1,1))-AVERAGE(OFFSET($H$3,0,0,'Données projet'!$E$9+1,1))</f>
        <v>356.67698551373468</v>
      </c>
      <c r="T19" s="59">
        <f t="shared" si="34"/>
        <v>353.21836615408171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7.9</v>
      </c>
      <c r="AI19" s="13">
        <f>IF('Données projet'!$A$62&gt;35,AI18+AH19-AQ18,IF(A19&lt;'Données projet'!$A$62,$AF$205^A19,IF(A19='Données projet'!$A$62,'Données projet'!$B$62,AI18+AH19-AQ18)))</f>
        <v>57.401820934596167</v>
      </c>
      <c r="AJ19" s="13">
        <f>AI19*VLOOKUP('Données projet'!$B$10,Paramètres!$A$1:$I$89,3,0)*VLOOKUP('Données projet'!$B$10,Paramètres!$A$1:$I$89,5,0)</f>
        <v>35.818736263188008</v>
      </c>
      <c r="AK19" s="13">
        <f t="shared" si="35"/>
        <v>10.883382426793592</v>
      </c>
      <c r="AL19" s="20">
        <f t="shared" si="4"/>
        <v>81.339523385051294</v>
      </c>
      <c r="AM19" s="59">
        <f t="shared" si="5"/>
        <v>374.67285671838459</v>
      </c>
      <c r="AN19" s="59">
        <f ca="1">AVERAGE(OFFSET($AM$3,0,0,'Données projet'!$E$10+1,1))-AVERAGE(OFFSET($H$3,0,0,'Données projet'!$E$10+1,1))</f>
        <v>285.77483300338548</v>
      </c>
      <c r="AO19" s="59">
        <f t="shared" si="36"/>
        <v>320.55212417690637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4.8</v>
      </c>
      <c r="BD19" s="12">
        <f>IF('Données projet'!$A$88&gt;35,BD18+BC19-BL18,IF(A19&lt;'Données projet'!$A$88,$BA$205^A19,IF(A19='Données projet'!$A$88,'Données projet'!$B$88,BD18+BC19-BL18)))</f>
        <v>38.531594964491077</v>
      </c>
      <c r="BE19" s="13">
        <f>BD19*VLOOKUP('Données projet'!$B$11,Paramètres!$A$1:$I$89,3,0)*VLOOKUP('Données projet'!$B$11,Paramètres!$A$1:$I$89,5,0)</f>
        <v>18.533697177920207</v>
      </c>
      <c r="BF19" s="13">
        <f t="shared" si="37"/>
        <v>6.0802767007944762</v>
      </c>
      <c r="BG19" s="20">
        <f t="shared" si="7"/>
        <v>42.869337838761396</v>
      </c>
      <c r="BH19" s="59">
        <f t="shared" si="8"/>
        <v>336.20267117209471</v>
      </c>
      <c r="BI19" s="59">
        <f ca="1">AVERAGE(OFFSET($BH$3,0,0,'Données projet'!$E$11+1,1))-AVERAGE(OFFSET($H$3,0,0,'Données projet'!$E$11+1,1))</f>
        <v>327.58421465651799</v>
      </c>
      <c r="BJ19" s="59">
        <f t="shared" si="38"/>
        <v>296.73904998640018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</v>
      </c>
      <c r="N20" s="13">
        <f>IF('Données projet'!$A$36&gt;35,N19+M20-V19,IF(A20&lt;'Données projet'!$A$36,$K$205^A20,IF(A20='Données projet'!$A$36,'Données projet'!$B$36,N19+M20-V19)))</f>
        <v>117</v>
      </c>
      <c r="O20" s="13">
        <f>N20*VLOOKUP('Données projet'!$B$9,Paramètres!$A$1:$I$89,3,0)*VLOOKUP('Données projet'!$B$9,Paramètres!$A$1:$I$89,5,0)</f>
        <v>65.403000000000006</v>
      </c>
      <c r="P20" s="13">
        <f t="shared" si="33"/>
        <v>18.527386684584471</v>
      </c>
      <c r="Q20" s="20">
        <f t="shared" si="2"/>
        <v>146.17875680898462</v>
      </c>
      <c r="R20" s="59">
        <f t="shared" si="0"/>
        <v>439.5120901423179</v>
      </c>
      <c r="S20" s="59">
        <f ca="1">AVERAGE(OFFSET($R$3,0,0,'Données projet'!$E$9+1,1))-AVERAGE(OFFSET($H$3,0,0,'Données projet'!$E$9+1,1))</f>
        <v>356.67698551373468</v>
      </c>
      <c r="T20" s="59">
        <f t="shared" si="34"/>
        <v>353.21836615408171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7.9</v>
      </c>
      <c r="AI20" s="13">
        <f>IF('Données projet'!$A$62&gt;35,AI19+AH20-AQ19,IF(A20&lt;'Données projet'!$A$62,$AF$205^A20,IF(A20='Données projet'!$A$62,'Données projet'!$B$62,AI19+AH20-AQ19)))</f>
        <v>73.936437994095741</v>
      </c>
      <c r="AJ20" s="13">
        <f>AI20*VLOOKUP('Données projet'!$B$10,Paramètres!$A$1:$I$89,3,0)*VLOOKUP('Données projet'!$B$10,Paramètres!$A$1:$I$89,5,0)</f>
        <v>46.136337308315738</v>
      </c>
      <c r="AK20" s="13">
        <f t="shared" si="35"/>
        <v>13.611329895681916</v>
      </c>
      <c r="AL20" s="20">
        <f t="shared" si="4"/>
        <v>104.0605203802959</v>
      </c>
      <c r="AM20" s="59">
        <f t="shared" si="5"/>
        <v>397.3938537136292</v>
      </c>
      <c r="AN20" s="59">
        <f ca="1">AVERAGE(OFFSET($AM$3,0,0,'Données projet'!$E$10+1,1))-AVERAGE(OFFSET($H$3,0,0,'Données projet'!$E$10+1,1))</f>
        <v>285.77483300338548</v>
      </c>
      <c r="AO20" s="59">
        <f t="shared" si="36"/>
        <v>320.55212417690637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4.8</v>
      </c>
      <c r="BD20" s="12">
        <f>IF('Données projet'!$A$88&gt;35,BD19+BC20-BL19,IF(A20&lt;'Données projet'!$A$88,$BA$205^A20,IF(A20='Données projet'!$A$88,'Données projet'!$B$88,BD19+BC20-BL19)))</f>
        <v>48.409494543955958</v>
      </c>
      <c r="BE20" s="13">
        <f>BD20*VLOOKUP('Données projet'!$B$11,Paramètres!$A$1:$I$89,3,0)*VLOOKUP('Données projet'!$B$11,Paramètres!$A$1:$I$89,5,0)</f>
        <v>23.284966875642816</v>
      </c>
      <c r="BF20" s="13">
        <f t="shared" si="37"/>
        <v>7.4387521130794694</v>
      </c>
      <c r="BG20" s="20">
        <f t="shared" si="7"/>
        <v>53.510477238691315</v>
      </c>
      <c r="BH20" s="59">
        <f t="shared" si="8"/>
        <v>346.84381057202461</v>
      </c>
      <c r="BI20" s="59">
        <f ca="1">AVERAGE(OFFSET($BH$3,0,0,'Données projet'!$E$11+1,1))-AVERAGE(OFFSET($H$3,0,0,'Données projet'!$E$11+1,1))</f>
        <v>327.58421465651799</v>
      </c>
      <c r="BJ20" s="59">
        <f t="shared" si="38"/>
        <v>296.73904998640018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</v>
      </c>
      <c r="N21" s="13">
        <f>IF('Données projet'!$A$36&gt;35,N20+M21-V20,IF(A21&lt;'Données projet'!$A$36,$K$205^A21,IF(A21='Données projet'!$A$36,'Données projet'!$B$36,N20+M21-V20)))</f>
        <v>132</v>
      </c>
      <c r="O21" s="13">
        <f>N21*VLOOKUP('Données projet'!$B$9,Paramètres!$A$1:$I$89,3,0)*VLOOKUP('Données projet'!$B$9,Paramètres!$A$1:$I$89,5,0)</f>
        <v>73.787999999999997</v>
      </c>
      <c r="P21" s="13">
        <f t="shared" si="33"/>
        <v>20.611246816293939</v>
      </c>
      <c r="Q21" s="20">
        <f t="shared" si="2"/>
        <v>164.41202153837858</v>
      </c>
      <c r="R21" s="59">
        <f t="shared" si="0"/>
        <v>457.74535487171192</v>
      </c>
      <c r="S21" s="59">
        <f ca="1">AVERAGE(OFFSET($R$3,0,0,'Données projet'!$E$9+1,1))-AVERAGE(OFFSET($H$3,0,0,'Données projet'!$E$9+1,1))</f>
        <v>356.67698551373468</v>
      </c>
      <c r="T21" s="59">
        <f t="shared" si="34"/>
        <v>353.21836615408171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7.9</v>
      </c>
      <c r="AI21" s="13">
        <f>IF('Données projet'!$A$62&gt;35,AI20+AH21-AQ20,IF(A21&lt;'Données projet'!$A$62,$AF$205^A21,IF(A21='Données projet'!$A$62,'Données projet'!$B$62,AI20+AH21-AQ20)))</f>
        <v>95.233857990035276</v>
      </c>
      <c r="AJ21" s="13">
        <f>AI21*VLOOKUP('Données projet'!$B$10,Paramètres!$A$1:$I$89,3,0)*VLOOKUP('Données projet'!$B$10,Paramètres!$A$1:$I$89,5,0)</f>
        <v>59.425927385782011</v>
      </c>
      <c r="AK21" s="13">
        <f t="shared" si="35"/>
        <v>17.023044331601881</v>
      </c>
      <c r="AL21" s="20">
        <f t="shared" si="4"/>
        <v>133.14862574111029</v>
      </c>
      <c r="AM21" s="59">
        <f t="shared" si="5"/>
        <v>426.48195907444358</v>
      </c>
      <c r="AN21" s="59">
        <f ca="1">AVERAGE(OFFSET($AM$3,0,0,'Données projet'!$E$10+1,1))-AVERAGE(OFFSET($H$3,0,0,'Données projet'!$E$10+1,1))</f>
        <v>285.77483300338548</v>
      </c>
      <c r="AO21" s="59">
        <f t="shared" si="36"/>
        <v>320.55212417690637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4.8</v>
      </c>
      <c r="BD21" s="12">
        <f>IF('Données projet'!$A$88&gt;35,BD20+BC21-BL20,IF(A21&lt;'Données projet'!$A$88,$BA$205^A21,IF(A21='Données projet'!$A$88,'Données projet'!$B$88,BD20+BC21-BL20)))</f>
        <v>60.819677051026375</v>
      </c>
      <c r="BE21" s="13">
        <f>BD21*VLOOKUP('Données projet'!$B$11,Paramètres!$A$1:$I$89,3,0)*VLOOKUP('Données projet'!$B$11,Paramètres!$A$1:$I$89,5,0)</f>
        <v>29.254264661543687</v>
      </c>
      <c r="BF21" s="13">
        <f t="shared" si="37"/>
        <v>9.1007425686094034</v>
      </c>
      <c r="BG21" s="20">
        <f t="shared" si="7"/>
        <v>66.801637592516627</v>
      </c>
      <c r="BH21" s="59">
        <f t="shared" si="8"/>
        <v>360.13497092584993</v>
      </c>
      <c r="BI21" s="59">
        <f ca="1">AVERAGE(OFFSET($BH$3,0,0,'Données projet'!$E$11+1,1))-AVERAGE(OFFSET($H$3,0,0,'Données projet'!$E$11+1,1))</f>
        <v>327.58421465651799</v>
      </c>
      <c r="BJ21" s="59">
        <f t="shared" si="38"/>
        <v>296.73904998640018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</v>
      </c>
      <c r="N22" s="13">
        <f>IF('Données projet'!$A$36&gt;35,N21+M22-V21,IF(A22&lt;'Données projet'!$A$36,$K$205^A22,IF(A22='Données projet'!$A$36,'Données projet'!$B$36,N21+M22-V21)))</f>
        <v>147</v>
      </c>
      <c r="O22" s="13">
        <f>N22*VLOOKUP('Données projet'!$B$9,Paramètres!$A$1:$I$89,3,0)*VLOOKUP('Données projet'!$B$9,Paramètres!$A$1:$I$89,5,0)</f>
        <v>82.173000000000002</v>
      </c>
      <c r="P22" s="13">
        <f t="shared" si="33"/>
        <v>22.667662370396656</v>
      </c>
      <c r="Q22" s="20">
        <f t="shared" si="2"/>
        <v>182.59748696177417</v>
      </c>
      <c r="R22" s="59">
        <f t="shared" si="0"/>
        <v>475.93082029510748</v>
      </c>
      <c r="S22" s="59">
        <f ca="1">AVERAGE(OFFSET($R$3,0,0,'Données projet'!$E$9+1,1))-AVERAGE(OFFSET($H$3,0,0,'Données projet'!$E$9+1,1))</f>
        <v>356.67698551373468</v>
      </c>
      <c r="T22" s="59">
        <f t="shared" si="34"/>
        <v>353.21836615408171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7.9</v>
      </c>
      <c r="AI22" s="13">
        <f>IF('Données projet'!$A$62&gt;35,AI21+AH22-AQ21,IF(A22&lt;'Données projet'!$A$62,$AF$205^A22,IF(A22='Données projet'!$A$62,'Données projet'!$B$62,AI21+AH22-AQ21)))</f>
        <v>122.66600817840934</v>
      </c>
      <c r="AJ22" s="13">
        <f>AI22*VLOOKUP('Données projet'!$B$10,Paramètres!$A$1:$I$89,3,0)*VLOOKUP('Données projet'!$B$10,Paramètres!$A$1:$I$89,5,0)</f>
        <v>76.543589103327434</v>
      </c>
      <c r="AK22" s="13">
        <f t="shared" si="35"/>
        <v>21.289913662853376</v>
      </c>
      <c r="AL22" s="20">
        <f t="shared" si="4"/>
        <v>170.39335065109825</v>
      </c>
      <c r="AM22" s="59">
        <f t="shared" si="5"/>
        <v>463.72668398443159</v>
      </c>
      <c r="AN22" s="59">
        <f ca="1">AVERAGE(OFFSET($AM$3,0,0,'Données projet'!$E$10+1,1))-AVERAGE(OFFSET($H$3,0,0,'Données projet'!$E$10+1,1))</f>
        <v>285.77483300338548</v>
      </c>
      <c r="AO22" s="59">
        <f t="shared" si="36"/>
        <v>320.55212417690637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4.8</v>
      </c>
      <c r="BD22" s="12">
        <f>IF('Données projet'!$A$88&gt;35,BD21+BC22-BL21,IF(A22&lt;'Données projet'!$A$88,$BA$205^A22,IF(A22='Données projet'!$A$88,'Données projet'!$B$88,BD21+BC22-BL21)))</f>
        <v>76.411314586902208</v>
      </c>
      <c r="BE22" s="13">
        <f>BD22*VLOOKUP('Données projet'!$B$11,Paramètres!$A$1:$I$89,3,0)*VLOOKUP('Données projet'!$B$11,Paramètres!$A$1:$I$89,5,0)</f>
        <v>36.753842316299966</v>
      </c>
      <c r="BF22" s="13">
        <f t="shared" si="37"/>
        <v>11.134060396295732</v>
      </c>
      <c r="BG22" s="20">
        <f t="shared" si="7"/>
        <v>83.404763891104167</v>
      </c>
      <c r="BH22" s="59">
        <f t="shared" si="8"/>
        <v>376.73809722443747</v>
      </c>
      <c r="BI22" s="59">
        <f ca="1">AVERAGE(OFFSET($BH$3,0,0,'Données projet'!$E$11+1,1))-AVERAGE(OFFSET($H$3,0,0,'Données projet'!$E$11+1,1))</f>
        <v>327.58421465651799</v>
      </c>
      <c r="BJ22" s="59">
        <f t="shared" si="38"/>
        <v>296.73904998640018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162</v>
      </c>
      <c r="L23" s="12">
        <f>VLOOKUP(A23,'Données projet'!$A$35:$I$55,9,0)</f>
        <v>15</v>
      </c>
      <c r="M23" s="12">
        <f t="array" ref="M23">INDEX(L:L,MIN(IF(ISNUMBER(L23:L219),ROW(L23:L219),"")))</f>
        <v>15</v>
      </c>
      <c r="N23" s="13">
        <f>IF('Données projet'!$A$36&gt;35,N22+M23-V22,IF(A23&lt;'Données projet'!$A$36,$K$205^A23,IF(A23='Données projet'!$A$36,'Données projet'!$B$36,N22+M23-V22)))</f>
        <v>162</v>
      </c>
      <c r="O23" s="13">
        <f>N23*VLOOKUP('Données projet'!$B$9,Paramètres!$A$1:$I$89,3,0)*VLOOKUP('Données projet'!$B$9,Paramètres!$A$1:$I$89,5,0)</f>
        <v>90.557999999999993</v>
      </c>
      <c r="P23" s="13">
        <f t="shared" si="33"/>
        <v>24.699752708509138</v>
      </c>
      <c r="Q23" s="20">
        <f t="shared" si="2"/>
        <v>200.74058596732007</v>
      </c>
      <c r="R23" s="59">
        <f t="shared" si="0"/>
        <v>494.07391930065342</v>
      </c>
      <c r="S23" s="59">
        <f ca="1">AVERAGE(OFFSET($R$3,0,0,'Données projet'!$E$9+1,1))-AVERAGE(OFFSET($H$3,0,0,'Données projet'!$E$9+1,1))</f>
        <v>356.67698551373468</v>
      </c>
      <c r="T23" s="59">
        <f t="shared" si="34"/>
        <v>353.21836615408171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12.796760722565436</v>
      </c>
      <c r="AB23" s="21">
        <f>EXP(-LN(2)/2)*AB22+(1-EXP(-LN(2)/2))/(LN(2)/2)*V23*Y23*VLOOKUP('Données projet'!$B$9,Paramètres!$A$1:$I$89,3,0)*0.475*44/12</f>
        <v>19.936912410994776</v>
      </c>
      <c r="AC23" s="22">
        <f t="shared" si="3"/>
        <v>32.73367313356021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158</v>
      </c>
      <c r="AG23" s="12">
        <f>VLOOKUP(A23,'Données projet'!$A$61:$I$81,9,0)</f>
        <v>7.9</v>
      </c>
      <c r="AH23" s="12">
        <f t="array" ref="AH23">INDEX(AG:AG,MIN(IF(ISNUMBER(AG23:AG219),ROW(AG23:AG219),"")))</f>
        <v>7.9</v>
      </c>
      <c r="AI23" s="13">
        <f>IF('Données projet'!$A$62&gt;35,AI22+AH23-AQ22,IF(A23&lt;'Données projet'!$A$62,$AF$205^A23,IF(A23='Données projet'!$A$62,'Données projet'!$B$62,AI22+AH23-AQ22)))</f>
        <v>158</v>
      </c>
      <c r="AJ23" s="13">
        <f>AI23*VLOOKUP('Données projet'!$B$10,Paramètres!$A$1:$I$89,3,0)*VLOOKUP('Données projet'!$B$10,Paramètres!$A$1:$I$89,5,0)</f>
        <v>98.592000000000013</v>
      </c>
      <c r="AK23" s="13">
        <f t="shared" si="35"/>
        <v>26.626284637602105</v>
      </c>
      <c r="AL23" s="20">
        <f t="shared" si="4"/>
        <v>218.08851241049035</v>
      </c>
      <c r="AM23" s="59">
        <f t="shared" si="5"/>
        <v>511.42184574382367</v>
      </c>
      <c r="AN23" s="59">
        <f ca="1">AVERAGE(OFFSET($AM$3,0,0,'Données projet'!$E$10+1,1))-AVERAGE(OFFSET($H$3,0,0,'Données projet'!$E$10+1,1))</f>
        <v>285.77483300338548</v>
      </c>
      <c r="AO23" s="59">
        <f t="shared" si="36"/>
        <v>320.55212417690637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14.841305096542214</v>
      </c>
      <c r="AW23" s="21">
        <f>EXP(-LN(2)/2)*AW22+(1-EXP(-LN(2)/2))/(LN(2)/2)*AQ23*AT23*VLOOKUP('Données projet'!$B$10,Paramètres!$A$1:$I$89,3,0)*0.475*44/12</f>
        <v>21.195388609695438</v>
      </c>
      <c r="AX23" s="21">
        <f t="shared" si="6"/>
        <v>36.036693706237656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96</v>
      </c>
      <c r="BB23" s="12">
        <f>VLOOKUP(A23,'Données projet'!$A$87:$I$107,9,0)</f>
        <v>4.8</v>
      </c>
      <c r="BC23" s="12">
        <f t="array" ref="BC23">INDEX(BB:BB,MIN(IF(ISNUMBER(BB23:BB219),ROW(BB23:BB219),"")))</f>
        <v>4.8</v>
      </c>
      <c r="BD23" s="12">
        <f>IF('Données projet'!$A$88&gt;35,BD22+BC23-BL22,IF(A23&lt;'Données projet'!$A$88,$BA$205^A23,IF(A23='Données projet'!$A$88,'Données projet'!$B$88,BD22+BC23-BL22)))</f>
        <v>96</v>
      </c>
      <c r="BE23" s="13">
        <f>BD23*VLOOKUP('Données projet'!$B$11,Paramètres!$A$1:$I$89,3,0)*VLOOKUP('Données projet'!$B$11,Paramètres!$A$1:$I$89,5,0)</f>
        <v>46.175999999999995</v>
      </c>
      <c r="BF23" s="13">
        <f t="shared" si="37"/>
        <v>13.621668778540489</v>
      </c>
      <c r="BG23" s="20">
        <f t="shared" si="7"/>
        <v>104.14760645595801</v>
      </c>
      <c r="BH23" s="59">
        <f t="shared" si="8"/>
        <v>397.48093978929131</v>
      </c>
      <c r="BI23" s="59">
        <f ca="1">AVERAGE(OFFSET($BH$3,0,0,'Données projet'!$E$11+1,1))-AVERAGE(OFFSET($H$3,0,0,'Données projet'!$E$11+1,1))</f>
        <v>327.58421465651799</v>
      </c>
      <c r="BJ23" s="59">
        <f t="shared" si="38"/>
        <v>296.73904998640018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22.2</v>
      </c>
      <c r="N24" s="13">
        <f>IF('Données projet'!$A$36&gt;35,N23+M24-V23,IF(A24&lt;'Données projet'!$A$36,$K$205^A24,IF(A24='Données projet'!$A$36,'Données projet'!$B$36,N23+M24-V23)))</f>
        <v>121.19999999999999</v>
      </c>
      <c r="O24" s="13">
        <f>N24*VLOOKUP('Données projet'!$B$9,Paramètres!$A$1:$I$89,3,0)*VLOOKUP('Données projet'!$B$9,Paramètres!$A$1:$I$89,5,0)</f>
        <v>67.750799999999998</v>
      </c>
      <c r="P24" s="13">
        <f t="shared" si="33"/>
        <v>19.113844706860473</v>
      </c>
      <c r="Q24" s="20">
        <f t="shared" si="2"/>
        <v>151.28925619778201</v>
      </c>
      <c r="R24" s="59">
        <f t="shared" si="0"/>
        <v>444.6225895311153</v>
      </c>
      <c r="S24" s="59">
        <f ca="1">AVERAGE(OFFSET($R$3,0,0,'Données projet'!$E$9+1,1))-AVERAGE(OFFSET($H$3,0,0,'Données projet'!$E$9+1,1))</f>
        <v>356.67698551373468</v>
      </c>
      <c r="T24" s="59">
        <f t="shared" si="34"/>
        <v>353.21836615408171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12.446832627654485</v>
      </c>
      <c r="AB24" s="21">
        <f>EXP(-LN(2)/2)*AB23+(1-EXP(-LN(2)/2))/(LN(2)/2)*V24*Y24*VLOOKUP('Données projet'!$B$9,Paramètres!$A$1:$I$89,3,0)*0.475*44/12</f>
        <v>14.097525961736647</v>
      </c>
      <c r="AC24" s="22">
        <f t="shared" si="3"/>
        <v>26.54435858939113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16.5</v>
      </c>
      <c r="AI24" s="13">
        <f>IF('Données projet'!$A$62&gt;35,AI23+AH24-AQ23,IF(A24&lt;'Données projet'!$A$62,$AF$205^A24,IF(A24='Données projet'!$A$62,'Données projet'!$B$62,AI23+AH24-AQ23)))</f>
        <v>114.5</v>
      </c>
      <c r="AJ24" s="13">
        <f>AI24*VLOOKUP('Données projet'!$B$10,Paramètres!$A$1:$I$89,3,0)*VLOOKUP('Données projet'!$B$10,Paramètres!$A$1:$I$89,5,0)</f>
        <v>71.448000000000008</v>
      </c>
      <c r="AK24" s="13">
        <f t="shared" si="35"/>
        <v>20.03261738899662</v>
      </c>
      <c r="AL24" s="20">
        <f t="shared" si="4"/>
        <v>159.32874195250244</v>
      </c>
      <c r="AM24" s="59">
        <f t="shared" si="5"/>
        <v>452.66207528583573</v>
      </c>
      <c r="AN24" s="59">
        <f ca="1">AVERAGE(OFFSET($AM$3,0,0,'Données projet'!$E$10+1,1))-AVERAGE(OFFSET($H$3,0,0,'Données projet'!$E$10+1,1))</f>
        <v>285.77483300338548</v>
      </c>
      <c r="AO24" s="59">
        <f t="shared" si="36"/>
        <v>320.55212417690637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14.435468828206952</v>
      </c>
      <c r="AW24" s="21">
        <f>EXP(-LN(2)/2)*AW23+(1-EXP(-LN(2)/2))/(LN(2)/2)*AQ24*AT24*VLOOKUP('Données projet'!$B$10,Paramètres!$A$1:$I$89,3,0)*0.475*44/12</f>
        <v>14.987403015799755</v>
      </c>
      <c r="AX24" s="21">
        <f t="shared" si="6"/>
        <v>29.422871844006707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22.2</v>
      </c>
      <c r="BD24" s="12">
        <f>IF('Données projet'!$A$88&gt;35,BD23+BC24-BL23,IF(A24&lt;'Données projet'!$A$88,$BA$205^A24,IF(A24='Données projet'!$A$88,'Données projet'!$B$88,BD23+BC24-BL23)))</f>
        <v>118.2</v>
      </c>
      <c r="BE24" s="13">
        <f>BD24*VLOOKUP('Données projet'!$B$11,Paramètres!$A$1:$I$89,3,0)*VLOOKUP('Données projet'!$B$11,Paramètres!$A$1:$I$89,5,0)</f>
        <v>56.854200000000006</v>
      </c>
      <c r="BF24" s="13">
        <f t="shared" si="37"/>
        <v>16.370436389534291</v>
      </c>
      <c r="BG24" s="20">
        <f t="shared" si="7"/>
        <v>127.5329083784389</v>
      </c>
      <c r="BH24" s="59">
        <f t="shared" si="8"/>
        <v>420.8662417117722</v>
      </c>
      <c r="BI24" s="59">
        <f ca="1">AVERAGE(OFFSET($BH$3,0,0,'Données projet'!$E$11+1,1))-AVERAGE(OFFSET($H$3,0,0,'Données projet'!$E$11+1,1))</f>
        <v>327.58421465651799</v>
      </c>
      <c r="BJ24" s="59">
        <f t="shared" si="38"/>
        <v>296.73904998640018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22.2</v>
      </c>
      <c r="N25" s="13">
        <f>IF('Données projet'!$A$36&gt;35,N24+M25-V24,IF(A25&lt;'Données projet'!$A$36,$K$205^A25,IF(A25='Données projet'!$A$36,'Données projet'!$B$36,N24+M25-V24)))</f>
        <v>143.39999999999998</v>
      </c>
      <c r="O25" s="13">
        <f>N25*VLOOKUP('Données projet'!$B$9,Paramètres!$A$1:$I$89,3,0)*VLOOKUP('Données projet'!$B$9,Paramètres!$A$1:$I$89,5,0)</f>
        <v>80.160599999999988</v>
      </c>
      <c r="P25" s="13">
        <f t="shared" si="33"/>
        <v>22.176447079115164</v>
      </c>
      <c r="Q25" s="20">
        <f t="shared" si="2"/>
        <v>178.23702366279221</v>
      </c>
      <c r="R25" s="59">
        <f t="shared" si="0"/>
        <v>471.5703569961255</v>
      </c>
      <c r="S25" s="59">
        <f ca="1">AVERAGE(OFFSET($R$3,0,0,'Données projet'!$E$9+1,1))-AVERAGE(OFFSET($H$3,0,0,'Données projet'!$E$9+1,1))</f>
        <v>356.67698551373468</v>
      </c>
      <c r="T25" s="59">
        <f t="shared" si="34"/>
        <v>353.21836615408171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12.106473334900793</v>
      </c>
      <c r="AB25" s="21">
        <f>EXP(-LN(2)/2)*AB24+(1-EXP(-LN(2)/2))/(LN(2)/2)*V25*Y25*VLOOKUP('Données projet'!$B$9,Paramètres!$A$1:$I$89,3,0)*0.475*44/12</f>
        <v>9.9684562054973895</v>
      </c>
      <c r="AC25" s="22">
        <f t="shared" si="3"/>
        <v>22.07492954039818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16.5</v>
      </c>
      <c r="AI25" s="13">
        <f>IF('Données projet'!$A$62&gt;35,AI24+AH25-AQ24,IF(A25&lt;'Données projet'!$A$62,$AF$205^A25,IF(A25='Données projet'!$A$62,'Données projet'!$B$62,AI24+AH25-AQ24)))</f>
        <v>131</v>
      </c>
      <c r="AJ25" s="13">
        <f>AI25*VLOOKUP('Données projet'!$B$10,Paramètres!$A$1:$I$89,3,0)*VLOOKUP('Données projet'!$B$10,Paramètres!$A$1:$I$89,5,0)</f>
        <v>81.744</v>
      </c>
      <c r="AK25" s="13">
        <f t="shared" si="35"/>
        <v>22.563064513367394</v>
      </c>
      <c r="AL25" s="20">
        <f t="shared" si="4"/>
        <v>181.66813736078151</v>
      </c>
      <c r="AM25" s="59">
        <f t="shared" si="5"/>
        <v>475.0014706941148</v>
      </c>
      <c r="AN25" s="59">
        <f ca="1">AVERAGE(OFFSET($AM$3,0,0,'Données projet'!$E$10+1,1))-AVERAGE(OFFSET($H$3,0,0,'Données projet'!$E$10+1,1))</f>
        <v>285.77483300338548</v>
      </c>
      <c r="AO25" s="59">
        <f t="shared" si="36"/>
        <v>320.55212417690637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14.040730173971321</v>
      </c>
      <c r="AW25" s="21">
        <f>EXP(-LN(2)/2)*AW24+(1-EXP(-LN(2)/2))/(LN(2)/2)*AQ25*AT25*VLOOKUP('Données projet'!$B$10,Paramètres!$A$1:$I$89,3,0)*0.475*44/12</f>
        <v>10.597694304847721</v>
      </c>
      <c r="AX25" s="21">
        <f t="shared" si="6"/>
        <v>24.63842447881904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22.2</v>
      </c>
      <c r="BD25" s="12">
        <f>IF('Données projet'!$A$88&gt;35,BD24+BC25-BL24,IF(A25&lt;'Données projet'!$A$88,$BA$205^A25,IF(A25='Données projet'!$A$88,'Données projet'!$B$88,BD24+BC25-BL24)))</f>
        <v>140.4</v>
      </c>
      <c r="BE25" s="13">
        <f>BD25*VLOOKUP('Données projet'!$B$11,Paramètres!$A$1:$I$89,3,0)*VLOOKUP('Données projet'!$B$11,Paramètres!$A$1:$I$89,5,0)</f>
        <v>67.53240000000001</v>
      </c>
      <c r="BF25" s="13">
        <f t="shared" si="37"/>
        <v>19.059391490646973</v>
      </c>
      <c r="BG25" s="20">
        <f t="shared" si="7"/>
        <v>150.81403684621014</v>
      </c>
      <c r="BH25" s="59">
        <f t="shared" si="8"/>
        <v>444.14737017954349</v>
      </c>
      <c r="BI25" s="59">
        <f ca="1">AVERAGE(OFFSET($BH$3,0,0,'Données projet'!$E$11+1,1))-AVERAGE(OFFSET($H$3,0,0,'Données projet'!$E$11+1,1))</f>
        <v>327.58421465651799</v>
      </c>
      <c r="BJ25" s="59">
        <f t="shared" si="38"/>
        <v>296.73904998640018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22.2</v>
      </c>
      <c r="N26" s="13">
        <f>IF('Données projet'!$A$36&gt;35,N25+M26-V25,IF(A26&lt;'Données projet'!$A$36,$K$205^A26,IF(A26='Données projet'!$A$36,'Données projet'!$B$36,N25+M26-V25)))</f>
        <v>165.59999999999997</v>
      </c>
      <c r="O26" s="13">
        <f>N26*VLOOKUP('Données projet'!$B$9,Paramètres!$A$1:$I$89,3,0)*VLOOKUP('Données projet'!$B$9,Paramètres!$A$1:$I$89,5,0)</f>
        <v>92.570399999999978</v>
      </c>
      <c r="P26" s="13">
        <f t="shared" si="33"/>
        <v>25.184123943972491</v>
      </c>
      <c r="Q26" s="20">
        <f t="shared" si="2"/>
        <v>205.08912920241869</v>
      </c>
      <c r="R26" s="59">
        <f t="shared" si="0"/>
        <v>498.422462535752</v>
      </c>
      <c r="S26" s="59">
        <f ca="1">AVERAGE(OFFSET($R$3,0,0,'Données projet'!$E$9+1,1))-AVERAGE(OFFSET($H$3,0,0,'Données projet'!$E$9+1,1))</f>
        <v>356.67698551373468</v>
      </c>
      <c r="T26" s="59">
        <f t="shared" si="34"/>
        <v>353.21836615408171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11.775421184906168</v>
      </c>
      <c r="AB26" s="21">
        <f>EXP(-LN(2)/2)*AB25+(1-EXP(-LN(2)/2))/(LN(2)/2)*V26*Y26*VLOOKUP('Données projet'!$B$9,Paramètres!$A$1:$I$89,3,0)*0.475*44/12</f>
        <v>7.0487629808683252</v>
      </c>
      <c r="AC26" s="22">
        <f t="shared" si="3"/>
        <v>18.824184165774493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16.5</v>
      </c>
      <c r="AI26" s="13">
        <f>IF('Données projet'!$A$62&gt;35,AI25+AH26-AQ25,IF(A26&lt;'Données projet'!$A$62,$AF$205^A26,IF(A26='Données projet'!$A$62,'Données projet'!$B$62,AI25+AH26-AQ25)))</f>
        <v>147.5</v>
      </c>
      <c r="AJ26" s="13">
        <f>AI26*VLOOKUP('Données projet'!$B$10,Paramètres!$A$1:$I$89,3,0)*VLOOKUP('Données projet'!$B$10,Paramètres!$A$1:$I$89,5,0)</f>
        <v>92.04</v>
      </c>
      <c r="AK26" s="13">
        <f t="shared" si="35"/>
        <v>25.056580235859606</v>
      </c>
      <c r="AL26" s="20">
        <f t="shared" si="4"/>
        <v>203.94321057745549</v>
      </c>
      <c r="AM26" s="59">
        <f t="shared" si="5"/>
        <v>497.2765439107888</v>
      </c>
      <c r="AN26" s="59">
        <f ca="1">AVERAGE(OFFSET($AM$3,0,0,'Données projet'!$E$10+1,1))-AVERAGE(OFFSET($H$3,0,0,'Données projet'!$E$10+1,1))</f>
        <v>285.77483300338548</v>
      </c>
      <c r="AO26" s="59">
        <f t="shared" si="36"/>
        <v>320.55212417690637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13.656785668994166</v>
      </c>
      <c r="AW26" s="21">
        <f>EXP(-LN(2)/2)*AW25+(1-EXP(-LN(2)/2))/(LN(2)/2)*AQ26*AT26*VLOOKUP('Données projet'!$B$10,Paramètres!$A$1:$I$89,3,0)*0.475*44/12</f>
        <v>7.4937015078998792</v>
      </c>
      <c r="AX26" s="21">
        <f t="shared" si="6"/>
        <v>21.150487176894046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22.2</v>
      </c>
      <c r="BD26" s="12">
        <f>IF('Données projet'!$A$88&gt;35,BD25+BC26-BL25,IF(A26&lt;'Données projet'!$A$88,$BA$205^A26,IF(A26='Données projet'!$A$88,'Données projet'!$B$88,BD25+BC26-BL25)))</f>
        <v>162.6</v>
      </c>
      <c r="BE26" s="13">
        <f>BD26*VLOOKUP('Données projet'!$B$11,Paramètres!$A$1:$I$89,3,0)*VLOOKUP('Données projet'!$B$11,Paramètres!$A$1:$I$89,5,0)</f>
        <v>78.210599999999999</v>
      </c>
      <c r="BF26" s="13">
        <f t="shared" si="37"/>
        <v>21.699092173018201</v>
      </c>
      <c r="BG26" s="20">
        <f t="shared" si="7"/>
        <v>174.00938053467337</v>
      </c>
      <c r="BH26" s="59">
        <f t="shared" si="8"/>
        <v>467.34271386800668</v>
      </c>
      <c r="BI26" s="59">
        <f ca="1">AVERAGE(OFFSET($BH$3,0,0,'Données projet'!$E$11+1,1))-AVERAGE(OFFSET($H$3,0,0,'Données projet'!$E$11+1,1))</f>
        <v>327.58421465651799</v>
      </c>
      <c r="BJ26" s="59">
        <f t="shared" si="38"/>
        <v>296.73904998640018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22.2</v>
      </c>
      <c r="N27" s="13">
        <f>IF('Données projet'!$A$36&gt;35,N26+M27-V26,IF(A27&lt;'Données projet'!$A$36,$K$205^A27,IF(A27='Données projet'!$A$36,'Données projet'!$B$36,N26+M27-V26)))</f>
        <v>187.79999999999995</v>
      </c>
      <c r="O27" s="13">
        <f>N27*VLOOKUP('Données projet'!$B$9,Paramètres!$A$1:$I$89,3,0)*VLOOKUP('Données projet'!$B$9,Paramètres!$A$1:$I$89,5,0)</f>
        <v>104.98019999999997</v>
      </c>
      <c r="P27" s="13">
        <f t="shared" si="33"/>
        <v>28.145084690033578</v>
      </c>
      <c r="Q27" s="20">
        <f t="shared" si="2"/>
        <v>231.85987083514172</v>
      </c>
      <c r="R27" s="59">
        <f t="shared" si="0"/>
        <v>525.19320416847506</v>
      </c>
      <c r="S27" s="59">
        <f ca="1">AVERAGE(OFFSET($R$3,0,0,'Données projet'!$E$9+1,1))-AVERAGE(OFFSET($H$3,0,0,'Données projet'!$E$9+1,1))</f>
        <v>356.67698551373468</v>
      </c>
      <c r="T27" s="59">
        <f t="shared" si="34"/>
        <v>353.21836615408171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11.453421673362422</v>
      </c>
      <c r="AB27" s="21">
        <f>EXP(-LN(2)/2)*AB26+(1-EXP(-LN(2)/2))/(LN(2)/2)*V27*Y27*VLOOKUP('Données projet'!$B$9,Paramètres!$A$1:$I$89,3,0)*0.475*44/12</f>
        <v>4.9842281027486957</v>
      </c>
      <c r="AC27" s="22">
        <f t="shared" si="3"/>
        <v>16.437649776111119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16.5</v>
      </c>
      <c r="AI27" s="13">
        <f>IF('Données projet'!$A$62&gt;35,AI26+AH27-AQ26,IF(A27&lt;'Données projet'!$A$62,$AF$205^A27,IF(A27='Données projet'!$A$62,'Données projet'!$B$62,AI26+AH27-AQ26)))</f>
        <v>164</v>
      </c>
      <c r="AJ27" s="13">
        <f>AI27*VLOOKUP('Données projet'!$B$10,Paramètres!$A$1:$I$89,3,0)*VLOOKUP('Données projet'!$B$10,Paramètres!$A$1:$I$89,5,0)</f>
        <v>102.336</v>
      </c>
      <c r="AK27" s="13">
        <f t="shared" si="35"/>
        <v>27.517767215282735</v>
      </c>
      <c r="AL27" s="20">
        <f t="shared" si="4"/>
        <v>226.16197789995076</v>
      </c>
      <c r="AM27" s="59">
        <f t="shared" si="5"/>
        <v>519.49531123328404</v>
      </c>
      <c r="AN27" s="59">
        <f ca="1">AVERAGE(OFFSET($AM$3,0,0,'Données projet'!$E$10+1,1))-AVERAGE(OFFSET($H$3,0,0,'Données projet'!$E$10+1,1))</f>
        <v>285.77483300338548</v>
      </c>
      <c r="AO27" s="59">
        <f t="shared" si="36"/>
        <v>320.55212417690637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13.283340146696375</v>
      </c>
      <c r="AW27" s="21">
        <f>EXP(-LN(2)/2)*AW26+(1-EXP(-LN(2)/2))/(LN(2)/2)*AQ27*AT27*VLOOKUP('Données projet'!$B$10,Paramètres!$A$1:$I$89,3,0)*0.475*44/12</f>
        <v>5.2988471524238614</v>
      </c>
      <c r="AX27" s="21">
        <f t="shared" si="6"/>
        <v>18.582187299120235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22.2</v>
      </c>
      <c r="BD27" s="12">
        <f>IF('Données projet'!$A$88&gt;35,BD26+BC27-BL26,IF(A27&lt;'Données projet'!$A$88,$BA$205^A27,IF(A27='Données projet'!$A$88,'Données projet'!$B$88,BD26+BC27-BL26)))</f>
        <v>184.79999999999998</v>
      </c>
      <c r="BE27" s="13">
        <f>BD27*VLOOKUP('Données projet'!$B$11,Paramètres!$A$1:$I$89,3,0)*VLOOKUP('Données projet'!$B$11,Paramètres!$A$1:$I$89,5,0)</f>
        <v>88.888799999999989</v>
      </c>
      <c r="BF27" s="13">
        <f t="shared" si="37"/>
        <v>24.297036846372382</v>
      </c>
      <c r="BG27" s="20">
        <f t="shared" si="7"/>
        <v>197.13199917409852</v>
      </c>
      <c r="BH27" s="59">
        <f t="shared" si="8"/>
        <v>490.46533250743187</v>
      </c>
      <c r="BI27" s="59">
        <f ca="1">AVERAGE(OFFSET($BH$3,0,0,'Données projet'!$E$11+1,1))-AVERAGE(OFFSET($H$3,0,0,'Données projet'!$E$11+1,1))</f>
        <v>327.58421465651799</v>
      </c>
      <c r="BJ27" s="59">
        <f t="shared" si="38"/>
        <v>296.73904998640018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22.2</v>
      </c>
      <c r="N28" s="13">
        <f>IF('Données projet'!$A$36&gt;35,N27+M28-V27,IF(A28&lt;'Données projet'!$A$36,$K$205^A28,IF(A28='Données projet'!$A$36,'Données projet'!$B$36,N27+M28-V27)))</f>
        <v>209.99999999999994</v>
      </c>
      <c r="O28" s="13">
        <f>N28*VLOOKUP('Données projet'!$B$9,Paramètres!$A$1:$I$89,3,0)*VLOOKUP('Données projet'!$B$9,Paramètres!$A$1:$I$89,5,0)</f>
        <v>117.38999999999996</v>
      </c>
      <c r="P28" s="13">
        <f t="shared" si="33"/>
        <v>31.065482772413461</v>
      </c>
      <c r="Q28" s="20">
        <f t="shared" si="2"/>
        <v>258.55996582862002</v>
      </c>
      <c r="R28" s="59">
        <f t="shared" si="0"/>
        <v>551.89329916195334</v>
      </c>
      <c r="S28" s="59">
        <f ca="1">AVERAGE(OFFSET($R$3,0,0,'Données projet'!$E$9+1,1))-AVERAGE(OFFSET($H$3,0,0,'Données projet'!$E$9+1,1))</f>
        <v>356.67698551373468</v>
      </c>
      <c r="T28" s="59">
        <f t="shared" si="34"/>
        <v>353.21836615408171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11.140227255395057</v>
      </c>
      <c r="AB28" s="21">
        <f>EXP(-LN(2)/2)*AB27+(1-EXP(-LN(2)/2))/(LN(2)/2)*V28*Y28*VLOOKUP('Données projet'!$B$9,Paramètres!$A$1:$I$89,3,0)*0.475*44/12</f>
        <v>3.524381490434163</v>
      </c>
      <c r="AC28" s="22">
        <f t="shared" si="3"/>
        <v>14.66460874582922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16.5</v>
      </c>
      <c r="AI28" s="13">
        <f>IF('Données projet'!$A$62&gt;35,AI27+AH28-AQ27,IF(A28&lt;'Données projet'!$A$62,$AF$205^A28,IF(A28='Données projet'!$A$62,'Données projet'!$B$62,AI27+AH28-AQ27)))</f>
        <v>180.5</v>
      </c>
      <c r="AJ28" s="13">
        <f>AI28*VLOOKUP('Données projet'!$B$10,Paramètres!$A$1:$I$89,3,0)*VLOOKUP('Données projet'!$B$10,Paramètres!$A$1:$I$89,5,0)</f>
        <v>112.63200000000001</v>
      </c>
      <c r="AK28" s="13">
        <f t="shared" si="35"/>
        <v>29.950248336286034</v>
      </c>
      <c r="AL28" s="20">
        <f t="shared" si="4"/>
        <v>248.33074918569818</v>
      </c>
      <c r="AM28" s="59">
        <f t="shared" si="5"/>
        <v>541.66408251903147</v>
      </c>
      <c r="AN28" s="59">
        <f ca="1">AVERAGE(OFFSET($AM$3,0,0,'Données projet'!$E$10+1,1))-AVERAGE(OFFSET($H$3,0,0,'Données projet'!$E$10+1,1))</f>
        <v>285.77483300338548</v>
      </c>
      <c r="AO28" s="59">
        <f t="shared" si="36"/>
        <v>320.55212417690637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12.920106511844464</v>
      </c>
      <c r="AW28" s="21">
        <f>EXP(-LN(2)/2)*AW27+(1-EXP(-LN(2)/2))/(LN(2)/2)*AQ28*AT28*VLOOKUP('Données projet'!$B$10,Paramètres!$A$1:$I$89,3,0)*0.475*44/12</f>
        <v>3.74685075394994</v>
      </c>
      <c r="AX28" s="21">
        <f t="shared" si="6"/>
        <v>16.666957265794405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22.2</v>
      </c>
      <c r="BD28" s="12">
        <f>IF('Données projet'!$A$88&gt;35,BD27+BC28-BL27,IF(A28&lt;'Données projet'!$A$88,$BA$205^A28,IF(A28='Données projet'!$A$88,'Données projet'!$B$88,BD27+BC28-BL27)))</f>
        <v>206.99999999999997</v>
      </c>
      <c r="BE28" s="13">
        <f>BD28*VLOOKUP('Données projet'!$B$11,Paramètres!$A$1:$I$89,3,0)*VLOOKUP('Données projet'!$B$11,Paramètres!$A$1:$I$89,5,0)</f>
        <v>99.566999999999993</v>
      </c>
      <c r="BF28" s="13">
        <f t="shared" si="37"/>
        <v>26.858815231289142</v>
      </c>
      <c r="BG28" s="20">
        <f t="shared" si="7"/>
        <v>220.19162819449525</v>
      </c>
      <c r="BH28" s="59">
        <f t="shared" si="8"/>
        <v>513.52496152782851</v>
      </c>
      <c r="BI28" s="59">
        <f ca="1">AVERAGE(OFFSET($BH$3,0,0,'Données projet'!$E$11+1,1))-AVERAGE(OFFSET($H$3,0,0,'Données projet'!$E$11+1,1))</f>
        <v>327.58421465651799</v>
      </c>
      <c r="BJ28" s="59">
        <f t="shared" si="38"/>
        <v>296.73904998640018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22.2</v>
      </c>
      <c r="N29" s="13">
        <f>IF('Données projet'!$A$36&gt;35,N28+M29-V28,IF(A29&lt;'Données projet'!$A$36,$K$205^A29,IF(A29='Données projet'!$A$36,'Données projet'!$B$36,N28+M29-V28)))</f>
        <v>232.19999999999993</v>
      </c>
      <c r="O29" s="13">
        <f>N29*VLOOKUP('Données projet'!$B$9,Paramètres!$A$1:$I$89,3,0)*VLOOKUP('Données projet'!$B$9,Paramètres!$A$1:$I$89,5,0)</f>
        <v>129.79979999999998</v>
      </c>
      <c r="P29" s="13">
        <f t="shared" si="33"/>
        <v>33.950094841766401</v>
      </c>
      <c r="Q29" s="20">
        <f t="shared" si="2"/>
        <v>285.19773351607643</v>
      </c>
      <c r="R29" s="59">
        <f t="shared" si="0"/>
        <v>578.53106684940974</v>
      </c>
      <c r="S29" s="59">
        <f ca="1">AVERAGE(OFFSET($R$3,0,0,'Données projet'!$E$9+1,1))-AVERAGE(OFFSET($H$3,0,0,'Données projet'!$E$9+1,1))</f>
        <v>356.67698551373468</v>
      </c>
      <c r="T29" s="59">
        <f t="shared" si="34"/>
        <v>353.21836615408171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10.83559715525719</v>
      </c>
      <c r="AB29" s="21">
        <f>EXP(-LN(2)/2)*AB28+(1-EXP(-LN(2)/2))/(LN(2)/2)*V29*Y29*VLOOKUP('Données projet'!$B$9,Paramètres!$A$1:$I$89,3,0)*0.475*44/12</f>
        <v>2.4921140513743483</v>
      </c>
      <c r="AC29" s="22">
        <f t="shared" si="3"/>
        <v>13.327711206631538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16.5</v>
      </c>
      <c r="AI29" s="13">
        <f>IF('Données projet'!$A$62&gt;35,AI28+AH29-AQ28,IF(A29&lt;'Données projet'!$A$62,$AF$205^A29,IF(A29='Données projet'!$A$62,'Données projet'!$B$62,AI28+AH29-AQ28)))</f>
        <v>197</v>
      </c>
      <c r="AJ29" s="13">
        <f>AI29*VLOOKUP('Données projet'!$B$10,Paramètres!$A$1:$I$89,3,0)*VLOOKUP('Données projet'!$B$10,Paramètres!$A$1:$I$89,5,0)</f>
        <v>122.92800000000001</v>
      </c>
      <c r="AK29" s="13">
        <f t="shared" si="35"/>
        <v>32.356946120737945</v>
      </c>
      <c r="AL29" s="20">
        <f t="shared" si="4"/>
        <v>270.45461449361864</v>
      </c>
      <c r="AM29" s="59">
        <f t="shared" si="5"/>
        <v>563.78794782695195</v>
      </c>
      <c r="AN29" s="59">
        <f ca="1">AVERAGE(OFFSET($AM$3,0,0,'Données projet'!$E$10+1,1))-AVERAGE(OFFSET($H$3,0,0,'Données projet'!$E$10+1,1))</f>
        <v>285.77483300338548</v>
      </c>
      <c r="AO29" s="59">
        <f t="shared" si="36"/>
        <v>320.55212417690637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12.566805519839205</v>
      </c>
      <c r="AW29" s="21">
        <f>EXP(-LN(2)/2)*AW28+(1-EXP(-LN(2)/2))/(LN(2)/2)*AQ29*AT29*VLOOKUP('Données projet'!$B$10,Paramètres!$A$1:$I$89,3,0)*0.475*44/12</f>
        <v>2.6494235762119311</v>
      </c>
      <c r="AX29" s="21">
        <f t="shared" si="6"/>
        <v>15.216229096051137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22.2</v>
      </c>
      <c r="BD29" s="12">
        <f>IF('Données projet'!$A$88&gt;35,BD28+BC29-BL28,IF(A29&lt;'Données projet'!$A$88,$BA$205^A29,IF(A29='Données projet'!$A$88,'Données projet'!$B$88,BD28+BC29-BL28)))</f>
        <v>229.19999999999996</v>
      </c>
      <c r="BE29" s="13">
        <f>BD29*VLOOKUP('Données projet'!$B$11,Paramètres!$A$1:$I$89,3,0)*VLOOKUP('Données projet'!$B$11,Paramètres!$A$1:$I$89,5,0)</f>
        <v>110.24519999999998</v>
      </c>
      <c r="BF29" s="13">
        <f t="shared" si="37"/>
        <v>29.388748116443562</v>
      </c>
      <c r="BG29" s="20">
        <f t="shared" si="7"/>
        <v>243.19579296947248</v>
      </c>
      <c r="BH29" s="59">
        <f t="shared" si="8"/>
        <v>536.52912630280582</v>
      </c>
      <c r="BI29" s="59">
        <f ca="1">AVERAGE(OFFSET($BH$3,0,0,'Données projet'!$E$11+1,1))-AVERAGE(OFFSET($H$3,0,0,'Données projet'!$E$11+1,1))</f>
        <v>327.58421465651799</v>
      </c>
      <c r="BJ29" s="59">
        <f t="shared" si="38"/>
        <v>296.73904998640018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22.2</v>
      </c>
      <c r="N30" s="13">
        <f>IF('Données projet'!$A$36&gt;35,N29+M30-V29,IF(A30&lt;'Données projet'!$A$36,$K$205^A30,IF(A30='Données projet'!$A$36,'Données projet'!$B$36,N29+M30-V29)))</f>
        <v>254.39999999999992</v>
      </c>
      <c r="O30" s="13">
        <f>N30*VLOOKUP('Données projet'!$B$9,Paramètres!$A$1:$I$89,3,0)*VLOOKUP('Données projet'!$B$9,Paramètres!$A$1:$I$89,5,0)</f>
        <v>142.20959999999997</v>
      </c>
      <c r="P30" s="13">
        <f t="shared" si="33"/>
        <v>36.802731569585617</v>
      </c>
      <c r="Q30" s="20">
        <f t="shared" si="2"/>
        <v>311.77981081702814</v>
      </c>
      <c r="R30" s="59">
        <f t="shared" si="0"/>
        <v>605.11314415036145</v>
      </c>
      <c r="S30" s="59">
        <f ca="1">AVERAGE(OFFSET($R$3,0,0,'Données projet'!$E$9+1,1))-AVERAGE(OFFSET($H$3,0,0,'Données projet'!$E$9+1,1))</f>
        <v>356.67698551373468</v>
      </c>
      <c r="T30" s="59">
        <f t="shared" si="34"/>
        <v>353.21836615408171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10.539297181227393</v>
      </c>
      <c r="AB30" s="21">
        <f>EXP(-LN(2)/2)*AB29+(1-EXP(-LN(2)/2))/(LN(2)/2)*V30*Y30*VLOOKUP('Données projet'!$B$9,Paramètres!$A$1:$I$89,3,0)*0.475*44/12</f>
        <v>1.762190745217082</v>
      </c>
      <c r="AC30" s="22">
        <f t="shared" si="3"/>
        <v>12.301487926444475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16.5</v>
      </c>
      <c r="AI30" s="13">
        <f>IF('Données projet'!$A$62&gt;35,AI29+AH30-AQ29,IF(A30&lt;'Données projet'!$A$62,$AF$205^A30,IF(A30='Données projet'!$A$62,'Données projet'!$B$62,AI29+AH30-AQ29)))</f>
        <v>213.5</v>
      </c>
      <c r="AJ30" s="13">
        <f>AI30*VLOOKUP('Données projet'!$B$10,Paramètres!$A$1:$I$89,3,0)*VLOOKUP('Données projet'!$B$10,Paramètres!$A$1:$I$89,5,0)</f>
        <v>133.22399999999999</v>
      </c>
      <c r="AK30" s="13">
        <f t="shared" si="35"/>
        <v>34.740265606230608</v>
      </c>
      <c r="AL30" s="20">
        <f t="shared" si="4"/>
        <v>292.53776259751828</v>
      </c>
      <c r="AM30" s="59">
        <f t="shared" si="5"/>
        <v>585.87109593085165</v>
      </c>
      <c r="AN30" s="59">
        <f ca="1">AVERAGE(OFFSET($AM$3,0,0,'Données projet'!$E$10+1,1))-AVERAGE(OFFSET($H$3,0,0,'Données projet'!$E$10+1,1))</f>
        <v>285.77483300338548</v>
      </c>
      <c r="AO30" s="59">
        <f t="shared" si="36"/>
        <v>320.55212417690637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12.223165562039622</v>
      </c>
      <c r="AW30" s="21">
        <f>EXP(-LN(2)/2)*AW29+(1-EXP(-LN(2)/2))/(LN(2)/2)*AQ30*AT30*VLOOKUP('Données projet'!$B$10,Paramètres!$A$1:$I$89,3,0)*0.475*44/12</f>
        <v>1.8734253769749702</v>
      </c>
      <c r="AX30" s="21">
        <f t="shared" si="6"/>
        <v>14.096590939014591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22.2</v>
      </c>
      <c r="BD30" s="12">
        <f>IF('Données projet'!$A$88&gt;35,BD29+BC30-BL29,IF(A30&lt;'Données projet'!$A$88,$BA$205^A30,IF(A30='Données projet'!$A$88,'Données projet'!$B$88,BD29+BC30-BL29)))</f>
        <v>251.39999999999995</v>
      </c>
      <c r="BE30" s="13">
        <f>BD30*VLOOKUP('Données projet'!$B$11,Paramètres!$A$1:$I$89,3,0)*VLOOKUP('Données projet'!$B$11,Paramètres!$A$1:$I$89,5,0)</f>
        <v>120.92339999999999</v>
      </c>
      <c r="BF30" s="13">
        <f t="shared" si="37"/>
        <v>31.890271002959537</v>
      </c>
      <c r="BG30" s="20">
        <f t="shared" si="7"/>
        <v>266.15047699682117</v>
      </c>
      <c r="BH30" s="59">
        <f t="shared" si="8"/>
        <v>559.48381033015448</v>
      </c>
      <c r="BI30" s="59">
        <f ca="1">AVERAGE(OFFSET($BH$3,0,0,'Données projet'!$E$11+1,1))-AVERAGE(OFFSET($H$3,0,0,'Données projet'!$E$11+1,1))</f>
        <v>327.58421465651799</v>
      </c>
      <c r="BJ30" s="59">
        <f t="shared" si="38"/>
        <v>296.73904998640018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22.2</v>
      </c>
      <c r="N31" s="13">
        <f>IF('Données projet'!$A$36&gt;35,N30+M31-V30,IF(A31&lt;'Données projet'!$A$36,$K$205^A31,IF(A31='Données projet'!$A$36,'Données projet'!$B$36,N30+M31-V30)))</f>
        <v>276.59999999999991</v>
      </c>
      <c r="O31" s="13">
        <f>N31*VLOOKUP('Données projet'!$B$9,Paramètres!$A$1:$I$89,3,0)*VLOOKUP('Données projet'!$B$9,Paramètres!$A$1:$I$89,5,0)</f>
        <v>154.61939999999996</v>
      </c>
      <c r="P31" s="13">
        <f t="shared" si="33"/>
        <v>39.626500524372794</v>
      </c>
      <c r="Q31" s="20">
        <f t="shared" si="2"/>
        <v>338.31161007994922</v>
      </c>
      <c r="R31" s="59">
        <f t="shared" si="0"/>
        <v>631.64494341328259</v>
      </c>
      <c r="S31" s="59">
        <f ca="1">AVERAGE(OFFSET($R$3,0,0,'Données projet'!$E$9+1,1))-AVERAGE(OFFSET($H$3,0,0,'Données projet'!$E$9+1,1))</f>
        <v>356.67698551373468</v>
      </c>
      <c r="T31" s="59">
        <f t="shared" si="34"/>
        <v>353.21836615408171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10.251099545569179</v>
      </c>
      <c r="AB31" s="21">
        <f>EXP(-LN(2)/2)*AB30+(1-EXP(-LN(2)/2))/(LN(2)/2)*V31*Y31*VLOOKUP('Données projet'!$B$9,Paramètres!$A$1:$I$89,3,0)*0.475*44/12</f>
        <v>1.2460570256871744</v>
      </c>
      <c r="AC31" s="22">
        <f t="shared" si="3"/>
        <v>11.497156571256353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16.5</v>
      </c>
      <c r="AI31" s="13">
        <f>IF('Données projet'!$A$62&gt;35,AI30+AH31-AQ30,IF(A31&lt;'Données projet'!$A$62,$AF$205^A31,IF(A31='Données projet'!$A$62,'Données projet'!$B$62,AI30+AH31-AQ30)))</f>
        <v>230</v>
      </c>
      <c r="AJ31" s="13">
        <f>AI31*VLOOKUP('Données projet'!$B$10,Paramètres!$A$1:$I$89,3,0)*VLOOKUP('Données projet'!$B$10,Paramètres!$A$1:$I$89,5,0)</f>
        <v>143.51999999999998</v>
      </c>
      <c r="AK31" s="13">
        <f t="shared" si="35"/>
        <v>37.102218970378601</v>
      </c>
      <c r="AL31" s="20">
        <f t="shared" si="4"/>
        <v>314.583698040076</v>
      </c>
      <c r="AM31" s="59">
        <f t="shared" si="5"/>
        <v>607.91703137340937</v>
      </c>
      <c r="AN31" s="59">
        <f ca="1">AVERAGE(OFFSET($AM$3,0,0,'Données projet'!$E$10+1,1))-AVERAGE(OFFSET($H$3,0,0,'Données projet'!$E$10+1,1))</f>
        <v>285.77483300338548</v>
      </c>
      <c r="AO31" s="59">
        <f t="shared" si="36"/>
        <v>320.55212417690637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11.888922456957308</v>
      </c>
      <c r="AW31" s="21">
        <f>EXP(-LN(2)/2)*AW30+(1-EXP(-LN(2)/2))/(LN(2)/2)*AQ31*AT31*VLOOKUP('Données projet'!$B$10,Paramètres!$A$1:$I$89,3,0)*0.475*44/12</f>
        <v>1.3247117881059658</v>
      </c>
      <c r="AX31" s="21">
        <f t="shared" si="6"/>
        <v>13.213634245063274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22.2</v>
      </c>
      <c r="BD31" s="12">
        <f>IF('Données projet'!$A$88&gt;35,BD30+BC31-BL30,IF(A31&lt;'Données projet'!$A$88,$BA$205^A31,IF(A31='Données projet'!$A$88,'Données projet'!$B$88,BD30+BC31-BL30)))</f>
        <v>273.59999999999997</v>
      </c>
      <c r="BE31" s="13">
        <f>BD31*VLOOKUP('Données projet'!$B$11,Paramètres!$A$1:$I$89,3,0)*VLOOKUP('Données projet'!$B$11,Paramètres!$A$1:$I$89,5,0)</f>
        <v>131.60159999999999</v>
      </c>
      <c r="BF31" s="13">
        <f t="shared" si="37"/>
        <v>34.366177918726088</v>
      </c>
      <c r="BG31" s="20">
        <f t="shared" si="7"/>
        <v>289.06054654178126</v>
      </c>
      <c r="BH31" s="59">
        <f t="shared" si="8"/>
        <v>582.39387987511464</v>
      </c>
      <c r="BI31" s="59">
        <f ca="1">AVERAGE(OFFSET($BH$3,0,0,'Données projet'!$E$11+1,1))-AVERAGE(OFFSET($H$3,0,0,'Données projet'!$E$11+1,1))</f>
        <v>327.58421465651799</v>
      </c>
      <c r="BJ31" s="59">
        <f t="shared" si="38"/>
        <v>296.73904998640018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22.2</v>
      </c>
      <c r="N32" s="13">
        <f>IF('Données projet'!$A$36&gt;35,N31+M32-V31,IF(A32&lt;'Données projet'!$A$36,$K$205^A32,IF(A32='Données projet'!$A$36,'Données projet'!$B$36,N31+M32-V31)))</f>
        <v>298.7999999999999</v>
      </c>
      <c r="O32" s="13">
        <f>N32*VLOOKUP('Données projet'!$B$9,Paramètres!$A$1:$I$89,3,0)*VLOOKUP('Données projet'!$B$9,Paramètres!$A$1:$I$89,5,0)</f>
        <v>167.02919999999995</v>
      </c>
      <c r="P32" s="13">
        <f t="shared" si="33"/>
        <v>42.423982056168619</v>
      </c>
      <c r="Q32" s="20">
        <f t="shared" si="2"/>
        <v>364.79762541449355</v>
      </c>
      <c r="R32" s="59">
        <f t="shared" si="0"/>
        <v>658.13095874782687</v>
      </c>
      <c r="S32" s="59">
        <f ca="1">AVERAGE(OFFSET($R$3,0,0,'Données projet'!$E$9+1,1))-AVERAGE(OFFSET($H$3,0,0,'Données projet'!$E$9+1,1))</f>
        <v>356.67698551373468</v>
      </c>
      <c r="T32" s="59">
        <f t="shared" si="34"/>
        <v>353.21836615408171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9.9707826894136939</v>
      </c>
      <c r="AB32" s="21">
        <f>EXP(-LN(2)/2)*AB31+(1-EXP(-LN(2)/2))/(LN(2)/2)*V32*Y32*VLOOKUP('Données projet'!$B$9,Paramètres!$A$1:$I$89,3,0)*0.475*44/12</f>
        <v>0.88109537260854109</v>
      </c>
      <c r="AC32" s="22">
        <f t="shared" si="3"/>
        <v>10.851878062022235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16.5</v>
      </c>
      <c r="AI32" s="13">
        <f>IF('Données projet'!$A$62&gt;35,AI31+AH32-AQ31,IF(A32&lt;'Données projet'!$A$62,$AF$205^A32,IF(A32='Données projet'!$A$62,'Données projet'!$B$62,AI31+AH32-AQ31)))</f>
        <v>246.5</v>
      </c>
      <c r="AJ32" s="13">
        <f>AI32*VLOOKUP('Données projet'!$B$10,Paramètres!$A$1:$I$89,3,0)*VLOOKUP('Données projet'!$B$10,Paramètres!$A$1:$I$89,5,0)</f>
        <v>153.816</v>
      </c>
      <c r="AK32" s="13">
        <f t="shared" si="35"/>
        <v>39.444513325737063</v>
      </c>
      <c r="AL32" s="20">
        <f t="shared" si="4"/>
        <v>336.59539404232538</v>
      </c>
      <c r="AM32" s="59">
        <f t="shared" si="5"/>
        <v>629.9287273756587</v>
      </c>
      <c r="AN32" s="59">
        <f ca="1">AVERAGE(OFFSET($AM$3,0,0,'Données projet'!$E$10+1,1))-AVERAGE(OFFSET($H$3,0,0,'Données projet'!$E$10+1,1))</f>
        <v>285.77483300338548</v>
      </c>
      <c r="AO32" s="59">
        <f t="shared" si="36"/>
        <v>320.55212417690637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11.563819247160552</v>
      </c>
      <c r="AW32" s="21">
        <f>EXP(-LN(2)/2)*AW31+(1-EXP(-LN(2)/2))/(LN(2)/2)*AQ32*AT32*VLOOKUP('Données projet'!$B$10,Paramètres!$A$1:$I$89,3,0)*0.475*44/12</f>
        <v>0.93671268848748535</v>
      </c>
      <c r="AX32" s="21">
        <f t="shared" si="6"/>
        <v>12.500531935648038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22.2</v>
      </c>
      <c r="BD32" s="12">
        <f>IF('Données projet'!$A$88&gt;35,BD31+BC32-BL31,IF(A32&lt;'Données projet'!$A$88,$BA$205^A32,IF(A32='Données projet'!$A$88,'Données projet'!$B$88,BD31+BC32-BL31)))</f>
        <v>295.79999999999995</v>
      </c>
      <c r="BE32" s="13">
        <f>BD32*VLOOKUP('Données projet'!$B$11,Paramètres!$A$1:$I$89,3,0)*VLOOKUP('Données projet'!$B$11,Paramètres!$A$1:$I$89,5,0)</f>
        <v>142.27979999999999</v>
      </c>
      <c r="BF32" s="13">
        <f t="shared" si="37"/>
        <v>36.818783655794178</v>
      </c>
      <c r="BG32" s="20">
        <f t="shared" si="7"/>
        <v>311.93003320050815</v>
      </c>
      <c r="BH32" s="59">
        <f t="shared" si="8"/>
        <v>605.26336653384146</v>
      </c>
      <c r="BI32" s="59">
        <f ca="1">AVERAGE(OFFSET($BH$3,0,0,'Données projet'!$E$11+1,1))-AVERAGE(OFFSET($H$3,0,0,'Données projet'!$E$11+1,1))</f>
        <v>327.58421465651799</v>
      </c>
      <c r="BJ32" s="59">
        <f t="shared" si="38"/>
        <v>296.73904998640018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321</v>
      </c>
      <c r="L33" s="12">
        <f>VLOOKUP(A33,'Données projet'!$A$35:$I$55,9,0)</f>
        <v>22.2</v>
      </c>
      <c r="M33" s="12">
        <f t="array" ref="M33">INDEX(L:L,MIN(IF(ISNUMBER(L33:L229),ROW(L33:L229),"")))</f>
        <v>22.2</v>
      </c>
      <c r="N33" s="13">
        <f>IF('Données projet'!$A$36&gt;35,N32+M33-V32,IF(A33&lt;'Données projet'!$A$36,$K$205^A33,IF(A33='Données projet'!$A$36,'Données projet'!$B$36,N32+M33-V32)))</f>
        <v>320.99999999999989</v>
      </c>
      <c r="O33" s="13">
        <f>N33*VLOOKUP('Données projet'!$B$9,Paramètres!$A$1:$I$89,3,0)*VLOOKUP('Données projet'!$B$9,Paramètres!$A$1:$I$89,5,0)</f>
        <v>179.43899999999994</v>
      </c>
      <c r="P33" s="13">
        <f t="shared" si="33"/>
        <v>45.19735133639599</v>
      </c>
      <c r="Q33" s="20">
        <f t="shared" si="2"/>
        <v>391.24164524422287</v>
      </c>
      <c r="R33" s="59">
        <f t="shared" si="0"/>
        <v>684.57497857755618</v>
      </c>
      <c r="S33" s="59">
        <f ca="1">AVERAGE(OFFSET($R$3,0,0,'Données projet'!$E$9+1,1))-AVERAGE(OFFSET($H$3,0,0,'Données projet'!$E$9+1,1))</f>
        <v>356.67698551373468</v>
      </c>
      <c r="T33" s="59">
        <f t="shared" si="34"/>
        <v>353.21836615408171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112</v>
      </c>
      <c r="W33" s="16">
        <f>IF(ISNA(VLOOKUP(A33,'Données projet'!$A$35:$I$55,5,0)),0%,VLOOKUP(A33,'Données projet'!$A$35:$I$55,5,0)*VLOOKUP('Données projet'!$B$9,Paramètres!$A$1:$I$89,7,0))</f>
        <v>5.5000000000000007E-2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4.5679451084387308</v>
      </c>
      <c r="AA33" s="21">
        <f>EXP(-LN(2)/25)*AA32+(1-EXP(-LN(2)/25))/(LN(2)/25)*Calculateur!V33*Calculateur!X33*VLOOKUP('Données projet'!$B$9,Paramètres!$A$1:$I$89,3,0)*0.475*44/12</f>
        <v>30.172948268535706</v>
      </c>
      <c r="AB33" s="21">
        <f>EXP(-LN(2)/2)*AB32+(1-EXP(-LN(2)/2))/(LN(2)/2)*V33*Y33*VLOOKUP('Données projet'!$B$9,Paramètres!$A$1:$I$89,3,0)*0.475*44/12</f>
        <v>32.522088370435227</v>
      </c>
      <c r="AC33" s="22">
        <f t="shared" si="3"/>
        <v>67.262981747409668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263</v>
      </c>
      <c r="AG33" s="12">
        <f>VLOOKUP(A33,'Données projet'!$A$61:$I$81,9,0)</f>
        <v>16.5</v>
      </c>
      <c r="AH33" s="12">
        <f t="array" ref="AH33">INDEX(AG:AG,MIN(IF(ISNUMBER(AG33:AG229),ROW(AG33:AG229),"")))</f>
        <v>16.5</v>
      </c>
      <c r="AI33" s="13">
        <f>IF('Données projet'!$A$62&gt;35,AI32+AH33-AQ32,IF(A33&lt;'Données projet'!$A$62,$AF$205^A33,IF(A33='Données projet'!$A$62,'Données projet'!$B$62,AI32+AH33-AQ32)))</f>
        <v>263</v>
      </c>
      <c r="AJ33" s="13">
        <f>AI33*VLOOKUP('Données projet'!$B$10,Paramètres!$A$1:$I$89,3,0)*VLOOKUP('Données projet'!$B$10,Paramètres!$A$1:$I$89,5,0)</f>
        <v>164.11199999999999</v>
      </c>
      <c r="AK33" s="13">
        <f t="shared" si="35"/>
        <v>41.768614316008147</v>
      </c>
      <c r="AL33" s="20">
        <f t="shared" si="4"/>
        <v>358.57540326704753</v>
      </c>
      <c r="AM33" s="59">
        <f t="shared" si="5"/>
        <v>651.90873660038085</v>
      </c>
      <c r="AN33" s="59">
        <f ca="1">AVERAGE(OFFSET($AM$3,0,0,'Données projet'!$E$10+1,1))-AVERAGE(OFFSET($H$3,0,0,'Données projet'!$E$10+1,1))</f>
        <v>285.77483300338548</v>
      </c>
      <c r="AO33" s="59">
        <f t="shared" si="36"/>
        <v>320.55212417690637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84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8.3439842995582705</v>
      </c>
      <c r="AV33" s="21">
        <f>EXP(-LN(2)/25)*AV32+(1-EXP(-LN(2)/25))/(LN(2)/25)*Calculateur!AQ33*Calculateur!AS33*VLOOKUP('Données projet'!$B$10,Paramètres!$A$1:$I$89,3,0)*0.475*44/12</f>
        <v>27.869867709859399</v>
      </c>
      <c r="AW33" s="21">
        <f>EXP(-LN(2)/2)*AW32+(1-EXP(-LN(2)/2))/(LN(2)/2)*AQ33*AT33*VLOOKUP('Données projet'!$B$10,Paramètres!$A$1:$I$89,3,0)*0.475*44/12</f>
        <v>24.401191136911876</v>
      </c>
      <c r="AX33" s="21">
        <f t="shared" si="6"/>
        <v>60.615043146329548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318</v>
      </c>
      <c r="BB33" s="12">
        <f>VLOOKUP(A33,'Données projet'!$A$87:$I$107,9,0)</f>
        <v>22.2</v>
      </c>
      <c r="BC33" s="12">
        <f t="array" ref="BC33">INDEX(BB:BB,MIN(IF(ISNUMBER(BB33:BB229),ROW(BB33:BB229),"")))</f>
        <v>22.2</v>
      </c>
      <c r="BD33" s="12">
        <f>IF('Données projet'!$A$88&gt;35,BD32+BC33-BL32,IF(A33&lt;'Données projet'!$A$88,$BA$205^A33,IF(A33='Données projet'!$A$88,'Données projet'!$B$88,BD32+BC33-BL32)))</f>
        <v>317.99999999999994</v>
      </c>
      <c r="BE33" s="13">
        <f>BD33*VLOOKUP('Données projet'!$B$11,Paramètres!$A$1:$I$89,3,0)*VLOOKUP('Données projet'!$B$11,Paramètres!$A$1:$I$89,5,0)</f>
        <v>152.95799999999997</v>
      </c>
      <c r="BF33" s="13">
        <f t="shared" si="37"/>
        <v>39.250035833420867</v>
      </c>
      <c r="BG33" s="20">
        <f t="shared" si="7"/>
        <v>334.76232907654128</v>
      </c>
      <c r="BH33" s="59">
        <f t="shared" si="8"/>
        <v>628.09566240987465</v>
      </c>
      <c r="BI33" s="59">
        <f ca="1">AVERAGE(OFFSET($BH$3,0,0,'Données projet'!$E$11+1,1))-AVERAGE(OFFSET($H$3,0,0,'Données projet'!$E$11+1,1))</f>
        <v>327.58421465651799</v>
      </c>
      <c r="BJ33" s="59">
        <f t="shared" si="38"/>
        <v>296.73904998640018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96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6.738098432381384</v>
      </c>
      <c r="BQ33" s="21">
        <f>EXP(-LN(2)/25)*BQ32+(1-EXP(-LN(2)/25))/(LN(2)/25)*Calculateur!BL33*Calculateur!BN33*VLOOKUP('Données projet'!$B$11,Paramètres!$A$1:$I$89,3,0)*0.475*44/12</f>
        <v>13.423135942872628</v>
      </c>
      <c r="BR33" s="21">
        <f>EXP(-LN(2)/2)*BR32+(1-EXP(-LN(2)/2))/(LN(2)/2)*BL33*BO33*VLOOKUP('Données projet'!$B$11,Paramètres!$A$1:$I$89,3,0)*0.475*44/12</f>
        <v>20.912783428232835</v>
      </c>
      <c r="BS33" s="22">
        <f t="shared" si="9"/>
        <v>41.074017803486846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</v>
      </c>
      <c r="N34" s="13">
        <f>IF('Données projet'!$A$36&gt;35,N33+M34-V33,IF(A34&lt;'Données projet'!$A$36,$K$205^A34,IF(A34='Données projet'!$A$36,'Données projet'!$B$36,N33+M34-V33)))</f>
        <v>230.99999999999989</v>
      </c>
      <c r="O34" s="13">
        <f>N34*VLOOKUP('Données projet'!$B$9,Paramètres!$A$1:$I$89,3,0)*VLOOKUP('Données projet'!$B$9,Paramètres!$A$1:$I$89,5,0)</f>
        <v>129.12899999999993</v>
      </c>
      <c r="P34" s="13">
        <f t="shared" si="33"/>
        <v>33.795018128858409</v>
      </c>
      <c r="Q34" s="20">
        <f t="shared" si="2"/>
        <v>283.75933157442824</v>
      </c>
      <c r="R34" s="59">
        <f t="shared" si="0"/>
        <v>577.09266490776156</v>
      </c>
      <c r="S34" s="59">
        <f ca="1">AVERAGE(OFFSET($R$3,0,0,'Données projet'!$E$9+1,1))-AVERAGE(OFFSET($H$3,0,0,'Données projet'!$E$9+1,1))</f>
        <v>356.67698551373468</v>
      </c>
      <c r="T34" s="59">
        <f t="shared" si="34"/>
        <v>353.21836615408171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4.4783704910336519</v>
      </c>
      <c r="AA34" s="21">
        <f>EXP(-LN(2)/25)*AA33+(1-EXP(-LN(2)/25))/(LN(2)/25)*Calculateur!V34*Calculateur!X34*VLOOKUP('Données projet'!$B$9,Paramètres!$A$1:$I$89,3,0)*0.475*44/12</f>
        <v>29.347867411406209</v>
      </c>
      <c r="AB34" s="21">
        <f>EXP(-LN(2)/2)*AB33+(1-EXP(-LN(2)/2))/(LN(2)/2)*V34*Y34*VLOOKUP('Données projet'!$B$9,Paramètres!$A$1:$I$89,3,0)*0.475*44/12</f>
        <v>22.996589225082907</v>
      </c>
      <c r="AC34" s="22">
        <f t="shared" si="3"/>
        <v>56.822827127522771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15.1</v>
      </c>
      <c r="AI34" s="13">
        <f>IF('Données projet'!$A$62&gt;35,AI33+AH34-AQ33,IF(A34&lt;'Données projet'!$A$62,$AF$205^A34,IF(A34='Données projet'!$A$62,'Données projet'!$B$62,AI33+AH34-AQ33)))</f>
        <v>194.10000000000002</v>
      </c>
      <c r="AJ34" s="13">
        <f>AI34*VLOOKUP('Données projet'!$B$10,Paramètres!$A$1:$I$89,3,0)*VLOOKUP('Données projet'!$B$10,Paramètres!$A$1:$I$89,5,0)</f>
        <v>121.11840000000001</v>
      </c>
      <c r="AK34" s="13">
        <f t="shared" si="35"/>
        <v>31.935706725782151</v>
      </c>
      <c r="AL34" s="20">
        <f t="shared" si="4"/>
        <v>266.56923588073727</v>
      </c>
      <c r="AM34" s="59">
        <f t="shared" si="5"/>
        <v>559.90256921407058</v>
      </c>
      <c r="AN34" s="59">
        <f ca="1">AVERAGE(OFFSET($AM$3,0,0,'Données projet'!$E$10+1,1))-AVERAGE(OFFSET($H$3,0,0,'Données projet'!$E$10+1,1))</f>
        <v>285.77483300338548</v>
      </c>
      <c r="AO34" s="59">
        <f t="shared" si="36"/>
        <v>320.55212417690637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8.1803638567718266</v>
      </c>
      <c r="AV34" s="21">
        <f>EXP(-LN(2)/25)*AV33+(1-EXP(-LN(2)/25))/(LN(2)/25)*Calculateur!AQ34*Calculateur!AS34*VLOOKUP('Données projet'!$B$10,Paramètres!$A$1:$I$89,3,0)*0.475*44/12</f>
        <v>27.107764711720648</v>
      </c>
      <c r="AW34" s="21">
        <f>EXP(-LN(2)/2)*AW33+(1-EXP(-LN(2)/2))/(LN(2)/2)*AQ34*AT34*VLOOKUP('Données projet'!$B$10,Paramètres!$A$1:$I$89,3,0)*0.475*44/12</f>
        <v>17.254247721939471</v>
      </c>
      <c r="AX34" s="21">
        <f t="shared" si="6"/>
        <v>52.542376290431946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24.6</v>
      </c>
      <c r="BD34" s="12">
        <f>IF('Données projet'!$A$88&gt;35,BD33+BC34-BL33,IF(A34&lt;'Données projet'!$A$88,$BA$205^A34,IF(A34='Données projet'!$A$88,'Données projet'!$B$88,BD33+BC34-BL33)))</f>
        <v>246.59999999999997</v>
      </c>
      <c r="BE34" s="13">
        <f>BD34*VLOOKUP('Données projet'!$B$11,Paramètres!$A$1:$I$89,3,0)*VLOOKUP('Données projet'!$B$11,Paramètres!$A$1:$I$89,5,0)</f>
        <v>118.6146</v>
      </c>
      <c r="BF34" s="13">
        <f t="shared" si="37"/>
        <v>31.351659444786108</v>
      </c>
      <c r="BG34" s="20">
        <f t="shared" si="7"/>
        <v>261.19123519966905</v>
      </c>
      <c r="BH34" s="59">
        <f t="shared" si="8"/>
        <v>554.52456853300237</v>
      </c>
      <c r="BI34" s="59">
        <f ca="1">AVERAGE(OFFSET($BH$3,0,0,'Données projet'!$E$11+1,1))-AVERAGE(OFFSET($H$3,0,0,'Données projet'!$E$11+1,1))</f>
        <v>327.58421465651799</v>
      </c>
      <c r="BJ34" s="59">
        <f t="shared" si="38"/>
        <v>296.73904998640018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6.6059684319566161</v>
      </c>
      <c r="BQ34" s="21">
        <f>EXP(-LN(2)/25)*BQ33+(1-EXP(-LN(2)/25))/(LN(2)/25)*Calculateur!BL34*Calculateur!BN34*VLOOKUP('Données projet'!$B$11,Paramètres!$A$1:$I$89,3,0)*0.475*44/12</f>
        <v>13.056079584622736</v>
      </c>
      <c r="BR34" s="21">
        <f>EXP(-LN(2)/2)*BR33+(1-EXP(-LN(2)/2))/(LN(2)/2)*BL34*BO34*VLOOKUP('Données projet'!$B$11,Paramètres!$A$1:$I$89,3,0)*0.475*44/12</f>
        <v>14.787570975589093</v>
      </c>
      <c r="BS34" s="22">
        <f t="shared" si="9"/>
        <v>34.449618992168446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</v>
      </c>
      <c r="N35" s="13">
        <f>IF('Données projet'!$A$36&gt;35,N34+M35-V34,IF(A35&lt;'Données projet'!$A$36,$K$205^A35,IF(A35='Données projet'!$A$36,'Données projet'!$B$36,N34+M35-V34)))</f>
        <v>252.99999999999989</v>
      </c>
      <c r="O35" s="13">
        <f>N35*VLOOKUP('Données projet'!$B$9,Paramètres!$A$1:$I$89,3,0)*VLOOKUP('Données projet'!$B$9,Paramètres!$A$1:$I$89,5,0)</f>
        <v>141.42699999999994</v>
      </c>
      <c r="P35" s="13">
        <f t="shared" si="33"/>
        <v>36.62371795968599</v>
      </c>
      <c r="Q35" s="20">
        <f t="shared" ref="Q35:Q66" si="53">(O35+P35)*0.475*44/12</f>
        <v>310.10500044645295</v>
      </c>
      <c r="R35" s="59">
        <f t="shared" si="0"/>
        <v>603.43833377978626</v>
      </c>
      <c r="S35" s="59">
        <f ca="1">AVERAGE(OFFSET($R$3,0,0,'Données projet'!$E$9+1,1))-AVERAGE(OFFSET($H$3,0,0,'Données projet'!$E$9+1,1))</f>
        <v>356.67698551373468</v>
      </c>
      <c r="T35" s="59">
        <f t="shared" si="34"/>
        <v>353.21836615408171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4.3905523772407644</v>
      </c>
      <c r="AA35" s="21">
        <f>EXP(-LN(2)/25)*AA34+(1-EXP(-LN(2)/25))/(LN(2)/25)*Calculateur!V35*Calculateur!X35*VLOOKUP('Données projet'!$B$9,Paramètres!$A$1:$I$89,3,0)*0.475*44/12</f>
        <v>28.545348433704035</v>
      </c>
      <c r="AB35" s="21">
        <f>EXP(-LN(2)/2)*AB34+(1-EXP(-LN(2)/2))/(LN(2)/2)*V35*Y35*VLOOKUP('Données projet'!$B$9,Paramètres!$A$1:$I$89,3,0)*0.475*44/12</f>
        <v>16.261044185217617</v>
      </c>
      <c r="AC35" s="22">
        <f t="shared" si="3"/>
        <v>49.196944996162415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15.1</v>
      </c>
      <c r="AI35" s="13">
        <f>IF('Données projet'!$A$62&gt;35,AI34+AH35-AQ34,IF(A35&lt;'Données projet'!$A$62,$AF$205^A35,IF(A35='Données projet'!$A$62,'Données projet'!$B$62,AI34+AH35-AQ34)))</f>
        <v>209.20000000000002</v>
      </c>
      <c r="AJ35" s="13">
        <f>AI35*VLOOKUP('Données projet'!$B$10,Paramètres!$A$1:$I$89,3,0)*VLOOKUP('Données projet'!$B$10,Paramètres!$A$1:$I$89,5,0)</f>
        <v>130.54080000000002</v>
      </c>
      <c r="AK35" s="13">
        <f t="shared" si="35"/>
        <v>34.121292125762963</v>
      </c>
      <c r="AL35" s="20">
        <f t="shared" si="4"/>
        <v>286.78647711903716</v>
      </c>
      <c r="AM35" s="59">
        <f t="shared" si="5"/>
        <v>580.11981045237053</v>
      </c>
      <c r="AN35" s="59">
        <f ca="1">AVERAGE(OFFSET($AM$3,0,0,'Données projet'!$E$10+1,1))-AVERAGE(OFFSET($H$3,0,0,'Données projet'!$E$10+1,1))</f>
        <v>285.77483300338548</v>
      </c>
      <c r="AO35" s="59">
        <f t="shared" si="36"/>
        <v>320.55212417690637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8.0199519110698088</v>
      </c>
      <c r="AV35" s="21">
        <f>EXP(-LN(2)/25)*AV34+(1-EXP(-LN(2)/25))/(LN(2)/25)*Calculateur!AQ35*Calculateur!AS35*VLOOKUP('Données projet'!$B$10,Paramètres!$A$1:$I$89,3,0)*0.475*44/12</f>
        <v>26.366501460143258</v>
      </c>
      <c r="AW35" s="21">
        <f>EXP(-LN(2)/2)*AW34+(1-EXP(-LN(2)/2))/(LN(2)/2)*AQ35*AT35*VLOOKUP('Données projet'!$B$10,Paramètres!$A$1:$I$89,3,0)*0.475*44/12</f>
        <v>12.20059556845594</v>
      </c>
      <c r="AX35" s="21">
        <f t="shared" si="6"/>
        <v>46.587048939669003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24.6</v>
      </c>
      <c r="BD35" s="12">
        <f>IF('Données projet'!$A$88&gt;35,BD34+BC35-BL34,IF(A35&lt;'Données projet'!$A$88,$BA$205^A35,IF(A35='Données projet'!$A$88,'Données projet'!$B$88,BD34+BC35-BL34)))</f>
        <v>271.2</v>
      </c>
      <c r="BE35" s="13">
        <f>BD35*VLOOKUP('Données projet'!$B$11,Paramètres!$A$1:$I$89,3,0)*VLOOKUP('Données projet'!$B$11,Paramètres!$A$1:$I$89,5,0)</f>
        <v>130.44720000000001</v>
      </c>
      <c r="BF35" s="13">
        <f t="shared" si="37"/>
        <v>34.099673460219002</v>
      </c>
      <c r="BG35" s="20">
        <f t="shared" si="7"/>
        <v>286.58580460988145</v>
      </c>
      <c r="BH35" s="59">
        <f t="shared" si="8"/>
        <v>579.91913794321476</v>
      </c>
      <c r="BI35" s="59">
        <f ca="1">AVERAGE(OFFSET($BH$3,0,0,'Données projet'!$E$11+1,1))-AVERAGE(OFFSET($H$3,0,0,'Données projet'!$E$11+1,1))</f>
        <v>327.58421465651799</v>
      </c>
      <c r="BJ35" s="59">
        <f t="shared" si="38"/>
        <v>296.73904998640018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6.4764294202488353</v>
      </c>
      <c r="BQ35" s="21">
        <f>EXP(-LN(2)/25)*BQ34+(1-EXP(-LN(2)/25))/(LN(2)/25)*Calculateur!BL35*Calculateur!BN35*VLOOKUP('Données projet'!$B$11,Paramètres!$A$1:$I$89,3,0)*0.475*44/12</f>
        <v>12.699060401791842</v>
      </c>
      <c r="BR35" s="21">
        <f>EXP(-LN(2)/2)*BR34+(1-EXP(-LN(2)/2))/(LN(2)/2)*BL35*BO35*VLOOKUP('Données projet'!$B$11,Paramètres!$A$1:$I$89,3,0)*0.475*44/12</f>
        <v>10.456391714116418</v>
      </c>
      <c r="BS35" s="22">
        <f t="shared" si="9"/>
        <v>29.631881536157096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</v>
      </c>
      <c r="N36" s="13">
        <f>IF('Données projet'!$A$36&gt;35,N35+M36-V35,IF(A36&lt;'Données projet'!$A$36,$K$205^A36,IF(A36='Données projet'!$A$36,'Données projet'!$B$36,N35+M36-V35)))</f>
        <v>274.99999999999989</v>
      </c>
      <c r="O36" s="13">
        <f>N36*VLOOKUP('Données projet'!$B$9,Paramètres!$A$1:$I$89,3,0)*VLOOKUP('Données projet'!$B$9,Paramètres!$A$1:$I$89,5,0)</f>
        <v>153.72499999999994</v>
      </c>
      <c r="P36" s="13">
        <f t="shared" si="33"/>
        <v>39.423892922919691</v>
      </c>
      <c r="Q36" s="20">
        <f t="shared" si="53"/>
        <v>336.40098850741833</v>
      </c>
      <c r="R36" s="59">
        <f t="shared" si="0"/>
        <v>629.73432184075159</v>
      </c>
      <c r="S36" s="59">
        <f ca="1">AVERAGE(OFFSET($R$3,0,0,'Données projet'!$E$9+1,1))-AVERAGE(OFFSET($H$3,0,0,'Données projet'!$E$9+1,1))</f>
        <v>356.67698551373468</v>
      </c>
      <c r="T36" s="59">
        <f t="shared" si="34"/>
        <v>353.21836615408171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4.3044563230955957</v>
      </c>
      <c r="AA36" s="21">
        <f>EXP(-LN(2)/25)*AA35+(1-EXP(-LN(2)/25))/(LN(2)/25)*Calculateur!V36*Calculateur!X36*VLOOKUP('Données projet'!$B$9,Paramètres!$A$1:$I$89,3,0)*0.475*44/12</f>
        <v>27.764774379649765</v>
      </c>
      <c r="AB36" s="21">
        <f>EXP(-LN(2)/2)*AB35+(1-EXP(-LN(2)/2))/(LN(2)/2)*V36*Y36*VLOOKUP('Données projet'!$B$9,Paramètres!$A$1:$I$89,3,0)*0.475*44/12</f>
        <v>11.498294612541455</v>
      </c>
      <c r="AC36" s="22">
        <f t="shared" si="3"/>
        <v>43.567525315286815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15.1</v>
      </c>
      <c r="AI36" s="13">
        <f>IF('Données projet'!$A$62&gt;35,AI35+AH36-AQ35,IF(A36&lt;'Données projet'!$A$62,$AF$205^A36,IF(A36='Données projet'!$A$62,'Données projet'!$B$62,AI35+AH36-AQ35)))</f>
        <v>224.3</v>
      </c>
      <c r="AJ36" s="13">
        <f>AI36*VLOOKUP('Données projet'!$B$10,Paramètres!$A$1:$I$89,3,0)*VLOOKUP('Données projet'!$B$10,Paramètres!$A$1:$I$89,5,0)</f>
        <v>139.9632</v>
      </c>
      <c r="AK36" s="13">
        <f t="shared" si="35"/>
        <v>36.288575002787859</v>
      </c>
      <c r="AL36" s="20">
        <f t="shared" si="4"/>
        <v>306.97184146318881</v>
      </c>
      <c r="AM36" s="59">
        <f t="shared" si="5"/>
        <v>600.30517479652212</v>
      </c>
      <c r="AN36" s="59">
        <f ca="1">AVERAGE(OFFSET($AM$3,0,0,'Données projet'!$E$10+1,1))-AVERAGE(OFFSET($H$3,0,0,'Données projet'!$E$10+1,1))</f>
        <v>285.77483300338548</v>
      </c>
      <c r="AO36" s="59">
        <f t="shared" si="36"/>
        <v>320.55212417690637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7.8626855457813818</v>
      </c>
      <c r="AV36" s="21">
        <f>EXP(-LN(2)/25)*AV35+(1-EXP(-LN(2)/25))/(LN(2)/25)*Calculateur!AQ36*Calculateur!AS36*VLOOKUP('Données projet'!$B$10,Paramètres!$A$1:$I$89,3,0)*0.475*44/12</f>
        <v>25.645508091161592</v>
      </c>
      <c r="AW36" s="21">
        <f>EXP(-LN(2)/2)*AW35+(1-EXP(-LN(2)/2))/(LN(2)/2)*AQ36*AT36*VLOOKUP('Données projet'!$B$10,Paramètres!$A$1:$I$89,3,0)*0.475*44/12</f>
        <v>8.6271238609697356</v>
      </c>
      <c r="AX36" s="21">
        <f t="shared" si="6"/>
        <v>42.135317497912709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24.6</v>
      </c>
      <c r="BD36" s="12">
        <f>IF('Données projet'!$A$88&gt;35,BD35+BC36-BL35,IF(A36&lt;'Données projet'!$A$88,$BA$205^A36,IF(A36='Données projet'!$A$88,'Données projet'!$B$88,BD35+BC36-BL35)))</f>
        <v>295.8</v>
      </c>
      <c r="BE36" s="13">
        <f>BD36*VLOOKUP('Données projet'!$B$11,Paramètres!$A$1:$I$89,3,0)*VLOOKUP('Données projet'!$B$11,Paramètres!$A$1:$I$89,5,0)</f>
        <v>142.27979999999999</v>
      </c>
      <c r="BF36" s="13">
        <f t="shared" si="37"/>
        <v>36.818783655794178</v>
      </c>
      <c r="BG36" s="20">
        <f t="shared" si="7"/>
        <v>311.93003320050815</v>
      </c>
      <c r="BH36" s="59">
        <f t="shared" si="8"/>
        <v>605.26336653384146</v>
      </c>
      <c r="BI36" s="59">
        <f ca="1">AVERAGE(OFFSET($BH$3,0,0,'Données projet'!$E$11+1,1))-AVERAGE(OFFSET($H$3,0,0,'Données projet'!$E$11+1,1))</f>
        <v>327.58421465651799</v>
      </c>
      <c r="BJ36" s="59">
        <f t="shared" si="38"/>
        <v>296.73904998640018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6.349430589549649</v>
      </c>
      <c r="BQ36" s="21">
        <f>EXP(-LN(2)/25)*BQ35+(1-EXP(-LN(2)/25))/(LN(2)/25)*Calculateur!BL36*Calculateur!BN36*VLOOKUP('Données projet'!$B$11,Paramètres!$A$1:$I$89,3,0)*0.475*44/12</f>
        <v>12.351803927290282</v>
      </c>
      <c r="BR36" s="21">
        <f>EXP(-LN(2)/2)*BR35+(1-EXP(-LN(2)/2))/(LN(2)/2)*BL36*BO36*VLOOKUP('Données projet'!$B$11,Paramètres!$A$1:$I$89,3,0)*0.475*44/12</f>
        <v>7.3937854877945464</v>
      </c>
      <c r="BS36" s="22">
        <f t="shared" si="9"/>
        <v>26.095020004634478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</v>
      </c>
      <c r="N37" s="13">
        <f>IF('Données projet'!$A$36&gt;35,N36+M37-V36,IF(A37&lt;'Données projet'!$A$36,$K$205^A37,IF(A37='Données projet'!$A$36,'Données projet'!$B$36,N36+M37-V36)))</f>
        <v>296.99999999999989</v>
      </c>
      <c r="O37" s="13">
        <f>N37*VLOOKUP('Données projet'!$B$9,Paramètres!$A$1:$I$89,3,0)*VLOOKUP('Données projet'!$B$9,Paramètres!$A$1:$I$89,5,0)</f>
        <v>166.02299999999994</v>
      </c>
      <c r="P37" s="13">
        <f t="shared" si="33"/>
        <v>42.198084449395701</v>
      </c>
      <c r="Q37" s="20">
        <f t="shared" si="53"/>
        <v>362.6517220826974</v>
      </c>
      <c r="R37" s="59">
        <f t="shared" si="0"/>
        <v>655.98505541603072</v>
      </c>
      <c r="S37" s="59">
        <f ca="1">AVERAGE(OFFSET($R$3,0,0,'Données projet'!$E$9+1,1))-AVERAGE(OFFSET($H$3,0,0,'Données projet'!$E$9+1,1))</f>
        <v>356.67698551373468</v>
      </c>
      <c r="T37" s="59">
        <f t="shared" si="34"/>
        <v>353.21836615408171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4.2200485600588058</v>
      </c>
      <c r="AA37" s="21">
        <f>EXP(-LN(2)/25)*AA36+(1-EXP(-LN(2)/25))/(LN(2)/25)*Calculateur!V37*Calculateur!X37*VLOOKUP('Données projet'!$B$9,Paramètres!$A$1:$I$89,3,0)*0.475*44/12</f>
        <v>27.005545164152213</v>
      </c>
      <c r="AB37" s="21">
        <f>EXP(-LN(2)/2)*AB36+(1-EXP(-LN(2)/2))/(LN(2)/2)*V37*Y37*VLOOKUP('Données projet'!$B$9,Paramètres!$A$1:$I$89,3,0)*0.475*44/12</f>
        <v>8.1305220926088104</v>
      </c>
      <c r="AC37" s="22">
        <f t="shared" si="3"/>
        <v>39.35611581681983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15.1</v>
      </c>
      <c r="AI37" s="13">
        <f>IF('Données projet'!$A$62&gt;35,AI36+AH37-AQ36,IF(A37&lt;'Données projet'!$A$62,$AF$205^A37,IF(A37='Données projet'!$A$62,'Données projet'!$B$62,AI36+AH37-AQ36)))</f>
        <v>239.4</v>
      </c>
      <c r="AJ37" s="13">
        <f>AI37*VLOOKUP('Données projet'!$B$10,Paramètres!$A$1:$I$89,3,0)*VLOOKUP('Données projet'!$B$10,Paramètres!$A$1:$I$89,5,0)</f>
        <v>149.38559999999998</v>
      </c>
      <c r="AK37" s="13">
        <f t="shared" si="35"/>
        <v>38.438927680599591</v>
      </c>
      <c r="AL37" s="20">
        <f t="shared" si="4"/>
        <v>327.1277190437109</v>
      </c>
      <c r="AM37" s="59">
        <f t="shared" si="5"/>
        <v>620.46105237704421</v>
      </c>
      <c r="AN37" s="59">
        <f ca="1">AVERAGE(OFFSET($AM$3,0,0,'Données projet'!$E$10+1,1))-AVERAGE(OFFSET($H$3,0,0,'Données projet'!$E$10+1,1))</f>
        <v>285.77483300338548</v>
      </c>
      <c r="AO37" s="59">
        <f t="shared" si="36"/>
        <v>320.55212417690637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7.7085030779932495</v>
      </c>
      <c r="AV37" s="21">
        <f>EXP(-LN(2)/25)*AV36+(1-EXP(-LN(2)/25))/(LN(2)/25)*Calculateur!AQ37*Calculateur!AS37*VLOOKUP('Données projet'!$B$10,Paramètres!$A$1:$I$89,3,0)*0.475*44/12</f>
        <v>24.944230323770121</v>
      </c>
      <c r="AW37" s="21">
        <f>EXP(-LN(2)/2)*AW36+(1-EXP(-LN(2)/2))/(LN(2)/2)*AQ37*AT37*VLOOKUP('Données projet'!$B$10,Paramètres!$A$1:$I$89,3,0)*0.475*44/12</f>
        <v>6.10029778422797</v>
      </c>
      <c r="AX37" s="21">
        <f t="shared" si="6"/>
        <v>38.75303118599134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24.6</v>
      </c>
      <c r="BD37" s="12">
        <f>IF('Données projet'!$A$88&gt;35,BD36+BC37-BL36,IF(A37&lt;'Données projet'!$A$88,$BA$205^A37,IF(A37='Données projet'!$A$88,'Données projet'!$B$88,BD36+BC37-BL36)))</f>
        <v>320.40000000000003</v>
      </c>
      <c r="BE37" s="13">
        <f>BD37*VLOOKUP('Données projet'!$B$11,Paramètres!$A$1:$I$89,3,0)*VLOOKUP('Données projet'!$B$11,Paramètres!$A$1:$I$89,5,0)</f>
        <v>154.11240000000004</v>
      </c>
      <c r="BF37" s="13">
        <f t="shared" si="37"/>
        <v>39.511667083726039</v>
      </c>
      <c r="BG37" s="20">
        <f t="shared" si="7"/>
        <v>337.22858350415618</v>
      </c>
      <c r="BH37" s="59">
        <f t="shared" si="8"/>
        <v>630.56191683748943</v>
      </c>
      <c r="BI37" s="59">
        <f ca="1">AVERAGE(OFFSET($BH$3,0,0,'Données projet'!$E$11+1,1))-AVERAGE(OFFSET($H$3,0,0,'Données projet'!$E$11+1,1))</f>
        <v>327.58421465651799</v>
      </c>
      <c r="BJ37" s="59">
        <f t="shared" si="38"/>
        <v>296.73904998640018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6.2249221284588359</v>
      </c>
      <c r="BQ37" s="21">
        <f>EXP(-LN(2)/25)*BQ36+(1-EXP(-LN(2)/25))/(LN(2)/25)*Calculateur!BL37*Calculateur!BN37*VLOOKUP('Données projet'!$B$11,Paramètres!$A$1:$I$89,3,0)*0.475*44/12</f>
        <v>12.014043199345391</v>
      </c>
      <c r="BR37" s="21">
        <f>EXP(-LN(2)/2)*BR36+(1-EXP(-LN(2)/2))/(LN(2)/2)*BL37*BO37*VLOOKUP('Données projet'!$B$11,Paramètres!$A$1:$I$89,3,0)*0.475*44/12</f>
        <v>5.2281958570582088</v>
      </c>
      <c r="BS37" s="22">
        <f t="shared" si="9"/>
        <v>23.467161184862434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</v>
      </c>
      <c r="N38" s="13">
        <f>IF('Données projet'!$A$36&gt;35,N37+M38-V37,IF(A38&lt;'Données projet'!$A$36,$K$205^A38,IF(A38='Données projet'!$A$36,'Données projet'!$B$36,N37+M38-V37)))</f>
        <v>318.99999999999989</v>
      </c>
      <c r="O38" s="13">
        <f>N38*VLOOKUP('Données projet'!$B$9,Paramètres!$A$1:$I$89,3,0)*VLOOKUP('Données projet'!$B$9,Paramètres!$A$1:$I$89,5,0)</f>
        <v>178.32099999999994</v>
      </c>
      <c r="P38" s="13">
        <f t="shared" si="33"/>
        <v>44.948436103175418</v>
      </c>
      <c r="Q38" s="20">
        <f t="shared" si="53"/>
        <v>388.86093454636375</v>
      </c>
      <c r="R38" s="59">
        <f t="shared" si="0"/>
        <v>682.19426787969701</v>
      </c>
      <c r="S38" s="59">
        <f ca="1">AVERAGE(OFFSET($R$3,0,0,'Données projet'!$E$9+1,1))-AVERAGE(OFFSET($H$3,0,0,'Données projet'!$E$9+1,1))</f>
        <v>356.67698551373468</v>
      </c>
      <c r="T38" s="59">
        <f t="shared" si="34"/>
        <v>353.21836615408171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4.1372959817715156</v>
      </c>
      <c r="AA38" s="21">
        <f>EXP(-LN(2)/25)*AA37+(1-EXP(-LN(2)/25))/(LN(2)/25)*Calculateur!V38*Calculateur!X38*VLOOKUP('Données projet'!$B$9,Paramètres!$A$1:$I$89,3,0)*0.475*44/12</f>
        <v>26.267077111478574</v>
      </c>
      <c r="AB38" s="21">
        <f>EXP(-LN(2)/2)*AB37+(1-EXP(-LN(2)/2))/(LN(2)/2)*V38*Y38*VLOOKUP('Données projet'!$B$9,Paramètres!$A$1:$I$89,3,0)*0.475*44/12</f>
        <v>5.7491473062707286</v>
      </c>
      <c r="AC38" s="22">
        <f t="shared" si="3"/>
        <v>36.153520399520815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15.1</v>
      </c>
      <c r="AI38" s="13">
        <f>IF('Données projet'!$A$62&gt;35,AI37+AH38-AQ37,IF(A38&lt;'Données projet'!$A$62,$AF$205^A38,IF(A38='Données projet'!$A$62,'Données projet'!$B$62,AI37+AH38-AQ37)))</f>
        <v>254.5</v>
      </c>
      <c r="AJ38" s="13">
        <f>AI38*VLOOKUP('Données projet'!$B$10,Paramètres!$A$1:$I$89,3,0)*VLOOKUP('Données projet'!$B$10,Paramètres!$A$1:$I$89,5,0)</f>
        <v>158.80799999999999</v>
      </c>
      <c r="AK38" s="13">
        <f t="shared" si="35"/>
        <v>40.573539580413687</v>
      </c>
      <c r="AL38" s="20">
        <f t="shared" si="4"/>
        <v>347.25618143588719</v>
      </c>
      <c r="AM38" s="59">
        <f t="shared" si="5"/>
        <v>640.5895147692205</v>
      </c>
      <c r="AN38" s="59">
        <f ca="1">AVERAGE(OFFSET($AM$3,0,0,'Données projet'!$E$10+1,1))-AVERAGE(OFFSET($H$3,0,0,'Données projet'!$E$10+1,1))</f>
        <v>285.77483300338548</v>
      </c>
      <c r="AO38" s="59">
        <f t="shared" si="36"/>
        <v>320.55212417690637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7.5573440343564231</v>
      </c>
      <c r="AV38" s="21">
        <f>EXP(-LN(2)/25)*AV37+(1-EXP(-LN(2)/25))/(LN(2)/25)*Calculateur!AQ38*Calculateur!AS38*VLOOKUP('Données projet'!$B$10,Paramètres!$A$1:$I$89,3,0)*0.475*44/12</f>
        <v>24.262129033806566</v>
      </c>
      <c r="AW38" s="21">
        <f>EXP(-LN(2)/2)*AW37+(1-EXP(-LN(2)/2))/(LN(2)/2)*AQ38*AT38*VLOOKUP('Données projet'!$B$10,Paramètres!$A$1:$I$89,3,0)*0.475*44/12</f>
        <v>4.3135619304848678</v>
      </c>
      <c r="AX38" s="21">
        <f t="shared" si="6"/>
        <v>36.133034998647858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24.6</v>
      </c>
      <c r="BD38" s="12">
        <f>IF('Données projet'!$A$88&gt;35,BD37+BC38-BL37,IF(A38&lt;'Données projet'!$A$88,$BA$205^A38,IF(A38='Données projet'!$A$88,'Données projet'!$B$88,BD37+BC38-BL37)))</f>
        <v>345.00000000000006</v>
      </c>
      <c r="BE38" s="13">
        <f>BD38*VLOOKUP('Données projet'!$B$11,Paramètres!$A$1:$I$89,3,0)*VLOOKUP('Données projet'!$B$11,Paramètres!$A$1:$I$89,5,0)</f>
        <v>165.94500000000002</v>
      </c>
      <c r="BF38" s="13">
        <f t="shared" si="37"/>
        <v>42.180566362892314</v>
      </c>
      <c r="BG38" s="20">
        <f t="shared" si="7"/>
        <v>362.48536141537079</v>
      </c>
      <c r="BH38" s="59">
        <f t="shared" si="8"/>
        <v>655.81869474870405</v>
      </c>
      <c r="BI38" s="59">
        <f ca="1">AVERAGE(OFFSET($BH$3,0,0,'Données projet'!$E$11+1,1))-AVERAGE(OFFSET($H$3,0,0,'Données projet'!$E$11+1,1))</f>
        <v>327.58421465651799</v>
      </c>
      <c r="BJ38" s="59">
        <f t="shared" si="38"/>
        <v>296.73904998640018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6.1028552023473512</v>
      </c>
      <c r="BQ38" s="21">
        <f>EXP(-LN(2)/25)*BQ37+(1-EXP(-LN(2)/25))/(LN(2)/25)*Calculateur!BL38*Calculateur!BN38*VLOOKUP('Données projet'!$B$11,Paramètres!$A$1:$I$89,3,0)*0.475*44/12</f>
        <v>11.685518556268217</v>
      </c>
      <c r="BR38" s="21">
        <f>EXP(-LN(2)/2)*BR37+(1-EXP(-LN(2)/2))/(LN(2)/2)*BL38*BO38*VLOOKUP('Données projet'!$B$11,Paramètres!$A$1:$I$89,3,0)*0.475*44/12</f>
        <v>3.6968927438972732</v>
      </c>
      <c r="BS38" s="22">
        <f t="shared" si="9"/>
        <v>21.485266502512843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</v>
      </c>
      <c r="N39" s="13">
        <f>IF('Données projet'!$A$36&gt;35,N38+M39-V38,IF(A39&lt;'Données projet'!$A$36,$K$205^A39,IF(A39='Données projet'!$A$36,'Données projet'!$B$36,N38+M39-V38)))</f>
        <v>340.99999999999989</v>
      </c>
      <c r="O39" s="13">
        <f>N39*VLOOKUP('Données projet'!$B$9,Paramètres!$A$1:$I$89,3,0)*VLOOKUP('Données projet'!$B$9,Paramètres!$A$1:$I$89,5,0)</f>
        <v>190.61899999999991</v>
      </c>
      <c r="P39" s="13">
        <f t="shared" si="33"/>
        <v>47.676779045481801</v>
      </c>
      <c r="Q39" s="20">
        <f t="shared" si="53"/>
        <v>415.03181517088063</v>
      </c>
      <c r="R39" s="59">
        <f t="shared" si="0"/>
        <v>708.36514850421395</v>
      </c>
      <c r="S39" s="59">
        <f ca="1">AVERAGE(OFFSET($R$3,0,0,'Données projet'!$E$9+1,1))-AVERAGE(OFFSET($H$3,0,0,'Données projet'!$E$9+1,1))</f>
        <v>356.67698551373468</v>
      </c>
      <c r="T39" s="59">
        <f t="shared" si="34"/>
        <v>353.21836615408171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4.0561661310703503</v>
      </c>
      <c r="AA39" s="21">
        <f>EXP(-LN(2)/25)*AA38+(1-EXP(-LN(2)/25))/(LN(2)/25)*Calculateur!V39*Calculateur!X39*VLOOKUP('Données projet'!$B$9,Paramètres!$A$1:$I$89,3,0)*0.475*44/12</f>
        <v>25.548802506539641</v>
      </c>
      <c r="AB39" s="21">
        <f>EXP(-LN(2)/2)*AB38+(1-EXP(-LN(2)/2))/(LN(2)/2)*V39*Y39*VLOOKUP('Données projet'!$B$9,Paramètres!$A$1:$I$89,3,0)*0.475*44/12</f>
        <v>4.0652610463044052</v>
      </c>
      <c r="AC39" s="22">
        <f t="shared" si="3"/>
        <v>33.6702296839144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15.1</v>
      </c>
      <c r="AI39" s="13">
        <f>IF('Données projet'!$A$62&gt;35,AI38+AH39-AQ38,IF(A39&lt;'Données projet'!$A$62,$AF$205^A39,IF(A39='Données projet'!$A$62,'Données projet'!$B$62,AI38+AH39-AQ38)))</f>
        <v>269.60000000000002</v>
      </c>
      <c r="AJ39" s="13">
        <f>AI39*VLOOKUP('Données projet'!$B$10,Paramètres!$A$1:$I$89,3,0)*VLOOKUP('Données projet'!$B$10,Paramètres!$A$1:$I$89,5,0)</f>
        <v>168.23040000000003</v>
      </c>
      <c r="AK39" s="13">
        <f t="shared" si="35"/>
        <v>42.693451008292193</v>
      </c>
      <c r="AL39" s="20">
        <f t="shared" si="4"/>
        <v>367.3590405061089</v>
      </c>
      <c r="AM39" s="59">
        <f t="shared" si="5"/>
        <v>660.69237383944221</v>
      </c>
      <c r="AN39" s="59">
        <f ca="1">AVERAGE(OFFSET($AM$3,0,0,'Données projet'!$E$10+1,1))-AVERAGE(OFFSET($H$3,0,0,'Données projet'!$E$10+1,1))</f>
        <v>285.77483300338548</v>
      </c>
      <c r="AO39" s="59">
        <f t="shared" si="36"/>
        <v>320.55212417690637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7.4091491273674022</v>
      </c>
      <c r="AV39" s="21">
        <f>EXP(-LN(2)/25)*AV38+(1-EXP(-LN(2)/25))/(LN(2)/25)*Calculateur!AQ39*Calculateur!AS39*VLOOKUP('Données projet'!$B$10,Paramètres!$A$1:$I$89,3,0)*0.475*44/12</f>
        <v>23.598679839487211</v>
      </c>
      <c r="AW39" s="21">
        <f>EXP(-LN(2)/2)*AW38+(1-EXP(-LN(2)/2))/(LN(2)/2)*AQ39*AT39*VLOOKUP('Données projet'!$B$10,Paramètres!$A$1:$I$89,3,0)*0.475*44/12</f>
        <v>3.050148892113985</v>
      </c>
      <c r="AX39" s="21">
        <f t="shared" si="6"/>
        <v>34.057977858968599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24.6</v>
      </c>
      <c r="BD39" s="12">
        <f>IF('Données projet'!$A$88&gt;35,BD38+BC39-BL38,IF(A39&lt;'Données projet'!$A$88,$BA$205^A39,IF(A39='Données projet'!$A$88,'Données projet'!$B$88,BD38+BC39-BL38)))</f>
        <v>369.60000000000008</v>
      </c>
      <c r="BE39" s="13">
        <f>BD39*VLOOKUP('Données projet'!$B$11,Paramètres!$A$1:$I$89,3,0)*VLOOKUP('Données projet'!$B$11,Paramètres!$A$1:$I$89,5,0)</f>
        <v>177.77760000000006</v>
      </c>
      <c r="BF39" s="13">
        <f t="shared" si="37"/>
        <v>44.827386173754917</v>
      </c>
      <c r="BG39" s="20">
        <f t="shared" si="7"/>
        <v>387.7036842526233</v>
      </c>
      <c r="BH39" s="59">
        <f t="shared" si="8"/>
        <v>681.03701758595662</v>
      </c>
      <c r="BI39" s="59">
        <f ca="1">AVERAGE(OFFSET($BH$3,0,0,'Données projet'!$E$11+1,1))-AVERAGE(OFFSET($H$3,0,0,'Données projet'!$E$11+1,1))</f>
        <v>327.58421465651799</v>
      </c>
      <c r="BJ39" s="59">
        <f t="shared" si="38"/>
        <v>296.73904998640018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5.9831819342034391</v>
      </c>
      <c r="BQ39" s="21">
        <f>EXP(-LN(2)/25)*BQ38+(1-EXP(-LN(2)/25))/(LN(2)/25)*Calculateur!BL39*Calculateur!BN39*VLOOKUP('Données projet'!$B$11,Paramètres!$A$1:$I$89,3,0)*0.475*44/12</f>
        <v>11.365977436832349</v>
      </c>
      <c r="BR39" s="21">
        <f>EXP(-LN(2)/2)*BR38+(1-EXP(-LN(2)/2))/(LN(2)/2)*BL39*BO39*VLOOKUP('Données projet'!$B$11,Paramètres!$A$1:$I$89,3,0)*0.475*44/12</f>
        <v>2.6140979285291044</v>
      </c>
      <c r="BS39" s="22">
        <f t="shared" si="9"/>
        <v>19.963257299564894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</v>
      </c>
      <c r="N40" s="13">
        <f>IF('Données projet'!$A$36&gt;35,N39+M40-V39,IF(A40&lt;'Données projet'!$A$36,$K$205^A40,IF(A40='Données projet'!$A$36,'Données projet'!$B$36,N39+M40-V39)))</f>
        <v>362.99999999999989</v>
      </c>
      <c r="O40" s="13">
        <f>N40*VLOOKUP('Données projet'!$B$9,Paramètres!$A$1:$I$89,3,0)*VLOOKUP('Données projet'!$B$9,Paramètres!$A$1:$I$89,5,0)</f>
        <v>202.91699999999994</v>
      </c>
      <c r="P40" s="13">
        <f t="shared" si="33"/>
        <v>50.384694798587844</v>
      </c>
      <c r="Q40" s="20">
        <f t="shared" si="53"/>
        <v>441.16711844087371</v>
      </c>
      <c r="R40" s="59">
        <f t="shared" si="0"/>
        <v>734.50045177420702</v>
      </c>
      <c r="S40" s="59">
        <f ca="1">AVERAGE(OFFSET($R$3,0,0,'Données projet'!$E$9+1,1))-AVERAGE(OFFSET($H$3,0,0,'Données projet'!$E$9+1,1))</f>
        <v>356.67698551373468</v>
      </c>
      <c r="T40" s="59">
        <f t="shared" si="34"/>
        <v>353.21836615408171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3.9766271872571117</v>
      </c>
      <c r="AA40" s="21">
        <f>EXP(-LN(2)/25)*AA39+(1-EXP(-LN(2)/25))/(LN(2)/25)*Calculateur!V40*Calculateur!X40*VLOOKUP('Données projet'!$B$9,Paramètres!$A$1:$I$89,3,0)*0.475*44/12</f>
        <v>24.850169158445183</v>
      </c>
      <c r="AB40" s="21">
        <f>EXP(-LN(2)/2)*AB39+(1-EXP(-LN(2)/2))/(LN(2)/2)*V40*Y40*VLOOKUP('Données projet'!$B$9,Paramètres!$A$1:$I$89,3,0)*0.475*44/12</f>
        <v>2.8745736531353643</v>
      </c>
      <c r="AC40" s="22">
        <f t="shared" si="3"/>
        <v>31.701369998837659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15.1</v>
      </c>
      <c r="AI40" s="13">
        <f>IF('Données projet'!$A$62&gt;35,AI39+AH40-AQ39,IF(A40&lt;'Données projet'!$A$62,$AF$205^A40,IF(A40='Données projet'!$A$62,'Données projet'!$B$62,AI39+AH40-AQ39)))</f>
        <v>284.70000000000005</v>
      </c>
      <c r="AJ40" s="13">
        <f>AI40*VLOOKUP('Données projet'!$B$10,Paramètres!$A$1:$I$89,3,0)*VLOOKUP('Données projet'!$B$10,Paramètres!$A$1:$I$89,5,0)</f>
        <v>177.65280000000001</v>
      </c>
      <c r="AK40" s="13">
        <f t="shared" si="35"/>
        <v>44.799579155749747</v>
      </c>
      <c r="AL40" s="20">
        <f t="shared" si="4"/>
        <v>387.43789369626415</v>
      </c>
      <c r="AM40" s="59">
        <f t="shared" si="5"/>
        <v>680.77122702959741</v>
      </c>
      <c r="AN40" s="59">
        <f ca="1">AVERAGE(OFFSET($AM$3,0,0,'Données projet'!$E$10+1,1))-AVERAGE(OFFSET($H$3,0,0,'Données projet'!$E$10+1,1))</f>
        <v>285.77483300338548</v>
      </c>
      <c r="AO40" s="59">
        <f t="shared" si="36"/>
        <v>320.55212417690637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7.2638602321144674</v>
      </c>
      <c r="AV40" s="21">
        <f>EXP(-LN(2)/25)*AV39+(1-EXP(-LN(2)/25))/(LN(2)/25)*Calculateur!AQ40*Calculateur!AS40*VLOOKUP('Données projet'!$B$10,Paramètres!$A$1:$I$89,3,0)*0.475*44/12</f>
        <v>22.953372698275796</v>
      </c>
      <c r="AW40" s="21">
        <f>EXP(-LN(2)/2)*AW39+(1-EXP(-LN(2)/2))/(LN(2)/2)*AQ40*AT40*VLOOKUP('Données projet'!$B$10,Paramètres!$A$1:$I$89,3,0)*0.475*44/12</f>
        <v>2.1567809652424339</v>
      </c>
      <c r="AX40" s="21">
        <f t="shared" si="6"/>
        <v>32.3740138956327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24.6</v>
      </c>
      <c r="BD40" s="12">
        <f>IF('Données projet'!$A$88&gt;35,BD39+BC40-BL39,IF(A40&lt;'Données projet'!$A$88,$BA$205^A40,IF(A40='Données projet'!$A$88,'Données projet'!$B$88,BD39+BC40-BL39)))</f>
        <v>394.2000000000001</v>
      </c>
      <c r="BE40" s="13">
        <f>BD40*VLOOKUP('Données projet'!$B$11,Paramètres!$A$1:$I$89,3,0)*VLOOKUP('Données projet'!$B$11,Paramètres!$A$1:$I$89,5,0)</f>
        <v>189.61020000000005</v>
      </c>
      <c r="BF40" s="13">
        <f t="shared" si="37"/>
        <v>47.45376330786209</v>
      </c>
      <c r="BG40" s="20">
        <f t="shared" si="7"/>
        <v>412.88640276119321</v>
      </c>
      <c r="BH40" s="59">
        <f t="shared" si="8"/>
        <v>706.21973609452652</v>
      </c>
      <c r="BI40" s="59">
        <f ca="1">AVERAGE(OFFSET($BH$3,0,0,'Données projet'!$E$11+1,1))-AVERAGE(OFFSET($H$3,0,0,'Données projet'!$E$11+1,1))</f>
        <v>327.58421465651799</v>
      </c>
      <c r="BJ40" s="59">
        <f t="shared" si="38"/>
        <v>296.73904998640018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5.865855385854343</v>
      </c>
      <c r="BQ40" s="21">
        <f>EXP(-LN(2)/25)*BQ39+(1-EXP(-LN(2)/25))/(LN(2)/25)*Calculateur!BL40*Calculateur!BN40*VLOOKUP('Données projet'!$B$11,Paramètres!$A$1:$I$89,3,0)*0.475*44/12</f>
        <v>11.055174186111392</v>
      </c>
      <c r="BR40" s="21">
        <f>EXP(-LN(2)/2)*BR39+(1-EXP(-LN(2)/2))/(LN(2)/2)*BL40*BO40*VLOOKUP('Données projet'!$B$11,Paramètres!$A$1:$I$89,3,0)*0.475*44/12</f>
        <v>1.8484463719486366</v>
      </c>
      <c r="BS40" s="22">
        <f t="shared" si="9"/>
        <v>18.769475943914372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</v>
      </c>
      <c r="N41" s="13">
        <f>IF('Données projet'!$A$36&gt;35,N40+M41-V40,IF(A41&lt;'Données projet'!$A$36,$K$205^A41,IF(A41='Données projet'!$A$36,'Données projet'!$B$36,N40+M41-V40)))</f>
        <v>384.99999999999989</v>
      </c>
      <c r="O41" s="13">
        <f>N41*VLOOKUP('Données projet'!$B$9,Paramètres!$A$1:$I$89,3,0)*VLOOKUP('Données projet'!$B$9,Paramètres!$A$1:$I$89,5,0)</f>
        <v>215.21499999999995</v>
      </c>
      <c r="P41" s="13">
        <f t="shared" si="33"/>
        <v>53.073562353518611</v>
      </c>
      <c r="Q41" s="20">
        <f t="shared" si="53"/>
        <v>467.26924609904478</v>
      </c>
      <c r="R41" s="59">
        <f t="shared" si="0"/>
        <v>760.60257943237809</v>
      </c>
      <c r="S41" s="59">
        <f ca="1">AVERAGE(OFFSET($R$3,0,0,'Données projet'!$E$9+1,1))-AVERAGE(OFFSET($H$3,0,0,'Données projet'!$E$9+1,1))</f>
        <v>356.67698551373468</v>
      </c>
      <c r="T41" s="59">
        <f t="shared" si="34"/>
        <v>353.21836615408171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3.8986479536180854</v>
      </c>
      <c r="AA41" s="21">
        <f>EXP(-LN(2)/25)*AA40+(1-EXP(-LN(2)/25))/(LN(2)/25)*Calculateur!V41*Calculateur!X41*VLOOKUP('Données projet'!$B$9,Paramètres!$A$1:$I$89,3,0)*0.475*44/12</f>
        <v>24.1706399759939</v>
      </c>
      <c r="AB41" s="21">
        <f>EXP(-LN(2)/2)*AB40+(1-EXP(-LN(2)/2))/(LN(2)/2)*V41*Y41*VLOOKUP('Données projet'!$B$9,Paramètres!$A$1:$I$89,3,0)*0.475*44/12</f>
        <v>2.0326305231522026</v>
      </c>
      <c r="AC41" s="22">
        <f t="shared" si="3"/>
        <v>30.101918452764188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15.1</v>
      </c>
      <c r="AI41" s="13">
        <f>IF('Données projet'!$A$62&gt;35,AI40+AH41-AQ40,IF(A41&lt;'Données projet'!$A$62,$AF$205^A41,IF(A41='Données projet'!$A$62,'Données projet'!$B$62,AI40+AH41-AQ40)))</f>
        <v>299.80000000000007</v>
      </c>
      <c r="AJ41" s="13">
        <f>AI41*VLOOKUP('Données projet'!$B$10,Paramètres!$A$1:$I$89,3,0)*VLOOKUP('Données projet'!$B$10,Paramètres!$A$1:$I$89,5,0)</f>
        <v>187.07520000000005</v>
      </c>
      <c r="AK41" s="13">
        <f t="shared" si="35"/>
        <v>46.892738426785456</v>
      </c>
      <c r="AL41" s="20">
        <f t="shared" si="4"/>
        <v>407.49415942665138</v>
      </c>
      <c r="AM41" s="59">
        <f t="shared" si="5"/>
        <v>700.82749275998469</v>
      </c>
      <c r="AN41" s="59">
        <f ca="1">AVERAGE(OFFSET($AM$3,0,0,'Données projet'!$E$10+1,1))-AVERAGE(OFFSET($H$3,0,0,'Données projet'!$E$10+1,1))</f>
        <v>285.77483300338548</v>
      </c>
      <c r="AO41" s="59">
        <f t="shared" si="36"/>
        <v>320.55212417690637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7.1214203634799667</v>
      </c>
      <c r="AV41" s="21">
        <f>EXP(-LN(2)/25)*AV40+(1-EXP(-LN(2)/25))/(LN(2)/25)*Calculateur!AQ41*Calculateur!AS41*VLOOKUP('Données projet'!$B$10,Paramètres!$A$1:$I$89,3,0)*0.475*44/12</f>
        <v>22.325711514776035</v>
      </c>
      <c r="AW41" s="21">
        <f>EXP(-LN(2)/2)*AW40+(1-EXP(-LN(2)/2))/(LN(2)/2)*AQ41*AT41*VLOOKUP('Données projet'!$B$10,Paramètres!$A$1:$I$89,3,0)*0.475*44/12</f>
        <v>1.5250744460569925</v>
      </c>
      <c r="AX41" s="21">
        <f t="shared" si="6"/>
        <v>30.972206324312996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24.6</v>
      </c>
      <c r="BD41" s="12">
        <f>IF('Données projet'!$A$88&gt;35,BD40+BC41-BL40,IF(A41&lt;'Données projet'!$A$88,$BA$205^A41,IF(A41='Données projet'!$A$88,'Données projet'!$B$88,BD40+BC41-BL40)))</f>
        <v>418.80000000000013</v>
      </c>
      <c r="BE41" s="13">
        <f>BD41*VLOOKUP('Données projet'!$B$11,Paramètres!$A$1:$I$89,3,0)*VLOOKUP('Données projet'!$B$11,Paramètres!$A$1:$I$89,5,0)</f>
        <v>201.44280000000006</v>
      </c>
      <c r="BF41" s="13">
        <f t="shared" si="37"/>
        <v>50.061118723064368</v>
      </c>
      <c r="BG41" s="20">
        <f t="shared" si="7"/>
        <v>438.03599177600387</v>
      </c>
      <c r="BH41" s="59">
        <f t="shared" si="8"/>
        <v>731.36932510933718</v>
      </c>
      <c r="BI41" s="59">
        <f ca="1">AVERAGE(OFFSET($BH$3,0,0,'Données projet'!$E$11+1,1))-AVERAGE(OFFSET($H$3,0,0,'Données projet'!$E$11+1,1))</f>
        <v>327.58421465651799</v>
      </c>
      <c r="BJ41" s="59">
        <f t="shared" si="38"/>
        <v>296.73904998640018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5.7508295395562445</v>
      </c>
      <c r="BQ41" s="21">
        <f>EXP(-LN(2)/25)*BQ40+(1-EXP(-LN(2)/25))/(LN(2)/25)*Calculateur!BL41*Calculateur!BN41*VLOOKUP('Données projet'!$B$11,Paramètres!$A$1:$I$89,3,0)*0.475*44/12</f>
        <v>10.752869866625833</v>
      </c>
      <c r="BR41" s="21">
        <f>EXP(-LN(2)/2)*BR40+(1-EXP(-LN(2)/2))/(LN(2)/2)*BL41*BO41*VLOOKUP('Données projet'!$B$11,Paramètres!$A$1:$I$89,3,0)*0.475*44/12</f>
        <v>1.3070489642645522</v>
      </c>
      <c r="BS41" s="22">
        <f t="shared" si="9"/>
        <v>17.810748370446632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</v>
      </c>
      <c r="N42" s="13">
        <f>IF('Données projet'!$A$36&gt;35,N41+M42-V41,IF(A42&lt;'Données projet'!$A$36,$K$205^A42,IF(A42='Données projet'!$A$36,'Données projet'!$B$36,N41+M42-V41)))</f>
        <v>406.99999999999989</v>
      </c>
      <c r="O42" s="13">
        <f>N42*VLOOKUP('Données projet'!$B$9,Paramètres!$A$1:$I$89,3,0)*VLOOKUP('Données projet'!$B$9,Paramètres!$A$1:$I$89,5,0)</f>
        <v>227.51299999999995</v>
      </c>
      <c r="P42" s="13">
        <f t="shared" si="33"/>
        <v>55.744594200664011</v>
      </c>
      <c r="Q42" s="20">
        <f t="shared" si="53"/>
        <v>493.34030989948968</v>
      </c>
      <c r="R42" s="59">
        <f t="shared" si="0"/>
        <v>786.673643232823</v>
      </c>
      <c r="S42" s="59">
        <f ca="1">AVERAGE(OFFSET($R$3,0,0,'Données projet'!$E$9+1,1))-AVERAGE(OFFSET($H$3,0,0,'Données projet'!$E$9+1,1))</f>
        <v>356.67698551373468</v>
      </c>
      <c r="T42" s="59">
        <f t="shared" si="34"/>
        <v>353.21836615408171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3.8221978451880845</v>
      </c>
      <c r="AA42" s="21">
        <f>EXP(-LN(2)/25)*AA41+(1-EXP(-LN(2)/25))/(LN(2)/25)*Calculateur!V42*Calculateur!X42*VLOOKUP('Données projet'!$B$9,Paramètres!$A$1:$I$89,3,0)*0.475*44/12</f>
        <v>23.509692554771632</v>
      </c>
      <c r="AB42" s="21">
        <f>EXP(-LN(2)/2)*AB41+(1-EXP(-LN(2)/2))/(LN(2)/2)*V42*Y42*VLOOKUP('Données projet'!$B$9,Paramètres!$A$1:$I$89,3,0)*0.475*44/12</f>
        <v>1.4372868265676821</v>
      </c>
      <c r="AC42" s="22">
        <f t="shared" si="3"/>
        <v>28.7691772265274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15.1</v>
      </c>
      <c r="AI42" s="13">
        <f>IF('Données projet'!$A$62&gt;35,AI41+AH42-AQ41,IF(A42&lt;'Données projet'!$A$62,$AF$205^A42,IF(A42='Données projet'!$A$62,'Données projet'!$B$62,AI41+AH42-AQ41)))</f>
        <v>314.90000000000009</v>
      </c>
      <c r="AJ42" s="13">
        <f>AI42*VLOOKUP('Données projet'!$B$10,Paramètres!$A$1:$I$89,3,0)*VLOOKUP('Données projet'!$B$10,Paramètres!$A$1:$I$89,5,0)</f>
        <v>196.49760000000006</v>
      </c>
      <c r="AK42" s="13">
        <f t="shared" si="35"/>
        <v>48.973656553237205</v>
      </c>
      <c r="AL42" s="20">
        <f t="shared" si="4"/>
        <v>427.5291051635549</v>
      </c>
      <c r="AM42" s="59">
        <f t="shared" si="5"/>
        <v>720.86243849688822</v>
      </c>
      <c r="AN42" s="59">
        <f ca="1">AVERAGE(OFFSET($AM$3,0,0,'Données projet'!$E$10+1,1))-AVERAGE(OFFSET($H$3,0,0,'Données projet'!$E$10+1,1))</f>
        <v>285.77483300338548</v>
      </c>
      <c r="AO42" s="59">
        <f t="shared" si="36"/>
        <v>320.55212417690637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6.9817736537896478</v>
      </c>
      <c r="AV42" s="21">
        <f>EXP(-LN(2)/25)*AV41+(1-EXP(-LN(2)/25))/(LN(2)/25)*Calculateur!AQ42*Calculateur!AS42*VLOOKUP('Données projet'!$B$10,Paramètres!$A$1:$I$89,3,0)*0.475*44/12</f>
        <v>21.715213759346341</v>
      </c>
      <c r="AW42" s="21">
        <f>EXP(-LN(2)/2)*AW41+(1-EXP(-LN(2)/2))/(LN(2)/2)*AQ42*AT42*VLOOKUP('Données projet'!$B$10,Paramètres!$A$1:$I$89,3,0)*0.475*44/12</f>
        <v>1.078390482621217</v>
      </c>
      <c r="AX42" s="21">
        <f t="shared" si="6"/>
        <v>29.775377895757206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24.6</v>
      </c>
      <c r="BD42" s="12">
        <f>IF('Données projet'!$A$88&gt;35,BD41+BC42-BL41,IF(A42&lt;'Données projet'!$A$88,$BA$205^A42,IF(A42='Données projet'!$A$88,'Données projet'!$B$88,BD41+BC42-BL41)))</f>
        <v>443.40000000000015</v>
      </c>
      <c r="BE42" s="13">
        <f>BD42*VLOOKUP('Données projet'!$B$11,Paramètres!$A$1:$I$89,3,0)*VLOOKUP('Données projet'!$B$11,Paramètres!$A$1:$I$89,5,0)</f>
        <v>213.27540000000008</v>
      </c>
      <c r="BF42" s="13">
        <f t="shared" si="37"/>
        <v>52.650697015169015</v>
      </c>
      <c r="BG42" s="20">
        <f t="shared" si="7"/>
        <v>463.15461896808614</v>
      </c>
      <c r="BH42" s="59">
        <f t="shared" si="8"/>
        <v>756.48795230141945</v>
      </c>
      <c r="BI42" s="59">
        <f ca="1">AVERAGE(OFFSET($BH$3,0,0,'Données projet'!$E$11+1,1))-AVERAGE(OFFSET($H$3,0,0,'Données projet'!$E$11+1,1))</f>
        <v>327.58421465651799</v>
      </c>
      <c r="BJ42" s="59">
        <f t="shared" si="38"/>
        <v>296.73904998640018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5.6380592799452129</v>
      </c>
      <c r="BQ42" s="21">
        <f>EXP(-LN(2)/25)*BQ41+(1-EXP(-LN(2)/25))/(LN(2)/25)*Calculateur!BL42*Calculateur!BN42*VLOOKUP('Données projet'!$B$11,Paramètres!$A$1:$I$89,3,0)*0.475*44/12</f>
        <v>10.458832074654099</v>
      </c>
      <c r="BR42" s="21">
        <f>EXP(-LN(2)/2)*BR41+(1-EXP(-LN(2)/2))/(LN(2)/2)*BL42*BO42*VLOOKUP('Données projet'!$B$11,Paramètres!$A$1:$I$89,3,0)*0.475*44/12</f>
        <v>0.9242231859743183</v>
      </c>
      <c r="BS42" s="22">
        <f t="shared" si="9"/>
        <v>17.021114540573631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429</v>
      </c>
      <c r="L43" s="12">
        <f>VLOOKUP(A43,'Données projet'!$A$35:$I$55,9,0)</f>
        <v>22</v>
      </c>
      <c r="M43" s="12">
        <f t="array" ref="M43">INDEX(L:L,MIN(IF(ISNUMBER(L43:L239),ROW(L43:L239),"")))</f>
        <v>22</v>
      </c>
      <c r="N43" s="13">
        <f>IF('Données projet'!$A$36&gt;35,N42+M43-V42,IF(A43&lt;'Données projet'!$A$36,$K$205^A43,IF(A43='Données projet'!$A$36,'Données projet'!$B$36,N42+M43-V42)))</f>
        <v>428.99999999999989</v>
      </c>
      <c r="O43" s="13">
        <f>N43*VLOOKUP('Données projet'!$B$9,Paramètres!$A$1:$I$89,3,0)*VLOOKUP('Données projet'!$B$9,Paramètres!$A$1:$I$89,5,0)</f>
        <v>239.81099999999992</v>
      </c>
      <c r="P43" s="13">
        <f t="shared" si="33"/>
        <v>58.398864347229804</v>
      </c>
      <c r="Q43" s="20">
        <f t="shared" si="53"/>
        <v>519.3821804047584</v>
      </c>
      <c r="R43" s="59">
        <f t="shared" si="0"/>
        <v>812.71551373809166</v>
      </c>
      <c r="S43" s="59">
        <f ca="1">AVERAGE(OFFSET($R$3,0,0,'Données projet'!$E$9+1,1))-AVERAGE(OFFSET($H$3,0,0,'Données projet'!$E$9+1,1))</f>
        <v>356.67698551373468</v>
      </c>
      <c r="T43" s="59">
        <f t="shared" si="34"/>
        <v>353.21836615408171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112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3.747246876754434</v>
      </c>
      <c r="AA43" s="21">
        <f>EXP(-LN(2)/25)*AA42+(1-EXP(-LN(2)/25))/(LN(2)/25)*Calculateur!V43*Calculateur!X43*VLOOKUP('Données projet'!$B$9,Paramètres!$A$1:$I$89,3,0)*0.475*44/12</f>
        <v>22.866818775540402</v>
      </c>
      <c r="AB43" s="21">
        <f>EXP(-LN(2)/2)*AB42+(1-EXP(-LN(2)/2))/(LN(2)/2)*V43*Y43*VLOOKUP('Données projet'!$B$9,Paramètres!$A$1:$I$89,3,0)*0.475*44/12</f>
        <v>1.0163152615761013</v>
      </c>
      <c r="AC43" s="22">
        <f t="shared" si="3"/>
        <v>27.630380913870937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330</v>
      </c>
      <c r="AG43" s="12">
        <f>VLOOKUP(A43,'Données projet'!$A$61:$I$81,9,0)</f>
        <v>15.1</v>
      </c>
      <c r="AH43" s="12">
        <f t="array" ref="AH43">INDEX(AG:AG,MIN(IF(ISNUMBER(AG43:AG239),ROW(AG43:AG239),"")))</f>
        <v>15.1</v>
      </c>
      <c r="AI43" s="13">
        <f>IF('Données projet'!$A$62&gt;35,AI42+AH43-AQ42,IF(A43&lt;'Données projet'!$A$62,$AF$205^A43,IF(A43='Données projet'!$A$62,'Données projet'!$B$62,AI42+AH43-AQ42)))</f>
        <v>330.00000000000011</v>
      </c>
      <c r="AJ43" s="13">
        <f>AI43*VLOOKUP('Données projet'!$B$10,Paramètres!$A$1:$I$89,3,0)*VLOOKUP('Données projet'!$B$10,Paramètres!$A$1:$I$89,5,0)</f>
        <v>205.9200000000001</v>
      </c>
      <c r="AK43" s="13">
        <f t="shared" si="35"/>
        <v>51.042987531485686</v>
      </c>
      <c r="AL43" s="20">
        <f t="shared" si="4"/>
        <v>447.54386995067108</v>
      </c>
      <c r="AM43" s="59">
        <f t="shared" si="5"/>
        <v>740.87720328400439</v>
      </c>
      <c r="AN43" s="59">
        <f ca="1">AVERAGE(OFFSET($AM$3,0,0,'Données projet'!$E$10+1,1))-AVERAGE(OFFSET($H$3,0,0,'Données projet'!$E$10+1,1))</f>
        <v>285.77483300338548</v>
      </c>
      <c r="AO43" s="59">
        <f t="shared" si="36"/>
        <v>320.55212417690637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82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6.8448653309002738</v>
      </c>
      <c r="AV43" s="21">
        <f>EXP(-LN(2)/25)*AV42+(1-EXP(-LN(2)/25))/(LN(2)/25)*Calculateur!AQ43*Calculateur!AS43*VLOOKUP('Données projet'!$B$10,Paramètres!$A$1:$I$89,3,0)*0.475*44/12</f>
        <v>21.121410097143553</v>
      </c>
      <c r="AW43" s="21">
        <f>EXP(-LN(2)/2)*AW42+(1-EXP(-LN(2)/2))/(LN(2)/2)*AQ43*AT43*VLOOKUP('Données projet'!$B$10,Paramètres!$A$1:$I$89,3,0)*0.475*44/12</f>
        <v>0.76253722302849625</v>
      </c>
      <c r="AX43" s="21">
        <f t="shared" si="6"/>
        <v>28.728812651072321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468</v>
      </c>
      <c r="BB43" s="12">
        <f>VLOOKUP(A43,'Données projet'!$A$87:$I$107,9,0)</f>
        <v>24.6</v>
      </c>
      <c r="BC43" s="12">
        <f t="array" ref="BC43">INDEX(BB:BB,MIN(IF(ISNUMBER(BB43:BB239),ROW(BB43:BB239),"")))</f>
        <v>24.6</v>
      </c>
      <c r="BD43" s="12">
        <f>IF('Données projet'!$A$88&gt;35,BD42+BC43-BL42,IF(A43&lt;'Données projet'!$A$88,$BA$205^A43,IF(A43='Données projet'!$A$88,'Données projet'!$B$88,BD42+BC43-BL42)))</f>
        <v>468.00000000000017</v>
      </c>
      <c r="BE43" s="13">
        <f>BD43*VLOOKUP('Données projet'!$B$11,Paramètres!$A$1:$I$89,3,0)*VLOOKUP('Données projet'!$B$11,Paramètres!$A$1:$I$89,5,0)</f>
        <v>225.10800000000009</v>
      </c>
      <c r="BF43" s="13">
        <f t="shared" si="37"/>
        <v>55.22359687888963</v>
      </c>
      <c r="BG43" s="20">
        <f t="shared" si="7"/>
        <v>488.2441978973996</v>
      </c>
      <c r="BH43" s="59">
        <f t="shared" si="8"/>
        <v>781.57753123073292</v>
      </c>
      <c r="BI43" s="59">
        <f ca="1">AVERAGE(OFFSET($BH$3,0,0,'Données projet'!$E$11+1,1))-AVERAGE(OFFSET($H$3,0,0,'Données projet'!$E$11+1,1))</f>
        <v>327.58421465651799</v>
      </c>
      <c r="BJ43" s="59">
        <f t="shared" si="38"/>
        <v>296.73904998640018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132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5.5275003763420871</v>
      </c>
      <c r="BQ43" s="21">
        <f>EXP(-LN(2)/25)*BQ42+(1-EXP(-LN(2)/25))/(LN(2)/25)*Calculateur!BL43*Calculateur!BN43*VLOOKUP('Données projet'!$B$11,Paramètres!$A$1:$I$89,3,0)*0.475*44/12</f>
        <v>10.172834761566607</v>
      </c>
      <c r="BR43" s="21">
        <f>EXP(-LN(2)/2)*BR42+(1-EXP(-LN(2)/2))/(LN(2)/2)*BL43*BO43*VLOOKUP('Données projet'!$B$11,Paramètres!$A$1:$I$89,3,0)*0.475*44/12</f>
        <v>0.6535244821322761</v>
      </c>
      <c r="BS43" s="22">
        <f t="shared" si="9"/>
        <v>16.353859620040971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19.2</v>
      </c>
      <c r="N44" s="13">
        <f>IF('Données projet'!$A$36&gt;35,N43+M44-V43,IF(A44&lt;'Données projet'!$A$36,$K$205^A44,IF(A44='Données projet'!$A$36,'Données projet'!$B$36,N43+M44-V43)))</f>
        <v>336.19999999999987</v>
      </c>
      <c r="O44" s="13">
        <f>N44*VLOOKUP('Données projet'!$B$9,Paramètres!$A$1:$I$89,3,0)*VLOOKUP('Données projet'!$B$9,Paramètres!$A$1:$I$89,5,0)</f>
        <v>187.93579999999994</v>
      </c>
      <c r="P44" s="13">
        <f t="shared" si="33"/>
        <v>47.083297807364765</v>
      </c>
      <c r="Q44" s="20">
        <f t="shared" si="53"/>
        <v>409.3249286811602</v>
      </c>
      <c r="R44" s="59">
        <f t="shared" si="0"/>
        <v>702.65826201449352</v>
      </c>
      <c r="S44" s="59">
        <f ca="1">AVERAGE(OFFSET($R$3,0,0,'Données projet'!$E$9+1,1))-AVERAGE(OFFSET($H$3,0,0,'Données projet'!$E$9+1,1))</f>
        <v>356.67698551373468</v>
      </c>
      <c r="T44" s="59">
        <f t="shared" si="34"/>
        <v>353.21836615408171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3.6737656510961907</v>
      </c>
      <c r="AA44" s="21">
        <f>EXP(-LN(2)/25)*AA43+(1-EXP(-LN(2)/25))/(LN(2)/25)*Calculateur!V44*Calculateur!X44*VLOOKUP('Données projet'!$B$9,Paramètres!$A$1:$I$89,3,0)*0.475*44/12</f>
        <v>22.241524413609515</v>
      </c>
      <c r="AB44" s="21">
        <f>EXP(-LN(2)/2)*AB43+(1-EXP(-LN(2)/2))/(LN(2)/2)*V44*Y44*VLOOKUP('Données projet'!$B$9,Paramètres!$A$1:$I$89,3,0)*0.475*44/12</f>
        <v>0.71864341328384107</v>
      </c>
      <c r="AC44" s="22">
        <f t="shared" si="3"/>
        <v>26.633933477989544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12.4</v>
      </c>
      <c r="AI44" s="13">
        <f>IF('Données projet'!$A$62&gt;35,AI43+AH44-AQ43,IF(A44&lt;'Données projet'!$A$62,$AF$205^A44,IF(A44='Données projet'!$A$62,'Données projet'!$B$62,AI43+AH44-AQ43)))</f>
        <v>260.40000000000009</v>
      </c>
      <c r="AJ44" s="13">
        <f>AI44*VLOOKUP('Données projet'!$B$10,Paramètres!$A$1:$I$89,3,0)*VLOOKUP('Données projet'!$B$10,Paramètres!$A$1:$I$89,5,0)</f>
        <v>162.48960000000005</v>
      </c>
      <c r="AK44" s="13">
        <f t="shared" si="35"/>
        <v>41.403546033820696</v>
      </c>
      <c r="AL44" s="20">
        <f t="shared" si="4"/>
        <v>355.11389600890448</v>
      </c>
      <c r="AM44" s="59">
        <f t="shared" si="5"/>
        <v>648.44722934223773</v>
      </c>
      <c r="AN44" s="59">
        <f ca="1">AVERAGE(OFFSET($AM$3,0,0,'Données projet'!$E$10+1,1))-AVERAGE(OFFSET($H$3,0,0,'Données projet'!$E$10+1,1))</f>
        <v>285.77483300338548</v>
      </c>
      <c r="AO44" s="59">
        <f t="shared" si="36"/>
        <v>320.55212417690637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6.7106416967169285</v>
      </c>
      <c r="AV44" s="21">
        <f>EXP(-LN(2)/25)*AV43+(1-EXP(-LN(2)/25))/(LN(2)/25)*Calculateur!AQ44*Calculateur!AS44*VLOOKUP('Données projet'!$B$10,Paramètres!$A$1:$I$89,3,0)*0.475*44/12</f>
        <v>20.543844027310477</v>
      </c>
      <c r="AW44" s="21">
        <f>EXP(-LN(2)/2)*AW43+(1-EXP(-LN(2)/2))/(LN(2)/2)*AQ44*AT44*VLOOKUP('Données projet'!$B$10,Paramètres!$A$1:$I$89,3,0)*0.475*44/12</f>
        <v>0.53919524131060848</v>
      </c>
      <c r="AX44" s="21">
        <f t="shared" si="6"/>
        <v>27.793680965338012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23.4</v>
      </c>
      <c r="BD44" s="12">
        <f>IF('Données projet'!$A$88&gt;35,BD43+BC44-BL43,IF(A44&lt;'Données projet'!$A$88,$BA$205^A44,IF(A44='Données projet'!$A$88,'Données projet'!$B$88,BD43+BC44-BL43)))</f>
        <v>359.40000000000015</v>
      </c>
      <c r="BE44" s="13">
        <f>BD44*VLOOKUP('Données projet'!$B$11,Paramètres!$A$1:$I$89,3,0)*VLOOKUP('Données projet'!$B$11,Paramètres!$A$1:$I$89,5,0)</f>
        <v>172.87140000000008</v>
      </c>
      <c r="BF44" s="13">
        <f t="shared" si="37"/>
        <v>43.732493418684889</v>
      </c>
      <c r="BG44" s="20">
        <f t="shared" si="7"/>
        <v>377.25178103754297</v>
      </c>
      <c r="BH44" s="59">
        <f t="shared" si="8"/>
        <v>670.58511437087623</v>
      </c>
      <c r="BI44" s="59">
        <f ca="1">AVERAGE(OFFSET($BH$3,0,0,'Données projet'!$E$11+1,1))-AVERAGE(OFFSET($H$3,0,0,'Données projet'!$E$11+1,1))</f>
        <v>327.58421465651799</v>
      </c>
      <c r="BJ44" s="59">
        <f t="shared" si="38"/>
        <v>296.73904998640018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5.4191094654043459</v>
      </c>
      <c r="BQ44" s="21">
        <f>EXP(-LN(2)/25)*BQ43+(1-EXP(-LN(2)/25))/(LN(2)/25)*Calculateur!BL44*Calculateur!BN44*VLOOKUP('Données projet'!$B$11,Paramètres!$A$1:$I$89,3,0)*0.475*44/12</f>
        <v>9.8946580600454386</v>
      </c>
      <c r="BR44" s="21">
        <f>EXP(-LN(2)/2)*BR43+(1-EXP(-LN(2)/2))/(LN(2)/2)*BL44*BO44*VLOOKUP('Données projet'!$B$11,Paramètres!$A$1:$I$89,3,0)*0.475*44/12</f>
        <v>0.46211159298715915</v>
      </c>
      <c r="BS44" s="22">
        <f t="shared" si="9"/>
        <v>15.775879118436944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19.2</v>
      </c>
      <c r="N45" s="13">
        <f>IF('Données projet'!$A$36&gt;35,N44+M45-V44,IF(A45&lt;'Données projet'!$A$36,$K$205^A45,IF(A45='Données projet'!$A$36,'Données projet'!$B$36,N44+M45-V44)))</f>
        <v>355.39999999999986</v>
      </c>
      <c r="O45" s="13">
        <f>N45*VLOOKUP('Données projet'!$B$9,Paramètres!$A$1:$I$89,3,0)*VLOOKUP('Données projet'!$B$9,Paramètres!$A$1:$I$89,5,0)</f>
        <v>198.66859999999994</v>
      </c>
      <c r="P45" s="13">
        <f t="shared" si="33"/>
        <v>49.451452656287465</v>
      </c>
      <c r="Q45" s="20">
        <f t="shared" si="53"/>
        <v>432.14242504303388</v>
      </c>
      <c r="R45" s="59">
        <f t="shared" si="0"/>
        <v>725.47575837636714</v>
      </c>
      <c r="S45" s="59">
        <f ca="1">AVERAGE(OFFSET($R$3,0,0,'Données projet'!$E$9+1,1))-AVERAGE(OFFSET($H$3,0,0,'Données projet'!$E$9+1,1))</f>
        <v>356.67698551373468</v>
      </c>
      <c r="T45" s="59">
        <f t="shared" si="34"/>
        <v>353.21836615408171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3.6017253474539834</v>
      </c>
      <c r="AA45" s="21">
        <f>EXP(-LN(2)/25)*AA44+(1-EXP(-LN(2)/25))/(LN(2)/25)*Calculateur!V45*Calculateur!X45*VLOOKUP('Données projet'!$B$9,Paramètres!$A$1:$I$89,3,0)*0.475*44/12</f>
        <v>21.633328758888428</v>
      </c>
      <c r="AB45" s="21">
        <f>EXP(-LN(2)/2)*AB44+(1-EXP(-LN(2)/2))/(LN(2)/2)*V45*Y45*VLOOKUP('Données projet'!$B$9,Paramètres!$A$1:$I$89,3,0)*0.475*44/12</f>
        <v>0.50815763078805065</v>
      </c>
      <c r="AC45" s="22">
        <f t="shared" si="3"/>
        <v>25.743211737130462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12.4</v>
      </c>
      <c r="AI45" s="13">
        <f>IF('Données projet'!$A$62&gt;35,AI44+AH45-AQ44,IF(A45&lt;'Données projet'!$A$62,$AF$205^A45,IF(A45='Données projet'!$A$62,'Données projet'!$B$62,AI44+AH45-AQ44)))</f>
        <v>272.80000000000007</v>
      </c>
      <c r="AJ45" s="13">
        <f>AI45*VLOOKUP('Données projet'!$B$10,Paramètres!$A$1:$I$89,3,0)*VLOOKUP('Données projet'!$B$10,Paramètres!$A$1:$I$89,5,0)</f>
        <v>170.22720000000004</v>
      </c>
      <c r="AK45" s="13">
        <f t="shared" si="35"/>
        <v>43.140904871338378</v>
      </c>
      <c r="AL45" s="20">
        <f t="shared" si="4"/>
        <v>371.6161159842477</v>
      </c>
      <c r="AM45" s="59">
        <f t="shared" si="5"/>
        <v>664.94944931758096</v>
      </c>
      <c r="AN45" s="59">
        <f ca="1">AVERAGE(OFFSET($AM$3,0,0,'Données projet'!$E$10+1,1))-AVERAGE(OFFSET($H$3,0,0,'Données projet'!$E$10+1,1))</f>
        <v>285.77483300338548</v>
      </c>
      <c r="AO45" s="59">
        <f t="shared" si="36"/>
        <v>320.55212417690637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6.5790501061315858</v>
      </c>
      <c r="AV45" s="21">
        <f>EXP(-LN(2)/25)*AV44+(1-EXP(-LN(2)/25))/(LN(2)/25)*Calculateur!AQ45*Calculateur!AS45*VLOOKUP('Données projet'!$B$10,Paramètres!$A$1:$I$89,3,0)*0.475*44/12</f>
        <v>19.98207153202987</v>
      </c>
      <c r="AW45" s="21">
        <f>EXP(-LN(2)/2)*AW44+(1-EXP(-LN(2)/2))/(LN(2)/2)*AQ45*AT45*VLOOKUP('Données projet'!$B$10,Paramètres!$A$1:$I$89,3,0)*0.475*44/12</f>
        <v>0.38126861151424812</v>
      </c>
      <c r="AX45" s="21">
        <f t="shared" si="6"/>
        <v>26.942390249675704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23.4</v>
      </c>
      <c r="BD45" s="12">
        <f>IF('Données projet'!$A$88&gt;35,BD44+BC45-BL44,IF(A45&lt;'Données projet'!$A$88,$BA$205^A45,IF(A45='Données projet'!$A$88,'Données projet'!$B$88,BD44+BC45-BL44)))</f>
        <v>382.80000000000013</v>
      </c>
      <c r="BE45" s="13">
        <f>BD45*VLOOKUP('Données projet'!$B$11,Paramètres!$A$1:$I$89,3,0)*VLOOKUP('Données projet'!$B$11,Paramètres!$A$1:$I$89,5,0)</f>
        <v>184.12680000000009</v>
      </c>
      <c r="BF45" s="13">
        <f t="shared" si="37"/>
        <v>46.239108362516738</v>
      </c>
      <c r="BG45" s="20">
        <f t="shared" si="7"/>
        <v>401.22062373138345</v>
      </c>
      <c r="BH45" s="59">
        <f t="shared" si="8"/>
        <v>694.55395706471677</v>
      </c>
      <c r="BI45" s="59">
        <f ca="1">AVERAGE(OFFSET($BH$3,0,0,'Données projet'!$E$11+1,1))-AVERAGE(OFFSET($H$3,0,0,'Données projet'!$E$11+1,1))</f>
        <v>327.58421465651799</v>
      </c>
      <c r="BJ45" s="59">
        <f t="shared" si="38"/>
        <v>296.73904998640018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5.3128440341181662</v>
      </c>
      <c r="BQ45" s="21">
        <f>EXP(-LN(2)/25)*BQ44+(1-EXP(-LN(2)/25))/(LN(2)/25)*Calculateur!BL45*Calculateur!BN45*VLOOKUP('Données projet'!$B$11,Paramètres!$A$1:$I$89,3,0)*0.475*44/12</f>
        <v>9.6240881150560433</v>
      </c>
      <c r="BR45" s="21">
        <f>EXP(-LN(2)/2)*BR44+(1-EXP(-LN(2)/2))/(LN(2)/2)*BL45*BO45*VLOOKUP('Données projet'!$B$11,Paramètres!$A$1:$I$89,3,0)*0.475*44/12</f>
        <v>0.32676224106613805</v>
      </c>
      <c r="BS45" s="22">
        <f t="shared" si="9"/>
        <v>15.263694390240348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19.2</v>
      </c>
      <c r="N46" s="13">
        <f>IF('Données projet'!$A$36&gt;35,N45+M46-V45,IF(A46&lt;'Données projet'!$A$36,$K$205^A46,IF(A46='Données projet'!$A$36,'Données projet'!$B$36,N45+M46-V45)))</f>
        <v>374.59999999999985</v>
      </c>
      <c r="O46" s="13">
        <f>N46*VLOOKUP('Données projet'!$B$9,Paramètres!$A$1:$I$89,3,0)*VLOOKUP('Données projet'!$B$9,Paramètres!$A$1:$I$89,5,0)</f>
        <v>209.40139999999994</v>
      </c>
      <c r="P46" s="13">
        <f t="shared" si="33"/>
        <v>51.804754813749405</v>
      </c>
      <c r="Q46" s="20">
        <f t="shared" si="53"/>
        <v>454.93405296728002</v>
      </c>
      <c r="R46" s="59">
        <f t="shared" si="0"/>
        <v>748.26738630061334</v>
      </c>
      <c r="S46" s="59">
        <f ca="1">AVERAGE(OFFSET($R$3,0,0,'Données projet'!$E$9+1,1))-AVERAGE(OFFSET($H$3,0,0,'Données projet'!$E$9+1,1))</f>
        <v>356.67698551373468</v>
      </c>
      <c r="T46" s="59">
        <f t="shared" si="34"/>
        <v>353.21836615408171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3.5310977102259531</v>
      </c>
      <c r="AA46" s="21">
        <f>EXP(-LN(2)/25)*AA45+(1-EXP(-LN(2)/25))/(LN(2)/25)*Calculateur!V46*Calculateur!X46*VLOOKUP('Données projet'!$B$9,Paramètres!$A$1:$I$89,3,0)*0.475*44/12</f>
        <v>21.041764246329308</v>
      </c>
      <c r="AB46" s="21">
        <f>EXP(-LN(2)/2)*AB45+(1-EXP(-LN(2)/2))/(LN(2)/2)*V46*Y46*VLOOKUP('Données projet'!$B$9,Paramètres!$A$1:$I$89,3,0)*0.475*44/12</f>
        <v>0.35932170664192054</v>
      </c>
      <c r="AC46" s="22">
        <f t="shared" si="3"/>
        <v>24.932183663197183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12.4</v>
      </c>
      <c r="AI46" s="13">
        <f>IF('Données projet'!$A$62&gt;35,AI45+AH46-AQ45,IF(A46&lt;'Données projet'!$A$62,$AF$205^A46,IF(A46='Données projet'!$A$62,'Données projet'!$B$62,AI45+AH46-AQ45)))</f>
        <v>285.20000000000005</v>
      </c>
      <c r="AJ46" s="13">
        <f>AI46*VLOOKUP('Données projet'!$B$10,Paramètres!$A$1:$I$89,3,0)*VLOOKUP('Données projet'!$B$10,Paramètres!$A$1:$I$89,5,0)</f>
        <v>177.96480000000003</v>
      </c>
      <c r="AK46" s="13">
        <f t="shared" si="35"/>
        <v>44.869092441133326</v>
      </c>
      <c r="AL46" s="20">
        <f t="shared" si="4"/>
        <v>388.10236266830719</v>
      </c>
      <c r="AM46" s="59">
        <f t="shared" si="5"/>
        <v>681.43569600164051</v>
      </c>
      <c r="AN46" s="59">
        <f ca="1">AVERAGE(OFFSET($AM$3,0,0,'Données projet'!$E$10+1,1))-AVERAGE(OFFSET($H$3,0,0,'Données projet'!$E$10+1,1))</f>
        <v>285.77483300338548</v>
      </c>
      <c r="AO46" s="59">
        <f t="shared" si="36"/>
        <v>320.55212417690637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6.4500389463746766</v>
      </c>
      <c r="AV46" s="21">
        <f>EXP(-LN(2)/25)*AV45+(1-EXP(-LN(2)/25))/(LN(2)/25)*Calculateur!AQ46*Calculateur!AS46*VLOOKUP('Données projet'!$B$10,Paramètres!$A$1:$I$89,3,0)*0.475*44/12</f>
        <v>19.435660735175041</v>
      </c>
      <c r="AW46" s="21">
        <f>EXP(-LN(2)/2)*AW45+(1-EXP(-LN(2)/2))/(LN(2)/2)*AQ46*AT46*VLOOKUP('Données projet'!$B$10,Paramètres!$A$1:$I$89,3,0)*0.475*44/12</f>
        <v>0.26959762065530424</v>
      </c>
      <c r="AX46" s="21">
        <f t="shared" si="6"/>
        <v>26.155297302205021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23.4</v>
      </c>
      <c r="BD46" s="12">
        <f>IF('Données projet'!$A$88&gt;35,BD45+BC46-BL45,IF(A46&lt;'Données projet'!$A$88,$BA$205^A46,IF(A46='Données projet'!$A$88,'Données projet'!$B$88,BD45+BC46-BL45)))</f>
        <v>406.2000000000001</v>
      </c>
      <c r="BE46" s="13">
        <f>BD46*VLOOKUP('Données projet'!$B$11,Paramètres!$A$1:$I$89,3,0)*VLOOKUP('Données projet'!$B$11,Paramètres!$A$1:$I$89,5,0)</f>
        <v>195.38220000000007</v>
      </c>
      <c r="BF46" s="13">
        <f t="shared" si="37"/>
        <v>48.727939451029641</v>
      </c>
      <c r="BG46" s="20">
        <f t="shared" si="7"/>
        <v>425.15849287721011</v>
      </c>
      <c r="BH46" s="59">
        <f t="shared" si="8"/>
        <v>718.49182621054342</v>
      </c>
      <c r="BI46" s="59">
        <f ca="1">AVERAGE(OFFSET($BH$3,0,0,'Données projet'!$E$11+1,1))-AVERAGE(OFFSET($H$3,0,0,'Données projet'!$E$11+1,1))</f>
        <v>327.58421465651799</v>
      </c>
      <c r="BJ46" s="59">
        <f t="shared" si="38"/>
        <v>296.73904998640018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5.2086624031239959</v>
      </c>
      <c r="BQ46" s="21">
        <f>EXP(-LN(2)/25)*BQ45+(1-EXP(-LN(2)/25))/(LN(2)/25)*Calculateur!BL46*Calculateur!BN46*VLOOKUP('Données projet'!$B$11,Paramètres!$A$1:$I$89,3,0)*0.475*44/12</f>
        <v>9.3609169194410384</v>
      </c>
      <c r="BR46" s="21">
        <f>EXP(-LN(2)/2)*BR45+(1-EXP(-LN(2)/2))/(LN(2)/2)*BL46*BO46*VLOOKUP('Données projet'!$B$11,Paramètres!$A$1:$I$89,3,0)*0.475*44/12</f>
        <v>0.23105579649357957</v>
      </c>
      <c r="BS46" s="22">
        <f t="shared" si="9"/>
        <v>14.800635119058613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19.2</v>
      </c>
      <c r="N47" s="13">
        <f>IF('Données projet'!$A$36&gt;35,N46+M47-V46,IF(A47&lt;'Données projet'!$A$36,$K$205^A47,IF(A47='Données projet'!$A$36,'Données projet'!$B$36,N46+M47-V46)))</f>
        <v>393.79999999999984</v>
      </c>
      <c r="O47" s="13">
        <f>N47*VLOOKUP('Données projet'!$B$9,Paramètres!$A$1:$I$89,3,0)*VLOOKUP('Données projet'!$B$9,Paramètres!$A$1:$I$89,5,0)</f>
        <v>220.13419999999991</v>
      </c>
      <c r="P47" s="13">
        <f t="shared" si="33"/>
        <v>54.144052392262886</v>
      </c>
      <c r="Q47" s="20">
        <f t="shared" si="53"/>
        <v>477.701289583191</v>
      </c>
      <c r="R47" s="59">
        <f t="shared" si="0"/>
        <v>771.03462291652431</v>
      </c>
      <c r="S47" s="59">
        <f ca="1">AVERAGE(OFFSET($R$3,0,0,'Données projet'!$E$9+1,1))-AVERAGE(OFFSET($H$3,0,0,'Données projet'!$E$9+1,1))</f>
        <v>356.67698551373468</v>
      </c>
      <c r="T47" s="59">
        <f t="shared" si="34"/>
        <v>353.21836615408171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3.4618550378853596</v>
      </c>
      <c r="AA47" s="21">
        <f>EXP(-LN(2)/25)*AA46+(1-EXP(-LN(2)/25))/(LN(2)/25)*Calculateur!V47*Calculateur!X47*VLOOKUP('Données projet'!$B$9,Paramètres!$A$1:$I$89,3,0)*0.475*44/12</f>
        <v>20.466376096475141</v>
      </c>
      <c r="AB47" s="21">
        <f>EXP(-LN(2)/2)*AB46+(1-EXP(-LN(2)/2))/(LN(2)/2)*V47*Y47*VLOOKUP('Données projet'!$B$9,Paramètres!$A$1:$I$89,3,0)*0.475*44/12</f>
        <v>0.25407881539402533</v>
      </c>
      <c r="AC47" s="22">
        <f t="shared" si="3"/>
        <v>24.182309949754526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12.4</v>
      </c>
      <c r="AI47" s="13">
        <f>IF('Données projet'!$A$62&gt;35,AI46+AH47-AQ46,IF(A47&lt;'Données projet'!$A$62,$AF$205^A47,IF(A47='Données projet'!$A$62,'Données projet'!$B$62,AI46+AH47-AQ46)))</f>
        <v>297.60000000000002</v>
      </c>
      <c r="AJ47" s="13">
        <f>AI47*VLOOKUP('Données projet'!$B$10,Paramètres!$A$1:$I$89,3,0)*VLOOKUP('Données projet'!$B$10,Paramètres!$A$1:$I$89,5,0)</f>
        <v>185.70240000000001</v>
      </c>
      <c r="AK47" s="13">
        <f t="shared" si="35"/>
        <v>46.588553069776829</v>
      </c>
      <c r="AL47" s="20">
        <f t="shared" si="4"/>
        <v>404.57340992986133</v>
      </c>
      <c r="AM47" s="59">
        <f t="shared" si="5"/>
        <v>697.90674326319458</v>
      </c>
      <c r="AN47" s="59">
        <f ca="1">AVERAGE(OFFSET($AM$3,0,0,'Données projet'!$E$10+1,1))-AVERAGE(OFFSET($H$3,0,0,'Données projet'!$E$10+1,1))</f>
        <v>285.77483300338548</v>
      </c>
      <c r="AO47" s="59">
        <f t="shared" si="36"/>
        <v>320.55212417690637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6.3235576167715628</v>
      </c>
      <c r="AV47" s="21">
        <f>EXP(-LN(2)/25)*AV46+(1-EXP(-LN(2)/25))/(LN(2)/25)*Calculateur!AQ47*Calculateur!AS47*VLOOKUP('Données projet'!$B$10,Paramètres!$A$1:$I$89,3,0)*0.475*44/12</f>
        <v>18.904191570294703</v>
      </c>
      <c r="AW47" s="21">
        <f>EXP(-LN(2)/2)*AW46+(1-EXP(-LN(2)/2))/(LN(2)/2)*AQ47*AT47*VLOOKUP('Données projet'!$B$10,Paramètres!$A$1:$I$89,3,0)*0.475*44/12</f>
        <v>0.19063430575712406</v>
      </c>
      <c r="AX47" s="21">
        <f t="shared" si="6"/>
        <v>25.418383492823391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23.4</v>
      </c>
      <c r="BD47" s="12">
        <f>IF('Données projet'!$A$88&gt;35,BD46+BC47-BL46,IF(A47&lt;'Données projet'!$A$88,$BA$205^A47,IF(A47='Données projet'!$A$88,'Données projet'!$B$88,BD46+BC47-BL46)))</f>
        <v>429.60000000000008</v>
      </c>
      <c r="BE47" s="13">
        <f>BD47*VLOOKUP('Données projet'!$B$11,Paramètres!$A$1:$I$89,3,0)*VLOOKUP('Données projet'!$B$11,Paramètres!$A$1:$I$89,5,0)</f>
        <v>206.63760000000005</v>
      </c>
      <c r="BF47" s="13">
        <f t="shared" si="37"/>
        <v>51.200127881281993</v>
      </c>
      <c r="BG47" s="20">
        <f t="shared" si="7"/>
        <v>449.06737605989952</v>
      </c>
      <c r="BH47" s="59">
        <f t="shared" si="8"/>
        <v>742.40070939323277</v>
      </c>
      <c r="BI47" s="59">
        <f ca="1">AVERAGE(OFFSET($BH$3,0,0,'Données projet'!$E$11+1,1))-AVERAGE(OFFSET($H$3,0,0,'Données projet'!$E$11+1,1))</f>
        <v>327.58421465651799</v>
      </c>
      <c r="BJ47" s="59">
        <f t="shared" si="38"/>
        <v>296.73904998640018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5.1065237103691006</v>
      </c>
      <c r="BQ47" s="21">
        <f>EXP(-LN(2)/25)*BQ46+(1-EXP(-LN(2)/25))/(LN(2)/25)*Calculateur!BL47*Calculateur!BN47*VLOOKUP('Données projet'!$B$11,Paramètres!$A$1:$I$89,3,0)*0.475*44/12</f>
        <v>9.1049421540096969</v>
      </c>
      <c r="BR47" s="21">
        <f>EXP(-LN(2)/2)*BR46+(1-EXP(-LN(2)/2))/(LN(2)/2)*BL47*BO47*VLOOKUP('Données projet'!$B$11,Paramètres!$A$1:$I$89,3,0)*0.475*44/12</f>
        <v>0.16338112053306902</v>
      </c>
      <c r="BS47" s="22">
        <f t="shared" si="9"/>
        <v>14.374846984911867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19.2</v>
      </c>
      <c r="N48" s="13">
        <f>IF('Données projet'!$A$36&gt;35,N47+M48-V47,IF(A48&lt;'Données projet'!$A$36,$K$205^A48,IF(A48='Données projet'!$A$36,'Données projet'!$B$36,N47+M48-V47)))</f>
        <v>412.99999999999983</v>
      </c>
      <c r="O48" s="13">
        <f>N48*VLOOKUP('Données projet'!$B$9,Paramètres!$A$1:$I$89,3,0)*VLOOKUP('Données projet'!$B$9,Paramètres!$A$1:$I$89,5,0)</f>
        <v>230.8669999999999</v>
      </c>
      <c r="P48" s="13">
        <f t="shared" si="33"/>
        <v>56.470106131334084</v>
      </c>
      <c r="Q48" s="20">
        <f t="shared" si="53"/>
        <v>500.44545984540667</v>
      </c>
      <c r="R48" s="59">
        <f t="shared" si="0"/>
        <v>793.77879317873999</v>
      </c>
      <c r="S48" s="59">
        <f ca="1">AVERAGE(OFFSET($R$3,0,0,'Données projet'!$E$9+1,1))-AVERAGE(OFFSET($H$3,0,0,'Données projet'!$E$9+1,1))</f>
        <v>356.67698551373468</v>
      </c>
      <c r="T48" s="59">
        <f t="shared" si="34"/>
        <v>353.21836615408171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3.3939701721155053</v>
      </c>
      <c r="AA48" s="21">
        <f>EXP(-LN(2)/25)*AA47+(1-EXP(-LN(2)/25))/(LN(2)/25)*Calculateur!V48*Calculateur!X48*VLOOKUP('Données projet'!$B$9,Paramètres!$A$1:$I$89,3,0)*0.475*44/12</f>
        <v>19.906721965837086</v>
      </c>
      <c r="AB48" s="21">
        <f>EXP(-LN(2)/2)*AB47+(1-EXP(-LN(2)/2))/(LN(2)/2)*V48*Y48*VLOOKUP('Données projet'!$B$9,Paramètres!$A$1:$I$89,3,0)*0.475*44/12</f>
        <v>0.17966085332096027</v>
      </c>
      <c r="AC48" s="22">
        <f t="shared" si="3"/>
        <v>23.480352991273552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12.4</v>
      </c>
      <c r="AI48" s="13">
        <f>IF('Données projet'!$A$62&gt;35,AI47+AH48-AQ47,IF(A48&lt;'Données projet'!$A$62,$AF$205^A48,IF(A48='Données projet'!$A$62,'Données projet'!$B$62,AI47+AH48-AQ47)))</f>
        <v>310</v>
      </c>
      <c r="AJ48" s="13">
        <f>AI48*VLOOKUP('Données projet'!$B$10,Paramètres!$A$1:$I$89,3,0)*VLOOKUP('Données projet'!$B$10,Paramètres!$A$1:$I$89,5,0)</f>
        <v>193.44</v>
      </c>
      <c r="AK48" s="13">
        <f t="shared" si="35"/>
        <v>48.299691961776745</v>
      </c>
      <c r="AL48" s="20">
        <f t="shared" si="4"/>
        <v>421.02996350009448</v>
      </c>
      <c r="AM48" s="59">
        <f t="shared" si="5"/>
        <v>714.36329683342774</v>
      </c>
      <c r="AN48" s="59">
        <f ca="1">AVERAGE(OFFSET($AM$3,0,0,'Données projet'!$E$10+1,1))-AVERAGE(OFFSET($H$3,0,0,'Données projet'!$E$10+1,1))</f>
        <v>285.77483300338548</v>
      </c>
      <c r="AO48" s="59">
        <f t="shared" si="36"/>
        <v>320.55212417690637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6.1995565088959728</v>
      </c>
      <c r="AV48" s="21">
        <f>EXP(-LN(2)/25)*AV47+(1-EXP(-LN(2)/25))/(LN(2)/25)*Calculateur!AQ48*Calculateur!AS48*VLOOKUP('Données projet'!$B$10,Paramètres!$A$1:$I$89,3,0)*0.475*44/12</f>
        <v>18.387255457676766</v>
      </c>
      <c r="AW48" s="21">
        <f>EXP(-LN(2)/2)*AW47+(1-EXP(-LN(2)/2))/(LN(2)/2)*AQ48*AT48*VLOOKUP('Données projet'!$B$10,Paramètres!$A$1:$I$89,3,0)*0.475*44/12</f>
        <v>0.13479881032765212</v>
      </c>
      <c r="AX48" s="21">
        <f t="shared" si="6"/>
        <v>24.721610776900391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23.4</v>
      </c>
      <c r="BD48" s="12">
        <f>IF('Données projet'!$A$88&gt;35,BD47+BC48-BL47,IF(A48&lt;'Données projet'!$A$88,$BA$205^A48,IF(A48='Données projet'!$A$88,'Données projet'!$B$88,BD47+BC48-BL47)))</f>
        <v>453.00000000000006</v>
      </c>
      <c r="BE48" s="13">
        <f>BD48*VLOOKUP('Données projet'!$B$11,Paramètres!$A$1:$I$89,3,0)*VLOOKUP('Données projet'!$B$11,Paramètres!$A$1:$I$89,5,0)</f>
        <v>217.89300000000003</v>
      </c>
      <c r="BF48" s="13">
        <f t="shared" si="37"/>
        <v>53.65668350861781</v>
      </c>
      <c r="BG48" s="20">
        <f t="shared" si="7"/>
        <v>472.94903211084261</v>
      </c>
      <c r="BH48" s="59">
        <f t="shared" si="8"/>
        <v>766.28236544417587</v>
      </c>
      <c r="BI48" s="59">
        <f ca="1">AVERAGE(OFFSET($BH$3,0,0,'Données projet'!$E$11+1,1))-AVERAGE(OFFSET($H$3,0,0,'Données projet'!$E$11+1,1))</f>
        <v>327.58421465651799</v>
      </c>
      <c r="BJ48" s="59">
        <f t="shared" si="38"/>
        <v>296.73904998640018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5.0063878950806773</v>
      </c>
      <c r="BQ48" s="21">
        <f>EXP(-LN(2)/25)*BQ47+(1-EXP(-LN(2)/25))/(LN(2)/25)*Calculateur!BL48*Calculateur!BN48*VLOOKUP('Données projet'!$B$11,Paramètres!$A$1:$I$89,3,0)*0.475*44/12</f>
        <v>8.8559670320002031</v>
      </c>
      <c r="BR48" s="21">
        <f>EXP(-LN(2)/2)*BR47+(1-EXP(-LN(2)/2))/(LN(2)/2)*BL48*BO48*VLOOKUP('Données projet'!$B$11,Paramètres!$A$1:$I$89,3,0)*0.475*44/12</f>
        <v>0.11552789824678979</v>
      </c>
      <c r="BS48" s="22">
        <f t="shared" si="9"/>
        <v>13.977882825327669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19.2</v>
      </c>
      <c r="N49" s="13">
        <f>IF('Données projet'!$A$36&gt;35,N48+M49-V48,IF(A49&lt;'Données projet'!$A$36,$K$205^A49,IF(A49='Données projet'!$A$36,'Données projet'!$B$36,N48+M49-V48)))</f>
        <v>432.19999999999982</v>
      </c>
      <c r="O49" s="13">
        <f>N49*VLOOKUP('Données projet'!$B$9,Paramètres!$A$1:$I$89,3,0)*VLOOKUP('Données projet'!$B$9,Paramètres!$A$1:$I$89,5,0)</f>
        <v>241.5997999999999</v>
      </c>
      <c r="P49" s="13">
        <f t="shared" si="33"/>
        <v>58.783602040793284</v>
      </c>
      <c r="Q49" s="20">
        <f t="shared" si="53"/>
        <v>523.16775855438141</v>
      </c>
      <c r="R49" s="59">
        <f t="shared" si="0"/>
        <v>816.50109188771467</v>
      </c>
      <c r="S49" s="59">
        <f ca="1">AVERAGE(OFFSET($R$3,0,0,'Données projet'!$E$9+1,1))-AVERAGE(OFFSET($H$3,0,0,'Données projet'!$E$9+1,1))</f>
        <v>356.67698551373468</v>
      </c>
      <c r="T49" s="59">
        <f t="shared" si="34"/>
        <v>353.21836615408171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3.3274164871577181</v>
      </c>
      <c r="AA49" s="21">
        <f>EXP(-LN(2)/25)*AA48+(1-EXP(-LN(2)/25))/(LN(2)/25)*Calculateur!V49*Calculateur!X49*VLOOKUP('Données projet'!$B$9,Paramètres!$A$1:$I$89,3,0)*0.475*44/12</f>
        <v>19.362371606832259</v>
      </c>
      <c r="AB49" s="21">
        <f>EXP(-LN(2)/2)*AB48+(1-EXP(-LN(2)/2))/(LN(2)/2)*V49*Y49*VLOOKUP('Données projet'!$B$9,Paramètres!$A$1:$I$89,3,0)*0.475*44/12</f>
        <v>0.12703940769701266</v>
      </c>
      <c r="AC49" s="22">
        <f t="shared" si="3"/>
        <v>22.816827501686987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12.4</v>
      </c>
      <c r="AI49" s="13">
        <f>IF('Données projet'!$A$62&gt;35,AI48+AH49-AQ48,IF(A49&lt;'Données projet'!$A$62,$AF$205^A49,IF(A49='Données projet'!$A$62,'Données projet'!$B$62,AI48+AH49-AQ48)))</f>
        <v>322.39999999999998</v>
      </c>
      <c r="AJ49" s="13">
        <f>AI49*VLOOKUP('Données projet'!$B$10,Paramètres!$A$1:$I$89,3,0)*VLOOKUP('Données projet'!$B$10,Paramètres!$A$1:$I$89,5,0)</f>
        <v>201.17759999999998</v>
      </c>
      <c r="AK49" s="13">
        <f t="shared" si="35"/>
        <v>50.002880070410733</v>
      </c>
      <c r="AL49" s="20">
        <f t="shared" si="4"/>
        <v>437.47266945596533</v>
      </c>
      <c r="AM49" s="59">
        <f t="shared" si="5"/>
        <v>730.80600278929865</v>
      </c>
      <c r="AN49" s="59">
        <f ca="1">AVERAGE(OFFSET($AM$3,0,0,'Données projet'!$E$10+1,1))-AVERAGE(OFFSET($H$3,0,0,'Données projet'!$E$10+1,1))</f>
        <v>285.77483300338548</v>
      </c>
      <c r="AO49" s="59">
        <f t="shared" si="36"/>
        <v>320.55212417690637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6.0779869871126149</v>
      </c>
      <c r="AV49" s="21">
        <f>EXP(-LN(2)/25)*AV48+(1-EXP(-LN(2)/25))/(LN(2)/25)*Calculateur!AQ49*Calculateur!AS49*VLOOKUP('Données projet'!$B$10,Paramètres!$A$1:$I$89,3,0)*0.475*44/12</f>
        <v>17.884454990242855</v>
      </c>
      <c r="AW49" s="21">
        <f>EXP(-LN(2)/2)*AW48+(1-EXP(-LN(2)/2))/(LN(2)/2)*AQ49*AT49*VLOOKUP('Données projet'!$B$10,Paramètres!$A$1:$I$89,3,0)*0.475*44/12</f>
        <v>9.5317152878562031E-2</v>
      </c>
      <c r="AX49" s="21">
        <f t="shared" si="6"/>
        <v>24.057759130234029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23.4</v>
      </c>
      <c r="BD49" s="12">
        <f>IF('Données projet'!$A$88&gt;35,BD48+BC49-BL48,IF(A49&lt;'Données projet'!$A$88,$BA$205^A49,IF(A49='Données projet'!$A$88,'Données projet'!$B$88,BD48+BC49-BL48)))</f>
        <v>476.40000000000003</v>
      </c>
      <c r="BE49" s="13">
        <f>BD49*VLOOKUP('Données projet'!$B$11,Paramètres!$A$1:$I$89,3,0)*VLOOKUP('Données projet'!$B$11,Paramètres!$A$1:$I$89,5,0)</f>
        <v>229.14840000000001</v>
      </c>
      <c r="BF49" s="13">
        <f t="shared" si="37"/>
        <v>56.098505966182572</v>
      </c>
      <c r="BG49" s="20">
        <f t="shared" si="7"/>
        <v>496.80502789110125</v>
      </c>
      <c r="BH49" s="59">
        <f t="shared" si="8"/>
        <v>790.13836122443456</v>
      </c>
      <c r="BI49" s="59">
        <f ca="1">AVERAGE(OFFSET($BH$3,0,0,'Données projet'!$E$11+1,1))-AVERAGE(OFFSET($H$3,0,0,'Données projet'!$E$11+1,1))</f>
        <v>327.58421465651799</v>
      </c>
      <c r="BJ49" s="59">
        <f t="shared" si="38"/>
        <v>296.73904998640018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4.9082156820532434</v>
      </c>
      <c r="BQ49" s="21">
        <f>EXP(-LN(2)/25)*BQ48+(1-EXP(-LN(2)/25))/(LN(2)/25)*Calculateur!BL49*Calculateur!BN49*VLOOKUP('Données projet'!$B$11,Paramètres!$A$1:$I$89,3,0)*0.475*44/12</f>
        <v>8.6138001477950912</v>
      </c>
      <c r="BR49" s="21">
        <f>EXP(-LN(2)/2)*BR48+(1-EXP(-LN(2)/2))/(LN(2)/2)*BL49*BO49*VLOOKUP('Données projet'!$B$11,Paramètres!$A$1:$I$89,3,0)*0.475*44/12</f>
        <v>8.1690560266534512E-2</v>
      </c>
      <c r="BS49" s="22">
        <f t="shared" si="9"/>
        <v>13.603706390114869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19.2</v>
      </c>
      <c r="N50" s="13">
        <f>IF('Données projet'!$A$36&gt;35,N49+M50-V49,IF(A50&lt;'Données projet'!$A$36,$K$205^A50,IF(A50='Données projet'!$A$36,'Données projet'!$B$36,N49+M50-V49)))</f>
        <v>451.39999999999981</v>
      </c>
      <c r="O50" s="13">
        <f>N50*VLOOKUP('Données projet'!$B$9,Paramètres!$A$1:$I$89,3,0)*VLOOKUP('Données projet'!$B$9,Paramètres!$A$1:$I$89,5,0)</f>
        <v>252.3325999999999</v>
      </c>
      <c r="P50" s="13">
        <f t="shared" si="33"/>
        <v>61.08516173401626</v>
      </c>
      <c r="Q50" s="20">
        <f t="shared" si="53"/>
        <v>545.86926835341148</v>
      </c>
      <c r="R50" s="59">
        <f t="shared" si="0"/>
        <v>839.20260168674486</v>
      </c>
      <c r="S50" s="59">
        <f ca="1">AVERAGE(OFFSET($R$3,0,0,'Données projet'!$E$9+1,1))-AVERAGE(OFFSET($H$3,0,0,'Données projet'!$E$9+1,1))</f>
        <v>356.67698551373468</v>
      </c>
      <c r="T50" s="59">
        <f t="shared" si="34"/>
        <v>353.21836615408171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3.2621678793682136</v>
      </c>
      <c r="AA50" s="21">
        <f>EXP(-LN(2)/25)*AA49+(1-EXP(-LN(2)/25))/(LN(2)/25)*Calculateur!V50*Calculateur!X50*VLOOKUP('Données projet'!$B$9,Paramètres!$A$1:$I$89,3,0)*0.475*44/12</f>
        <v>18.832906537020563</v>
      </c>
      <c r="AB50" s="21">
        <f>EXP(-LN(2)/2)*AB49+(1-EXP(-LN(2)/2))/(LN(2)/2)*V50*Y50*VLOOKUP('Données projet'!$B$9,Paramètres!$A$1:$I$89,3,0)*0.475*44/12</f>
        <v>8.9830426660480134E-2</v>
      </c>
      <c r="AC50" s="22">
        <f t="shared" si="3"/>
        <v>22.184904843049257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12.4</v>
      </c>
      <c r="AI50" s="13">
        <f>IF('Données projet'!$A$62&gt;35,AI49+AH50-AQ49,IF(A50&lt;'Données projet'!$A$62,$AF$205^A50,IF(A50='Données projet'!$A$62,'Données projet'!$B$62,AI49+AH50-AQ49)))</f>
        <v>334.79999999999995</v>
      </c>
      <c r="AJ50" s="13">
        <f>AI50*VLOOKUP('Données projet'!$B$10,Paramètres!$A$1:$I$89,3,0)*VLOOKUP('Données projet'!$B$10,Paramètres!$A$1:$I$89,5,0)</f>
        <v>208.91519999999997</v>
      </c>
      <c r="AK50" s="13">
        <f t="shared" si="35"/>
        <v>51.698458198123326</v>
      </c>
      <c r="AL50" s="20">
        <f t="shared" si="4"/>
        <v>453.90212136173136</v>
      </c>
      <c r="AM50" s="59">
        <f t="shared" si="5"/>
        <v>747.23545469506462</v>
      </c>
      <c r="AN50" s="59">
        <f ca="1">AVERAGE(OFFSET($AM$3,0,0,'Données projet'!$E$10+1,1))-AVERAGE(OFFSET($H$3,0,0,'Données projet'!$E$10+1,1))</f>
        <v>285.77483300338548</v>
      </c>
      <c r="AO50" s="59">
        <f t="shared" si="36"/>
        <v>320.55212417690637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5.9588013695013426</v>
      </c>
      <c r="AV50" s="21">
        <f>EXP(-LN(2)/25)*AV49+(1-EXP(-LN(2)/25))/(LN(2)/25)*Calculateur!AQ50*Calculateur!AS50*VLOOKUP('Données projet'!$B$10,Paramètres!$A$1:$I$89,3,0)*0.475*44/12</f>
        <v>17.395403628032053</v>
      </c>
      <c r="AW50" s="21">
        <f>EXP(-LN(2)/2)*AW49+(1-EXP(-LN(2)/2))/(LN(2)/2)*AQ50*AT50*VLOOKUP('Données projet'!$B$10,Paramètres!$A$1:$I$89,3,0)*0.475*44/12</f>
        <v>6.7399405163826059E-2</v>
      </c>
      <c r="AX50" s="21">
        <f t="shared" si="6"/>
        <v>23.42160440269722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23.4</v>
      </c>
      <c r="BD50" s="12">
        <f>IF('Données projet'!$A$88&gt;35,BD49+BC50-BL49,IF(A50&lt;'Données projet'!$A$88,$BA$205^A50,IF(A50='Données projet'!$A$88,'Données projet'!$B$88,BD49+BC50-BL49)))</f>
        <v>499.8</v>
      </c>
      <c r="BE50" s="13">
        <f>BD50*VLOOKUP('Données projet'!$B$11,Paramètres!$A$1:$I$89,3,0)*VLOOKUP('Données projet'!$B$11,Paramètres!$A$1:$I$89,5,0)</f>
        <v>240.40380000000002</v>
      </c>
      <c r="BF50" s="13">
        <f t="shared" si="37"/>
        <v>58.526401517229864</v>
      </c>
      <c r="BG50" s="20">
        <f t="shared" si="7"/>
        <v>520.63676764250874</v>
      </c>
      <c r="BH50" s="59">
        <f t="shared" si="8"/>
        <v>813.97010097584212</v>
      </c>
      <c r="BI50" s="59">
        <f ca="1">AVERAGE(OFFSET($BH$3,0,0,'Données projet'!$E$11+1,1))-AVERAGE(OFFSET($H$3,0,0,'Données projet'!$E$11+1,1))</f>
        <v>327.58421465651799</v>
      </c>
      <c r="BJ50" s="59">
        <f t="shared" si="38"/>
        <v>296.73904998640018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4.8119685662441407</v>
      </c>
      <c r="BQ50" s="21">
        <f>EXP(-LN(2)/25)*BQ49+(1-EXP(-LN(2)/25))/(LN(2)/25)*Calculateur!BL50*Calculateur!BN50*VLOOKUP('Données projet'!$B$11,Paramètres!$A$1:$I$89,3,0)*0.475*44/12</f>
        <v>8.3782553297735713</v>
      </c>
      <c r="BR50" s="21">
        <f>EXP(-LN(2)/2)*BR49+(1-EXP(-LN(2)/2))/(LN(2)/2)*BL50*BO50*VLOOKUP('Données projet'!$B$11,Paramètres!$A$1:$I$89,3,0)*0.475*44/12</f>
        <v>5.7763949123394893E-2</v>
      </c>
      <c r="BS50" s="22">
        <f t="shared" si="9"/>
        <v>13.247987845141107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19.2</v>
      </c>
      <c r="N51" s="13">
        <f>IF('Données projet'!$A$36&gt;35,N50+M51-V50,IF(A51&lt;'Données projet'!$A$36,$K$205^A51,IF(A51='Données projet'!$A$36,'Données projet'!$B$36,N50+M51-V50)))</f>
        <v>470.5999999999998</v>
      </c>
      <c r="O51" s="13">
        <f>N51*VLOOKUP('Données projet'!$B$9,Paramètres!$A$1:$I$89,3,0)*VLOOKUP('Données projet'!$B$9,Paramètres!$A$1:$I$89,5,0)</f>
        <v>263.0653999999999</v>
      </c>
      <c r="P51" s="13">
        <f t="shared" si="33"/>
        <v>63.375350953508303</v>
      </c>
      <c r="Q51" s="20">
        <f t="shared" si="53"/>
        <v>568.55097457736008</v>
      </c>
      <c r="R51" s="59">
        <f t="shared" si="0"/>
        <v>861.88430791069345</v>
      </c>
      <c r="S51" s="59">
        <f ca="1">AVERAGE(OFFSET($R$3,0,0,'Données projet'!$E$9+1,1))-AVERAGE(OFFSET($H$3,0,0,'Données projet'!$E$9+1,1))</f>
        <v>356.67698551373468</v>
      </c>
      <c r="T51" s="59">
        <f t="shared" si="34"/>
        <v>353.21836615408171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3.1981987569797403</v>
      </c>
      <c r="AA51" s="21">
        <f>EXP(-LN(2)/25)*AA50+(1-EXP(-LN(2)/25))/(LN(2)/25)*Calculateur!V51*Calculateur!X51*VLOOKUP('Données projet'!$B$9,Paramètres!$A$1:$I$89,3,0)*0.475*44/12</f>
        <v>18.317919717386225</v>
      </c>
      <c r="AB51" s="21">
        <f>EXP(-LN(2)/2)*AB50+(1-EXP(-LN(2)/2))/(LN(2)/2)*V51*Y51*VLOOKUP('Données projet'!$B$9,Paramètres!$A$1:$I$89,3,0)*0.475*44/12</f>
        <v>6.3519703848506331E-2</v>
      </c>
      <c r="AC51" s="22">
        <f t="shared" si="3"/>
        <v>21.57963817821447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12.4</v>
      </c>
      <c r="AI51" s="13">
        <f>IF('Données projet'!$A$62&gt;35,AI50+AH51-AQ50,IF(A51&lt;'Données projet'!$A$62,$AF$205^A51,IF(A51='Données projet'!$A$62,'Données projet'!$B$62,AI50+AH51-AQ50)))</f>
        <v>347.19999999999993</v>
      </c>
      <c r="AJ51" s="13">
        <f>AI51*VLOOKUP('Données projet'!$B$10,Paramètres!$A$1:$I$89,3,0)*VLOOKUP('Données projet'!$B$10,Paramètres!$A$1:$I$89,5,0)</f>
        <v>216.65279999999993</v>
      </c>
      <c r="AK51" s="13">
        <f t="shared" si="35"/>
        <v>53.38674047237982</v>
      </c>
      <c r="AL51" s="20">
        <f t="shared" si="4"/>
        <v>470.31886632272807</v>
      </c>
      <c r="AM51" s="59">
        <f t="shared" si="5"/>
        <v>763.65219965606138</v>
      </c>
      <c r="AN51" s="59">
        <f ca="1">AVERAGE(OFFSET($AM$3,0,0,'Données projet'!$E$10+1,1))-AVERAGE(OFFSET($H$3,0,0,'Données projet'!$E$10+1,1))</f>
        <v>285.77483300338548</v>
      </c>
      <c r="AO51" s="59">
        <f t="shared" si="36"/>
        <v>320.55212417690637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5.8419529091553786</v>
      </c>
      <c r="AV51" s="21">
        <f>EXP(-LN(2)/25)*AV50+(1-EXP(-LN(2)/25))/(LN(2)/25)*Calculateur!AQ51*Calculateur!AS51*VLOOKUP('Données projet'!$B$10,Paramètres!$A$1:$I$89,3,0)*0.475*44/12</f>
        <v>16.919725401038999</v>
      </c>
      <c r="AW51" s="21">
        <f>EXP(-LN(2)/2)*AW50+(1-EXP(-LN(2)/2))/(LN(2)/2)*AQ51*AT51*VLOOKUP('Données projet'!$B$10,Paramètres!$A$1:$I$89,3,0)*0.475*44/12</f>
        <v>4.7658576439281015E-2</v>
      </c>
      <c r="AX51" s="21">
        <f t="shared" si="6"/>
        <v>22.809336886633659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23.4</v>
      </c>
      <c r="BD51" s="12">
        <f>IF('Données projet'!$A$88&gt;35,BD50+BC51-BL50,IF(A51&lt;'Données projet'!$A$88,$BA$205^A51,IF(A51='Données projet'!$A$88,'Données projet'!$B$88,BD50+BC51-BL50)))</f>
        <v>523.20000000000005</v>
      </c>
      <c r="BE51" s="13">
        <f>BD51*VLOOKUP('Données projet'!$B$11,Paramètres!$A$1:$I$89,3,0)*VLOOKUP('Données projet'!$B$11,Paramètres!$A$1:$I$89,5,0)</f>
        <v>251.65920000000003</v>
      </c>
      <c r="BF51" s="13">
        <f t="shared" si="37"/>
        <v>60.941096662073818</v>
      </c>
      <c r="BG51" s="20">
        <f t="shared" si="7"/>
        <v>544.44551668644533</v>
      </c>
      <c r="BH51" s="59">
        <f t="shared" si="8"/>
        <v>837.7788500197787</v>
      </c>
      <c r="BI51" s="59">
        <f ca="1">AVERAGE(OFFSET($BH$3,0,0,'Données projet'!$E$11+1,1))-AVERAGE(OFFSET($H$3,0,0,'Données projet'!$E$11+1,1))</f>
        <v>327.58421465651799</v>
      </c>
      <c r="BJ51" s="59">
        <f t="shared" si="38"/>
        <v>296.73904998640018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4.7176087976711099</v>
      </c>
      <c r="BQ51" s="21">
        <f>EXP(-LN(2)/25)*BQ50+(1-EXP(-LN(2)/25))/(LN(2)/25)*Calculateur!BL51*Calculateur!BN51*VLOOKUP('Données projet'!$B$11,Paramètres!$A$1:$I$89,3,0)*0.475*44/12</f>
        <v>8.1491514971876136</v>
      </c>
      <c r="BR51" s="21">
        <f>EXP(-LN(2)/2)*BR50+(1-EXP(-LN(2)/2))/(LN(2)/2)*BL51*BO51*VLOOKUP('Données projet'!$B$11,Paramètres!$A$1:$I$89,3,0)*0.475*44/12</f>
        <v>4.0845280133267256E-2</v>
      </c>
      <c r="BS51" s="22">
        <f t="shared" si="9"/>
        <v>12.90760557499199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19.2</v>
      </c>
      <c r="N52" s="13">
        <f>IF('Données projet'!$A$36&gt;35,N51+M52-V51,IF(A52&lt;'Données projet'!$A$36,$K$205^A52,IF(A52='Données projet'!$A$36,'Données projet'!$B$36,N51+M52-V51)))</f>
        <v>489.79999999999978</v>
      </c>
      <c r="O52" s="13">
        <f>N52*VLOOKUP('Données projet'!$B$9,Paramètres!$A$1:$I$89,3,0)*VLOOKUP('Données projet'!$B$9,Paramètres!$A$1:$I$89,5,0)</f>
        <v>273.79819999999989</v>
      </c>
      <c r="P52" s="13">
        <f t="shared" si="33"/>
        <v>65.654686665964775</v>
      </c>
      <c r="Q52" s="20">
        <f t="shared" si="53"/>
        <v>591.21377760988844</v>
      </c>
      <c r="R52" s="59">
        <f t="shared" si="0"/>
        <v>884.5471109432217</v>
      </c>
      <c r="S52" s="59">
        <f ca="1">AVERAGE(OFFSET($R$3,0,0,'Données projet'!$E$9+1,1))-AVERAGE(OFFSET($H$3,0,0,'Données projet'!$E$9+1,1))</f>
        <v>356.67698551373468</v>
      </c>
      <c r="T52" s="59">
        <f t="shared" si="34"/>
        <v>353.21836615408171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3.135484030063993</v>
      </c>
      <c r="AA52" s="21">
        <f>EXP(-LN(2)/25)*AA51+(1-EXP(-LN(2)/25))/(LN(2)/25)*Calculateur!V52*Calculateur!X52*VLOOKUP('Données projet'!$B$9,Paramètres!$A$1:$I$89,3,0)*0.475*44/12</f>
        <v>17.817015239416765</v>
      </c>
      <c r="AB52" s="21">
        <f>EXP(-LN(2)/2)*AB51+(1-EXP(-LN(2)/2))/(LN(2)/2)*V52*Y52*VLOOKUP('Données projet'!$B$9,Paramètres!$A$1:$I$89,3,0)*0.475*44/12</f>
        <v>4.4915213330240067E-2</v>
      </c>
      <c r="AC52" s="22">
        <f t="shared" si="3"/>
        <v>20.997414482810996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12.4</v>
      </c>
      <c r="AI52" s="13">
        <f>IF('Données projet'!$A$62&gt;35,AI51+AH52-AQ51,IF(A52&lt;'Données projet'!$A$62,$AF$205^A52,IF(A52='Données projet'!$A$62,'Données projet'!$B$62,AI51+AH52-AQ51)))</f>
        <v>359.59999999999991</v>
      </c>
      <c r="AJ52" s="13">
        <f>AI52*VLOOKUP('Données projet'!$B$10,Paramètres!$A$1:$I$89,3,0)*VLOOKUP('Données projet'!$B$10,Paramètres!$A$1:$I$89,5,0)</f>
        <v>224.39039999999994</v>
      </c>
      <c r="AK52" s="13">
        <f t="shared" si="35"/>
        <v>55.068017311015858</v>
      </c>
      <c r="AL52" s="20">
        <f t="shared" si="4"/>
        <v>486.72341015001916</v>
      </c>
      <c r="AM52" s="59">
        <f t="shared" si="5"/>
        <v>780.05674348335242</v>
      </c>
      <c r="AN52" s="59">
        <f ca="1">AVERAGE(OFFSET($AM$3,0,0,'Données projet'!$E$10+1,1))-AVERAGE(OFFSET($H$3,0,0,'Données projet'!$E$10+1,1))</f>
        <v>285.77483300338548</v>
      </c>
      <c r="AO52" s="59">
        <f t="shared" si="36"/>
        <v>320.55212417690637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5.7273957758462757</v>
      </c>
      <c r="AV52" s="21">
        <f>EXP(-LN(2)/25)*AV51+(1-EXP(-LN(2)/25))/(LN(2)/25)*Calculateur!AQ52*Calculateur!AS52*VLOOKUP('Données projet'!$B$10,Paramètres!$A$1:$I$89,3,0)*0.475*44/12</f>
        <v>16.4570546201779</v>
      </c>
      <c r="AW52" s="21">
        <f>EXP(-LN(2)/2)*AW51+(1-EXP(-LN(2)/2))/(LN(2)/2)*AQ52*AT52*VLOOKUP('Données projet'!$B$10,Paramètres!$A$1:$I$89,3,0)*0.475*44/12</f>
        <v>3.369970258191303E-2</v>
      </c>
      <c r="AX52" s="21">
        <f t="shared" si="6"/>
        <v>22.218150098606088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23.4</v>
      </c>
      <c r="BD52" s="12">
        <f>IF('Données projet'!$A$88&gt;35,BD51+BC52-BL51,IF(A52&lt;'Données projet'!$A$88,$BA$205^A52,IF(A52='Données projet'!$A$88,'Données projet'!$B$88,BD51+BC52-BL51)))</f>
        <v>546.6</v>
      </c>
      <c r="BE52" s="13">
        <f>BD52*VLOOKUP('Données projet'!$B$11,Paramètres!$A$1:$I$89,3,0)*VLOOKUP('Données projet'!$B$11,Paramètres!$A$1:$I$89,5,0)</f>
        <v>262.91460000000001</v>
      </c>
      <c r="BF52" s="13">
        <f t="shared" si="37"/>
        <v>63.343249242006998</v>
      </c>
      <c r="BG52" s="20">
        <f t="shared" si="7"/>
        <v>568.23242076316217</v>
      </c>
      <c r="BH52" s="59">
        <f t="shared" si="8"/>
        <v>861.56575409649554</v>
      </c>
      <c r="BI52" s="59">
        <f ca="1">AVERAGE(OFFSET($BH$3,0,0,'Données projet'!$E$11+1,1))-AVERAGE(OFFSET($H$3,0,0,'Données projet'!$E$11+1,1))</f>
        <v>327.58421465651799</v>
      </c>
      <c r="BJ52" s="59">
        <f t="shared" si="38"/>
        <v>296.73904998640018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4.6250993666060207</v>
      </c>
      <c r="BQ52" s="21">
        <f>EXP(-LN(2)/25)*BQ51+(1-EXP(-LN(2)/25))/(LN(2)/25)*Calculateur!BL52*Calculateur!BN52*VLOOKUP('Données projet'!$B$11,Paramètres!$A$1:$I$89,3,0)*0.475*44/12</f>
        <v>7.9263125209517664</v>
      </c>
      <c r="BR52" s="21">
        <f>EXP(-LN(2)/2)*BR51+(1-EXP(-LN(2)/2))/(LN(2)/2)*BL52*BO52*VLOOKUP('Données projet'!$B$11,Paramètres!$A$1:$I$89,3,0)*0.475*44/12</f>
        <v>2.8881974561697447E-2</v>
      </c>
      <c r="BS52" s="22">
        <f t="shared" si="9"/>
        <v>12.580293862119484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509</v>
      </c>
      <c r="L53" s="12">
        <f>VLOOKUP(A53,'Données projet'!$A$35:$I$55,9,0)</f>
        <v>19.2</v>
      </c>
      <c r="M53" s="12">
        <f t="array" ref="M53">INDEX(L:L,MIN(IF(ISNUMBER(L53:L249),ROW(L53:L249),"")))</f>
        <v>19.2</v>
      </c>
      <c r="N53" s="13">
        <f>IF('Données projet'!$A$36&gt;35,N52+M53-V52,IF(A53&lt;'Données projet'!$A$36,$K$205^A53,IF(A53='Données projet'!$A$36,'Données projet'!$B$36,N52+M53-V52)))</f>
        <v>508.99999999999977</v>
      </c>
      <c r="O53" s="13">
        <f>N53*VLOOKUP('Données projet'!$B$9,Paramètres!$A$1:$I$89,3,0)*VLOOKUP('Données projet'!$B$9,Paramètres!$A$1:$I$89,5,0)</f>
        <v>284.53099999999989</v>
      </c>
      <c r="P53" s="13">
        <f t="shared" si="33"/>
        <v>67.92364301353318</v>
      </c>
      <c r="Q53" s="20">
        <f t="shared" si="53"/>
        <v>613.85850324857017</v>
      </c>
      <c r="R53" s="59">
        <f t="shared" si="0"/>
        <v>907.19183658190354</v>
      </c>
      <c r="S53" s="59">
        <f ca="1">AVERAGE(OFFSET($R$3,0,0,'Données projet'!$E$9+1,1))-AVERAGE(OFFSET($H$3,0,0,'Données projet'!$E$9+1,1))</f>
        <v>356.67698551373468</v>
      </c>
      <c r="T53" s="59">
        <f t="shared" si="34"/>
        <v>353.21836615408171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108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3.0739991006908571</v>
      </c>
      <c r="AA53" s="21">
        <f>EXP(-LN(2)/25)*AA52+(1-EXP(-LN(2)/25))/(LN(2)/25)*Calculateur!V53*Calculateur!X53*VLOOKUP('Données projet'!$B$9,Paramètres!$A$1:$I$89,3,0)*0.475*44/12</f>
        <v>17.329808020738803</v>
      </c>
      <c r="AB53" s="21">
        <f>EXP(-LN(2)/2)*AB52+(1-EXP(-LN(2)/2))/(LN(2)/2)*V53*Y53*VLOOKUP('Données projet'!$B$9,Paramètres!$A$1:$I$89,3,0)*0.475*44/12</f>
        <v>3.1759851924253166E-2</v>
      </c>
      <c r="AC53" s="22">
        <f t="shared" si="3"/>
        <v>20.435566973353911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372</v>
      </c>
      <c r="AG53" s="12">
        <f>VLOOKUP(A53,'Données projet'!$A$61:$I$81,9,0)</f>
        <v>12.4</v>
      </c>
      <c r="AH53" s="12">
        <f t="array" ref="AH53">INDEX(AG:AG,MIN(IF(ISNUMBER(AG53:AG249),ROW(AG53:AG249),"")))</f>
        <v>12.4</v>
      </c>
      <c r="AI53" s="13">
        <f>IF('Données projet'!$A$62&gt;35,AI52+AH53-AQ52,IF(A53&lt;'Données projet'!$A$62,$AF$205^A53,IF(A53='Données projet'!$A$62,'Données projet'!$B$62,AI52+AH53-AQ52)))</f>
        <v>371.99999999999989</v>
      </c>
      <c r="AJ53" s="13">
        <f>AI53*VLOOKUP('Données projet'!$B$10,Paramètres!$A$1:$I$89,3,0)*VLOOKUP('Données projet'!$B$10,Paramètres!$A$1:$I$89,5,0)</f>
        <v>232.12799999999993</v>
      </c>
      <c r="AK53" s="13">
        <f t="shared" si="35"/>
        <v>56.742557967082398</v>
      </c>
      <c r="AL53" s="20">
        <f t="shared" si="4"/>
        <v>503.11622179266834</v>
      </c>
      <c r="AM53" s="59">
        <f t="shared" si="5"/>
        <v>796.44955512600166</v>
      </c>
      <c r="AN53" s="59">
        <f ca="1">AVERAGE(OFFSET($AM$3,0,0,'Données projet'!$E$10+1,1))-AVERAGE(OFFSET($H$3,0,0,'Données projet'!$E$10+1,1))</f>
        <v>285.77483300338548</v>
      </c>
      <c r="AO53" s="59">
        <f t="shared" si="36"/>
        <v>320.55212417690637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5.6150850380484121</v>
      </c>
      <c r="AV53" s="21">
        <f>EXP(-LN(2)/25)*AV52+(1-EXP(-LN(2)/25))/(LN(2)/25)*Calculateur!AQ53*Calculateur!AS53*VLOOKUP('Données projet'!$B$10,Paramètres!$A$1:$I$89,3,0)*0.475*44/12</f>
        <v>16.007035596150246</v>
      </c>
      <c r="AW53" s="21">
        <f>EXP(-LN(2)/2)*AW52+(1-EXP(-LN(2)/2))/(LN(2)/2)*AQ53*AT53*VLOOKUP('Données projet'!$B$10,Paramètres!$A$1:$I$89,3,0)*0.475*44/12</f>
        <v>2.3829288219640508E-2</v>
      </c>
      <c r="AX53" s="21">
        <f t="shared" si="6"/>
        <v>21.6459499224183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570</v>
      </c>
      <c r="BB53" s="12">
        <f>VLOOKUP(A53,'Données projet'!$A$87:$I$107,9,0)</f>
        <v>23.4</v>
      </c>
      <c r="BC53" s="12">
        <f t="array" ref="BC53">INDEX(BB:BB,MIN(IF(ISNUMBER(BB53:BB249),ROW(BB53:BB249),"")))</f>
        <v>23.4</v>
      </c>
      <c r="BD53" s="12">
        <f>IF('Données projet'!$A$88&gt;35,BD52+BC53-BL52,IF(A53&lt;'Données projet'!$A$88,$BA$205^A53,IF(A53='Données projet'!$A$88,'Données projet'!$B$88,BD52+BC53-BL52)))</f>
        <v>570</v>
      </c>
      <c r="BE53" s="13">
        <f>BD53*VLOOKUP('Données projet'!$B$11,Paramètres!$A$1:$I$89,3,0)*VLOOKUP('Données projet'!$B$11,Paramètres!$A$1:$I$89,5,0)</f>
        <v>274.17</v>
      </c>
      <c r="BF53" s="13">
        <f t="shared" si="37"/>
        <v>65.73345758815563</v>
      </c>
      <c r="BG53" s="20">
        <f t="shared" si="7"/>
        <v>591.99852196603786</v>
      </c>
      <c r="BH53" s="59">
        <f t="shared" si="8"/>
        <v>885.33185529937123</v>
      </c>
      <c r="BI53" s="59">
        <f ca="1">AVERAGE(OFFSET($BH$3,0,0,'Données projet'!$E$11+1,1))-AVERAGE(OFFSET($H$3,0,0,'Données projet'!$E$11+1,1))</f>
        <v>327.58421465651799</v>
      </c>
      <c r="BJ53" s="59">
        <f t="shared" si="38"/>
        <v>296.73904998640018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132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4.5344039890589363</v>
      </c>
      <c r="BQ53" s="21">
        <f>EXP(-LN(2)/25)*BQ52+(1-EXP(-LN(2)/25))/(LN(2)/25)*Calculateur!BL53*Calculateur!BN53*VLOOKUP('Données projet'!$B$11,Paramètres!$A$1:$I$89,3,0)*0.475*44/12</f>
        <v>7.7095670882396803</v>
      </c>
      <c r="BR53" s="21">
        <f>EXP(-LN(2)/2)*BR52+(1-EXP(-LN(2)/2))/(LN(2)/2)*BL53*BO53*VLOOKUP('Données projet'!$B$11,Paramètres!$A$1:$I$89,3,0)*0.475*44/12</f>
        <v>2.0422640066633628E-2</v>
      </c>
      <c r="BS53" s="22">
        <f t="shared" si="9"/>
        <v>12.264393717365252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16.2</v>
      </c>
      <c r="N54" s="13">
        <f>IF('Données projet'!$A$36&gt;35,N53+M54-V53,IF(A54&lt;'Données projet'!$A$36,$K$205^A54,IF(A54='Données projet'!$A$36,'Données projet'!$B$36,N53+M54-V53)))</f>
        <v>417.19999999999982</v>
      </c>
      <c r="O54" s="13">
        <f>N54*VLOOKUP('Données projet'!$B$9,Paramètres!$A$1:$I$89,3,0)*VLOOKUP('Données projet'!$B$9,Paramètres!$A$1:$I$89,5,0)</f>
        <v>233.21479999999991</v>
      </c>
      <c r="P54" s="13">
        <f t="shared" si="33"/>
        <v>56.977233907865298</v>
      </c>
      <c r="Q54" s="20">
        <f t="shared" si="53"/>
        <v>505.41779238953194</v>
      </c>
      <c r="R54" s="59">
        <f t="shared" si="0"/>
        <v>798.75112572286525</v>
      </c>
      <c r="S54" s="59">
        <f ca="1">AVERAGE(OFFSET($R$3,0,0,'Données projet'!$E$9+1,1))-AVERAGE(OFFSET($H$3,0,0,'Données projet'!$E$9+1,1))</f>
        <v>356.67698551373468</v>
      </c>
      <c r="T54" s="59">
        <f t="shared" si="34"/>
        <v>353.21836615408171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3.0137198532806244</v>
      </c>
      <c r="AA54" s="21">
        <f>EXP(-LN(2)/25)*AA53+(1-EXP(-LN(2)/25))/(LN(2)/25)*Calculateur!V54*Calculateur!X54*VLOOKUP('Données projet'!$B$9,Paramètres!$A$1:$I$89,3,0)*0.475*44/12</f>
        <v>16.855923509076703</v>
      </c>
      <c r="AB54" s="21">
        <f>EXP(-LN(2)/2)*AB53+(1-EXP(-LN(2)/2))/(LN(2)/2)*V54*Y54*VLOOKUP('Données projet'!$B$9,Paramètres!$A$1:$I$89,3,0)*0.475*44/12</f>
        <v>2.2457606665120033E-2</v>
      </c>
      <c r="AC54" s="22">
        <f t="shared" si="3"/>
        <v>19.892100969022447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</v>
      </c>
      <c r="AI54" s="13">
        <f>IF('Données projet'!$A$62&gt;35,AI53+AH54-AQ53,IF(A54&lt;'Données projet'!$A$62,$AF$205^A54,IF(A54='Données projet'!$A$62,'Données projet'!$B$62,AI53+AH54-AQ53)))</f>
        <v>313.99999999999989</v>
      </c>
      <c r="AJ54" s="13">
        <f>AI54*VLOOKUP('Données projet'!$B$10,Paramètres!$A$1:$I$89,3,0)*VLOOKUP('Données projet'!$B$10,Paramètres!$A$1:$I$89,5,0)</f>
        <v>195.93599999999992</v>
      </c>
      <c r="AK54" s="13">
        <f t="shared" si="35"/>
        <v>48.849959202565856</v>
      </c>
      <c r="AL54" s="20">
        <f t="shared" si="4"/>
        <v>426.33554561113533</v>
      </c>
      <c r="AM54" s="59">
        <f t="shared" si="5"/>
        <v>719.66887894446859</v>
      </c>
      <c r="AN54" s="59">
        <f ca="1">AVERAGE(OFFSET($AM$3,0,0,'Données projet'!$E$10+1,1))-AVERAGE(OFFSET($H$3,0,0,'Données projet'!$E$10+1,1))</f>
        <v>285.77483300338548</v>
      </c>
      <c r="AO54" s="59">
        <f t="shared" si="36"/>
        <v>320.55212417690637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5.5049766453159785</v>
      </c>
      <c r="AV54" s="21">
        <f>EXP(-LN(2)/25)*AV53+(1-EXP(-LN(2)/25))/(LN(2)/25)*Calculateur!AQ54*Calculateur!AS54*VLOOKUP('Données projet'!$B$10,Paramètres!$A$1:$I$89,3,0)*0.475*44/12</f>
        <v>15.569322366000099</v>
      </c>
      <c r="AW54" s="21">
        <f>EXP(-LN(2)/2)*AW53+(1-EXP(-LN(2)/2))/(LN(2)/2)*AQ54*AT54*VLOOKUP('Données projet'!$B$10,Paramètres!$A$1:$I$89,3,0)*0.475*44/12</f>
        <v>1.6849851290956515E-2</v>
      </c>
      <c r="AX54" s="21">
        <f t="shared" si="6"/>
        <v>21.091148862607035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19.2</v>
      </c>
      <c r="BD54" s="12">
        <f>IF('Données projet'!$A$88&gt;35,BD53+BC54-BL53,IF(A54&lt;'Données projet'!$A$88,$BA$205^A54,IF(A54='Données projet'!$A$88,'Données projet'!$B$88,BD53+BC54-BL53)))</f>
        <v>457.20000000000005</v>
      </c>
      <c r="BE54" s="13">
        <f>BD54*VLOOKUP('Données projet'!$B$11,Paramètres!$A$1:$I$89,3,0)*VLOOKUP('Données projet'!$B$11,Paramètres!$A$1:$I$89,5,0)</f>
        <v>219.91320000000002</v>
      </c>
      <c r="BF54" s="13">
        <f t="shared" si="37"/>
        <v>54.096019736193234</v>
      </c>
      <c r="BG54" s="20">
        <f t="shared" si="7"/>
        <v>477.23272437386987</v>
      </c>
      <c r="BH54" s="59">
        <f t="shared" si="8"/>
        <v>770.56605770720319</v>
      </c>
      <c r="BI54" s="59">
        <f ca="1">AVERAGE(OFFSET($BH$3,0,0,'Données projet'!$E$11+1,1))-AVERAGE(OFFSET($H$3,0,0,'Données projet'!$E$11+1,1))</f>
        <v>327.58421465651799</v>
      </c>
      <c r="BJ54" s="59">
        <f t="shared" si="38"/>
        <v>296.73904998640018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4.4454870925468324</v>
      </c>
      <c r="BQ54" s="21">
        <f>EXP(-LN(2)/25)*BQ53+(1-EXP(-LN(2)/25))/(LN(2)/25)*Calculateur!BL54*Calculateur!BN54*VLOOKUP('Données projet'!$B$11,Paramètres!$A$1:$I$89,3,0)*0.475*44/12</f>
        <v>7.4987485707832535</v>
      </c>
      <c r="BR54" s="21">
        <f>EXP(-LN(2)/2)*BR53+(1-EXP(-LN(2)/2))/(LN(2)/2)*BL54*BO54*VLOOKUP('Données projet'!$B$11,Paramètres!$A$1:$I$89,3,0)*0.475*44/12</f>
        <v>1.4440987280848723E-2</v>
      </c>
      <c r="BS54" s="22">
        <f t="shared" si="9"/>
        <v>11.958676650610936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16.2</v>
      </c>
      <c r="N55" s="13">
        <f>IF('Données projet'!$A$36&gt;35,N54+M55-V54,IF(A55&lt;'Données projet'!$A$36,$K$205^A55,IF(A55='Données projet'!$A$36,'Données projet'!$B$36,N54+M55-V54)))</f>
        <v>433.39999999999981</v>
      </c>
      <c r="O55" s="13">
        <f>N55*VLOOKUP('Données projet'!$B$9,Paramètres!$A$1:$I$89,3,0)*VLOOKUP('Données projet'!$B$9,Paramètres!$A$1:$I$89,5,0)</f>
        <v>242.27059999999989</v>
      </c>
      <c r="P55" s="13">
        <f t="shared" si="33"/>
        <v>58.927793080541385</v>
      </c>
      <c r="Q55" s="20">
        <f t="shared" si="53"/>
        <v>524.58720128194273</v>
      </c>
      <c r="R55" s="59">
        <f t="shared" si="0"/>
        <v>817.92053461527598</v>
      </c>
      <c r="S55" s="59">
        <f ca="1">AVERAGE(OFFSET($R$3,0,0,'Données projet'!$E$9+1,1))-AVERAGE(OFFSET($H$3,0,0,'Données projet'!$E$9+1,1))</f>
        <v>356.67698551373468</v>
      </c>
      <c r="T55" s="59">
        <f t="shared" si="34"/>
        <v>353.21836615408171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2.9546226451453959</v>
      </c>
      <c r="AA55" s="21">
        <f>EXP(-LN(2)/25)*AA54+(1-EXP(-LN(2)/25))/(LN(2)/25)*Calculateur!V55*Calculateur!X55*VLOOKUP('Données projet'!$B$9,Paramètres!$A$1:$I$89,3,0)*0.475*44/12</f>
        <v>16.394997394306507</v>
      </c>
      <c r="AB55" s="21">
        <f>EXP(-LN(2)/2)*AB54+(1-EXP(-LN(2)/2))/(LN(2)/2)*V55*Y55*VLOOKUP('Données projet'!$B$9,Paramètres!$A$1:$I$89,3,0)*0.475*44/12</f>
        <v>1.5879925962126583E-2</v>
      </c>
      <c r="AC55" s="22">
        <f t="shared" si="3"/>
        <v>19.365499965414031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</v>
      </c>
      <c r="AI55" s="13">
        <f>IF('Données projet'!$A$62&gt;35,AI54+AH55-AQ54,IF(A55&lt;'Données projet'!$A$62,$AF$205^A55,IF(A55='Données projet'!$A$62,'Données projet'!$B$62,AI54+AH55-AQ54)))</f>
        <v>323.99999999999989</v>
      </c>
      <c r="AJ55" s="13">
        <f>AI55*VLOOKUP('Données projet'!$B$10,Paramètres!$A$1:$I$89,3,0)*VLOOKUP('Données projet'!$B$10,Paramètres!$A$1:$I$89,5,0)</f>
        <v>202.17599999999996</v>
      </c>
      <c r="AK55" s="13">
        <f t="shared" si="35"/>
        <v>50.22208506756467</v>
      </c>
      <c r="AL55" s="20">
        <f t="shared" si="4"/>
        <v>439.59333149267508</v>
      </c>
      <c r="AM55" s="59">
        <f t="shared" si="5"/>
        <v>732.92666482600839</v>
      </c>
      <c r="AN55" s="59">
        <f ca="1">AVERAGE(OFFSET($AM$3,0,0,'Données projet'!$E$10+1,1))-AVERAGE(OFFSET($H$3,0,0,'Données projet'!$E$10+1,1))</f>
        <v>285.77483300338548</v>
      </c>
      <c r="AO55" s="59">
        <f t="shared" si="36"/>
        <v>320.55212417690637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5.3970274110055403</v>
      </c>
      <c r="AV55" s="21">
        <f>EXP(-LN(2)/25)*AV54+(1-EXP(-LN(2)/25))/(LN(2)/25)*Calculateur!AQ55*Calculateur!AS55*VLOOKUP('Données projet'!$B$10,Paramètres!$A$1:$I$89,3,0)*0.475*44/12</f>
        <v>15.143578427146748</v>
      </c>
      <c r="AW55" s="21">
        <f>EXP(-LN(2)/2)*AW54+(1-EXP(-LN(2)/2))/(LN(2)/2)*AQ55*AT55*VLOOKUP('Données projet'!$B$10,Paramètres!$A$1:$I$89,3,0)*0.475*44/12</f>
        <v>1.1914644109820254E-2</v>
      </c>
      <c r="AX55" s="21">
        <f t="shared" si="6"/>
        <v>20.552520482262107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19.2</v>
      </c>
      <c r="BD55" s="12">
        <f>IF('Données projet'!$A$88&gt;35,BD54+BC55-BL54,IF(A55&lt;'Données projet'!$A$88,$BA$205^A55,IF(A55='Données projet'!$A$88,'Données projet'!$B$88,BD54+BC55-BL54)))</f>
        <v>476.40000000000003</v>
      </c>
      <c r="BE55" s="13">
        <f>BD55*VLOOKUP('Données projet'!$B$11,Paramètres!$A$1:$I$89,3,0)*VLOOKUP('Données projet'!$B$11,Paramètres!$A$1:$I$89,5,0)</f>
        <v>229.14840000000001</v>
      </c>
      <c r="BF55" s="13">
        <f t="shared" si="37"/>
        <v>56.098505966182572</v>
      </c>
      <c r="BG55" s="20">
        <f t="shared" si="7"/>
        <v>496.80502789110125</v>
      </c>
      <c r="BH55" s="59">
        <f t="shared" si="8"/>
        <v>790.13836122443456</v>
      </c>
      <c r="BI55" s="59">
        <f ca="1">AVERAGE(OFFSET($BH$3,0,0,'Données projet'!$E$11+1,1))-AVERAGE(OFFSET($H$3,0,0,'Données projet'!$E$11+1,1))</f>
        <v>327.58421465651799</v>
      </c>
      <c r="BJ55" s="59">
        <f t="shared" si="38"/>
        <v>296.73904998640018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4.358313802141379</v>
      </c>
      <c r="BQ55" s="21">
        <f>EXP(-LN(2)/25)*BQ54+(1-EXP(-LN(2)/25))/(LN(2)/25)*Calculateur!BL55*Calculateur!BN55*VLOOKUP('Données projet'!$B$11,Paramètres!$A$1:$I$89,3,0)*0.475*44/12</f>
        <v>7.293694896773137</v>
      </c>
      <c r="BR55" s="21">
        <f>EXP(-LN(2)/2)*BR54+(1-EXP(-LN(2)/2))/(LN(2)/2)*BL55*BO55*VLOOKUP('Données projet'!$B$11,Paramètres!$A$1:$I$89,3,0)*0.475*44/12</f>
        <v>1.0211320033316814E-2</v>
      </c>
      <c r="BS55" s="22">
        <f t="shared" si="9"/>
        <v>11.662220018947833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16.2</v>
      </c>
      <c r="N56" s="13">
        <f>IF('Données projet'!$A$36&gt;35,N55+M56-V55,IF(A56&lt;'Données projet'!$A$36,$K$205^A56,IF(A56='Données projet'!$A$36,'Données projet'!$B$36,N55+M56-V55)))</f>
        <v>449.5999999999998</v>
      </c>
      <c r="O56" s="13">
        <f>N56*VLOOKUP('Données projet'!$B$9,Paramètres!$A$1:$I$89,3,0)*VLOOKUP('Données projet'!$B$9,Paramètres!$A$1:$I$89,5,0)</f>
        <v>251.32639999999989</v>
      </c>
      <c r="P56" s="13">
        <f t="shared" si="33"/>
        <v>60.869881917806573</v>
      </c>
      <c r="Q56" s="20">
        <f t="shared" si="53"/>
        <v>543.74185767351298</v>
      </c>
      <c r="R56" s="59">
        <f t="shared" si="0"/>
        <v>837.07519100684635</v>
      </c>
      <c r="S56" s="59">
        <f ca="1">AVERAGE(OFFSET($R$3,0,0,'Données projet'!$E$9+1,1))-AVERAGE(OFFSET($H$3,0,0,'Données projet'!$E$9+1,1))</f>
        <v>356.67698551373468</v>
      </c>
      <c r="T56" s="59">
        <f t="shared" si="34"/>
        <v>353.21836615408171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2.8966842972159617</v>
      </c>
      <c r="AA56" s="21">
        <f>EXP(-LN(2)/25)*AA55+(1-EXP(-LN(2)/25))/(LN(2)/25)*Calculateur!V56*Calculateur!X56*VLOOKUP('Données projet'!$B$9,Paramètres!$A$1:$I$89,3,0)*0.475*44/12</f>
        <v>15.946675328383755</v>
      </c>
      <c r="AB56" s="21">
        <f>EXP(-LN(2)/2)*AB55+(1-EXP(-LN(2)/2))/(LN(2)/2)*V56*Y56*VLOOKUP('Données projet'!$B$9,Paramètres!$A$1:$I$89,3,0)*0.475*44/12</f>
        <v>1.1228803332560017E-2</v>
      </c>
      <c r="AC56" s="22">
        <f t="shared" si="3"/>
        <v>18.854588428932278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</v>
      </c>
      <c r="AI56" s="13">
        <f>IF('Données projet'!$A$62&gt;35,AI55+AH56-AQ55,IF(A56&lt;'Données projet'!$A$62,$AF$205^A56,IF(A56='Données projet'!$A$62,'Données projet'!$B$62,AI55+AH56-AQ55)))</f>
        <v>333.99999999999989</v>
      </c>
      <c r="AJ56" s="13">
        <f>AI56*VLOOKUP('Données projet'!$B$10,Paramètres!$A$1:$I$89,3,0)*VLOOKUP('Données projet'!$B$10,Paramètres!$A$1:$I$89,5,0)</f>
        <v>208.41599999999991</v>
      </c>
      <c r="AK56" s="13">
        <f t="shared" si="35"/>
        <v>51.589289462027516</v>
      </c>
      <c r="AL56" s="20">
        <f t="shared" si="4"/>
        <v>452.84254581303099</v>
      </c>
      <c r="AM56" s="59">
        <f t="shared" si="5"/>
        <v>746.17587914636431</v>
      </c>
      <c r="AN56" s="59">
        <f ca="1">AVERAGE(OFFSET($AM$3,0,0,'Données projet'!$E$10+1,1))-AVERAGE(OFFSET($H$3,0,0,'Données projet'!$E$10+1,1))</f>
        <v>285.77483300338548</v>
      </c>
      <c r="AO56" s="59">
        <f t="shared" si="36"/>
        <v>320.55212417690637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5.2911949953373982</v>
      </c>
      <c r="AV56" s="21">
        <f>EXP(-LN(2)/25)*AV55+(1-EXP(-LN(2)/25))/(LN(2)/25)*Calculateur!AQ56*Calculateur!AS56*VLOOKUP('Données projet'!$B$10,Paramètres!$A$1:$I$89,3,0)*0.475*44/12</f>
        <v>14.729476478690241</v>
      </c>
      <c r="AW56" s="21">
        <f>EXP(-LN(2)/2)*AW55+(1-EXP(-LN(2)/2))/(LN(2)/2)*AQ56*AT56*VLOOKUP('Données projet'!$B$10,Paramètres!$A$1:$I$89,3,0)*0.475*44/12</f>
        <v>8.4249256454782574E-3</v>
      </c>
      <c r="AX56" s="21">
        <f t="shared" si="6"/>
        <v>20.029096399673119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19.2</v>
      </c>
      <c r="BD56" s="12">
        <f>IF('Données projet'!$A$88&gt;35,BD55+BC56-BL55,IF(A56&lt;'Données projet'!$A$88,$BA$205^A56,IF(A56='Données projet'!$A$88,'Données projet'!$B$88,BD55+BC56-BL55)))</f>
        <v>495.6</v>
      </c>
      <c r="BE56" s="13">
        <f>BD56*VLOOKUP('Données projet'!$B$11,Paramètres!$A$1:$I$89,3,0)*VLOOKUP('Données projet'!$B$11,Paramètres!$A$1:$I$89,5,0)</f>
        <v>238.38360000000003</v>
      </c>
      <c r="BF56" s="13">
        <f t="shared" si="37"/>
        <v>58.091617484887593</v>
      </c>
      <c r="BG56" s="20">
        <f t="shared" si="7"/>
        <v>516.36100378617914</v>
      </c>
      <c r="BH56" s="59">
        <f t="shared" si="8"/>
        <v>809.69433711951251</v>
      </c>
      <c r="BI56" s="59">
        <f ca="1">AVERAGE(OFFSET($BH$3,0,0,'Données projet'!$E$11+1,1))-AVERAGE(OFFSET($H$3,0,0,'Données projet'!$E$11+1,1))</f>
        <v>327.58421465651799</v>
      </c>
      <c r="BJ56" s="59">
        <f t="shared" si="38"/>
        <v>296.73904998640018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4.2728499267903199</v>
      </c>
      <c r="BQ56" s="21">
        <f>EXP(-LN(2)/25)*BQ55+(1-EXP(-LN(2)/25))/(LN(2)/25)*Calculateur!BL56*Calculateur!BN56*VLOOKUP('Données projet'!$B$11,Paramètres!$A$1:$I$89,3,0)*0.475*44/12</f>
        <v>7.0942484262621308</v>
      </c>
      <c r="BR56" s="21">
        <f>EXP(-LN(2)/2)*BR55+(1-EXP(-LN(2)/2))/(LN(2)/2)*BL56*BO56*VLOOKUP('Données projet'!$B$11,Paramètres!$A$1:$I$89,3,0)*0.475*44/12</f>
        <v>7.2204936404243617E-3</v>
      </c>
      <c r="BS56" s="22">
        <f t="shared" si="9"/>
        <v>11.374318846692876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16.2</v>
      </c>
      <c r="N57" s="13">
        <f>IF('Données projet'!$A$36&gt;35,N56+M57-V56,IF(A57&lt;'Données projet'!$A$36,$K$205^A57,IF(A57='Données projet'!$A$36,'Données projet'!$B$36,N56+M57-V56)))</f>
        <v>465.79999999999978</v>
      </c>
      <c r="O57" s="13">
        <f>N57*VLOOKUP('Données projet'!$B$9,Paramètres!$A$1:$I$89,3,0)*VLOOKUP('Données projet'!$B$9,Paramètres!$A$1:$I$89,5,0)</f>
        <v>260.3821999999999</v>
      </c>
      <c r="P57" s="13">
        <f t="shared" si="33"/>
        <v>62.803840584871082</v>
      </c>
      <c r="Q57" s="20">
        <f t="shared" si="53"/>
        <v>562.88235401865029</v>
      </c>
      <c r="R57" s="59">
        <f t="shared" si="0"/>
        <v>856.21568735198366</v>
      </c>
      <c r="S57" s="59">
        <f ca="1">AVERAGE(OFFSET($R$3,0,0,'Données projet'!$E$9+1,1))-AVERAGE(OFFSET($H$3,0,0,'Données projet'!$E$9+1,1))</f>
        <v>356.67698551373468</v>
      </c>
      <c r="T57" s="59">
        <f t="shared" si="34"/>
        <v>353.21836615408171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2.8398820849505206</v>
      </c>
      <c r="AA57" s="21">
        <f>EXP(-LN(2)/25)*AA56+(1-EXP(-LN(2)/25))/(LN(2)/25)*Calculateur!V57*Calculateur!X57*VLOOKUP('Données projet'!$B$9,Paramètres!$A$1:$I$89,3,0)*0.475*44/12</f>
        <v>15.510612652929892</v>
      </c>
      <c r="AB57" s="21">
        <f>EXP(-LN(2)/2)*AB56+(1-EXP(-LN(2)/2))/(LN(2)/2)*V57*Y57*VLOOKUP('Données projet'!$B$9,Paramètres!$A$1:$I$89,3,0)*0.475*44/12</f>
        <v>7.9399629810632914E-3</v>
      </c>
      <c r="AC57" s="22">
        <f t="shared" si="3"/>
        <v>18.358434700861473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</v>
      </c>
      <c r="AI57" s="13">
        <f>IF('Données projet'!$A$62&gt;35,AI56+AH57-AQ56,IF(A57&lt;'Données projet'!$A$62,$AF$205^A57,IF(A57='Données projet'!$A$62,'Données projet'!$B$62,AI56+AH57-AQ56)))</f>
        <v>343.99999999999989</v>
      </c>
      <c r="AJ57" s="13">
        <f>AI57*VLOOKUP('Données projet'!$B$10,Paramètres!$A$1:$I$89,3,0)*VLOOKUP('Données projet'!$B$10,Paramètres!$A$1:$I$89,5,0)</f>
        <v>214.65599999999995</v>
      </c>
      <c r="AK57" s="13">
        <f t="shared" si="35"/>
        <v>52.951736650296546</v>
      </c>
      <c r="AL57" s="20">
        <f t="shared" si="4"/>
        <v>466.08347466593301</v>
      </c>
      <c r="AM57" s="59">
        <f t="shared" si="5"/>
        <v>759.41680799926633</v>
      </c>
      <c r="AN57" s="59">
        <f ca="1">AVERAGE(OFFSET($AM$3,0,0,'Données projet'!$E$10+1,1))-AVERAGE(OFFSET($H$3,0,0,'Données projet'!$E$10+1,1))</f>
        <v>285.77483300338548</v>
      </c>
      <c r="AO57" s="59">
        <f t="shared" si="36"/>
        <v>320.55212417690637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5.1874378887891082</v>
      </c>
      <c r="AV57" s="21">
        <f>EXP(-LN(2)/25)*AV56+(1-EXP(-LN(2)/25))/(LN(2)/25)*Calculateur!AQ57*Calculateur!AS57*VLOOKUP('Données projet'!$B$10,Paramètres!$A$1:$I$89,3,0)*0.475*44/12</f>
        <v>14.326698169790953</v>
      </c>
      <c r="AW57" s="21">
        <f>EXP(-LN(2)/2)*AW56+(1-EXP(-LN(2)/2))/(LN(2)/2)*AQ57*AT57*VLOOKUP('Données projet'!$B$10,Paramètres!$A$1:$I$89,3,0)*0.475*44/12</f>
        <v>5.9573220549101269E-3</v>
      </c>
      <c r="AX57" s="21">
        <f t="shared" si="6"/>
        <v>19.520093380634972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19.2</v>
      </c>
      <c r="BD57" s="12">
        <f>IF('Données projet'!$A$88&gt;35,BD56+BC57-BL56,IF(A57&lt;'Données projet'!$A$88,$BA$205^A57,IF(A57='Données projet'!$A$88,'Données projet'!$B$88,BD56+BC57-BL56)))</f>
        <v>514.80000000000007</v>
      </c>
      <c r="BE57" s="13">
        <f>BD57*VLOOKUP('Données projet'!$B$11,Paramètres!$A$1:$I$89,3,0)*VLOOKUP('Données projet'!$B$11,Paramètres!$A$1:$I$89,5,0)</f>
        <v>247.61880000000005</v>
      </c>
      <c r="BF57" s="13">
        <f t="shared" si="37"/>
        <v>60.075759045345535</v>
      </c>
      <c r="BG57" s="20">
        <f t="shared" si="7"/>
        <v>535.90135700397695</v>
      </c>
      <c r="BH57" s="59">
        <f t="shared" si="8"/>
        <v>829.23469033731021</v>
      </c>
      <c r="BI57" s="59">
        <f ca="1">AVERAGE(OFFSET($BH$3,0,0,'Données projet'!$E$11+1,1))-AVERAGE(OFFSET($H$3,0,0,'Données projet'!$E$11+1,1))</f>
        <v>327.58421465651799</v>
      </c>
      <c r="BJ57" s="59">
        <f t="shared" si="38"/>
        <v>296.73904998640018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4.1890619459070777</v>
      </c>
      <c r="BQ57" s="21">
        <f>EXP(-LN(2)/25)*BQ56+(1-EXP(-LN(2)/25))/(LN(2)/25)*Calculateur!BL57*Calculateur!BN57*VLOOKUP('Données projet'!$B$11,Paramètres!$A$1:$I$89,3,0)*0.475*44/12</f>
        <v>6.9002558299756824</v>
      </c>
      <c r="BR57" s="21">
        <f>EXP(-LN(2)/2)*BR56+(1-EXP(-LN(2)/2))/(LN(2)/2)*BL57*BO57*VLOOKUP('Données projet'!$B$11,Paramètres!$A$1:$I$89,3,0)*0.475*44/12</f>
        <v>5.105660016658407E-3</v>
      </c>
      <c r="BS57" s="22">
        <f t="shared" si="9"/>
        <v>11.094423435899419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16.2</v>
      </c>
      <c r="N58" s="13">
        <f>IF('Données projet'!$A$36&gt;35,N57+M58-V57,IF(A58&lt;'Données projet'!$A$36,$K$205^A58,IF(A58='Données projet'!$A$36,'Données projet'!$B$36,N57+M58-V57)))</f>
        <v>481.99999999999977</v>
      </c>
      <c r="O58" s="13">
        <f>N58*VLOOKUP('Données projet'!$B$9,Paramètres!$A$1:$I$89,3,0)*VLOOKUP('Données projet'!$B$9,Paramètres!$A$1:$I$89,5,0)</f>
        <v>269.43799999999987</v>
      </c>
      <c r="P58" s="13">
        <f t="shared" si="33"/>
        <v>64.729984244002736</v>
      </c>
      <c r="Q58" s="20">
        <f t="shared" si="53"/>
        <v>582.00923922497111</v>
      </c>
      <c r="R58" s="59">
        <f t="shared" si="0"/>
        <v>875.34257255830448</v>
      </c>
      <c r="S58" s="59">
        <f ca="1">AVERAGE(OFFSET($R$3,0,0,'Données projet'!$E$9+1,1))-AVERAGE(OFFSET($H$3,0,0,'Données projet'!$E$9+1,1))</f>
        <v>356.67698551373468</v>
      </c>
      <c r="T58" s="59">
        <f t="shared" si="34"/>
        <v>353.21836615408171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2.7841937294216765</v>
      </c>
      <c r="AA58" s="21">
        <f>EXP(-LN(2)/25)*AA57+(1-EXP(-LN(2)/25))/(LN(2)/25)*Calculateur!V58*Calculateur!X58*VLOOKUP('Données projet'!$B$9,Paramètres!$A$1:$I$89,3,0)*0.475*44/12</f>
        <v>15.086474134267855</v>
      </c>
      <c r="AB58" s="21">
        <f>EXP(-LN(2)/2)*AB57+(1-EXP(-LN(2)/2))/(LN(2)/2)*V58*Y58*VLOOKUP('Données projet'!$B$9,Paramètres!$A$1:$I$89,3,0)*0.475*44/12</f>
        <v>5.6144016662800084E-3</v>
      </c>
      <c r="AC58" s="22">
        <f t="shared" si="3"/>
        <v>17.876282265355808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</v>
      </c>
      <c r="AI58" s="13">
        <f>IF('Données projet'!$A$62&gt;35,AI57+AH58-AQ57,IF(A58&lt;'Données projet'!$A$62,$AF$205^A58,IF(A58='Données projet'!$A$62,'Données projet'!$B$62,AI57+AH58-AQ57)))</f>
        <v>353.99999999999989</v>
      </c>
      <c r="AJ58" s="13">
        <f>AI58*VLOOKUP('Données projet'!$B$10,Paramètres!$A$1:$I$89,3,0)*VLOOKUP('Données projet'!$B$10,Paramètres!$A$1:$I$89,5,0)</f>
        <v>220.89599999999993</v>
      </c>
      <c r="AK58" s="13">
        <f t="shared" si="35"/>
        <v>54.309580803412238</v>
      </c>
      <c r="AL58" s="20">
        <f t="shared" si="4"/>
        <v>479.31638656594276</v>
      </c>
      <c r="AM58" s="59">
        <f t="shared" si="5"/>
        <v>772.64971989927608</v>
      </c>
      <c r="AN58" s="59">
        <f ca="1">AVERAGE(OFFSET($AM$3,0,0,'Données projet'!$E$10+1,1))-AVERAGE(OFFSET($H$3,0,0,'Données projet'!$E$10+1,1))</f>
        <v>285.77483300338548</v>
      </c>
      <c r="AO58" s="59">
        <f t="shared" si="36"/>
        <v>320.55212417690637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5.0857153958146446</v>
      </c>
      <c r="AV58" s="21">
        <f>EXP(-LN(2)/25)*AV57+(1-EXP(-LN(2)/25))/(LN(2)/25)*Calculateur!AQ58*Calculateur!AS58*VLOOKUP('Données projet'!$B$10,Paramètres!$A$1:$I$89,3,0)*0.475*44/12</f>
        <v>13.934933854929707</v>
      </c>
      <c r="AW58" s="21">
        <f>EXP(-LN(2)/2)*AW57+(1-EXP(-LN(2)/2))/(LN(2)/2)*AQ58*AT58*VLOOKUP('Données projet'!$B$10,Paramètres!$A$1:$I$89,3,0)*0.475*44/12</f>
        <v>4.2124628227391287E-3</v>
      </c>
      <c r="AX58" s="21">
        <f t="shared" si="6"/>
        <v>19.024861713567091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19.2</v>
      </c>
      <c r="BD58" s="12">
        <f>IF('Données projet'!$A$88&gt;35,BD57+BC58-BL57,IF(A58&lt;'Données projet'!$A$88,$BA$205^A58,IF(A58='Données projet'!$A$88,'Données projet'!$B$88,BD57+BC58-BL57)))</f>
        <v>534.00000000000011</v>
      </c>
      <c r="BE58" s="13">
        <f>BD58*VLOOKUP('Données projet'!$B$11,Paramètres!$A$1:$I$89,3,0)*VLOOKUP('Données projet'!$B$11,Paramètres!$A$1:$I$89,5,0)</f>
        <v>256.85400000000004</v>
      </c>
      <c r="BF58" s="13">
        <f t="shared" si="37"/>
        <v>62.051303498751508</v>
      </c>
      <c r="BG58" s="20">
        <f t="shared" si="7"/>
        <v>555.42673692699225</v>
      </c>
      <c r="BH58" s="59">
        <f t="shared" si="8"/>
        <v>848.76007026032562</v>
      </c>
      <c r="BI58" s="59">
        <f ca="1">AVERAGE(OFFSET($BH$3,0,0,'Données projet'!$E$11+1,1))-AVERAGE(OFFSET($H$3,0,0,'Données projet'!$E$11+1,1))</f>
        <v>327.58421465651799</v>
      </c>
      <c r="BJ58" s="59">
        <f t="shared" si="38"/>
        <v>296.73904998640018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4.1069169962233341</v>
      </c>
      <c r="BQ58" s="21">
        <f>EXP(-LN(2)/25)*BQ57+(1-EXP(-LN(2)/25))/(LN(2)/25)*Calculateur!BL58*Calculateur!BN58*VLOOKUP('Données projet'!$B$11,Paramètres!$A$1:$I$89,3,0)*0.475*44/12</f>
        <v>6.7115679714363141</v>
      </c>
      <c r="BR58" s="21">
        <f>EXP(-LN(2)/2)*BR57+(1-EXP(-LN(2)/2))/(LN(2)/2)*BL58*BO58*VLOOKUP('Données projet'!$B$11,Paramètres!$A$1:$I$89,3,0)*0.475*44/12</f>
        <v>3.6102468202121808E-3</v>
      </c>
      <c r="BS58" s="22">
        <f t="shared" si="9"/>
        <v>10.822095214479861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16.2</v>
      </c>
      <c r="N59" s="13">
        <f>IF('Données projet'!$A$36&gt;35,N58+M59-V58,IF(A59&lt;'Données projet'!$A$36,$K$205^A59,IF(A59='Données projet'!$A$36,'Données projet'!$B$36,N58+M59-V58)))</f>
        <v>498.19999999999976</v>
      </c>
      <c r="O59" s="13">
        <f>N59*VLOOKUP('Données projet'!$B$9,Paramètres!$A$1:$I$89,3,0)*VLOOKUP('Données projet'!$B$9,Paramètres!$A$1:$I$89,5,0)</f>
        <v>278.49379999999985</v>
      </c>
      <c r="P59" s="13">
        <f t="shared" si="33"/>
        <v>66.648605670285122</v>
      </c>
      <c r="Q59" s="20">
        <f t="shared" si="53"/>
        <v>601.12302320907963</v>
      </c>
      <c r="R59" s="59">
        <f t="shared" si="0"/>
        <v>894.456356542413</v>
      </c>
      <c r="S59" s="59">
        <f ca="1">AVERAGE(OFFSET($R$3,0,0,'Données projet'!$E$9+1,1))-AVERAGE(OFFSET($H$3,0,0,'Données projet'!$E$9+1,1))</f>
        <v>356.67698551373468</v>
      </c>
      <c r="T59" s="59">
        <f t="shared" si="34"/>
        <v>353.21836615408171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2.7295973885782101</v>
      </c>
      <c r="AA59" s="21">
        <f>EXP(-LN(2)/25)*AA58+(1-EXP(-LN(2)/25))/(LN(2)/25)*Calculateur!V59*Calculateur!X59*VLOOKUP('Données projet'!$B$9,Paramètres!$A$1:$I$89,3,0)*0.475*44/12</f>
        <v>14.673933705703107</v>
      </c>
      <c r="AB59" s="21">
        <f>EXP(-LN(2)/2)*AB58+(1-EXP(-LN(2)/2))/(LN(2)/2)*V59*Y59*VLOOKUP('Données projet'!$B$9,Paramètres!$A$1:$I$89,3,0)*0.475*44/12</f>
        <v>3.9699814905316457E-3</v>
      </c>
      <c r="AC59" s="22">
        <f t="shared" si="3"/>
        <v>17.407501075771847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</v>
      </c>
      <c r="AI59" s="13">
        <f>IF('Données projet'!$A$62&gt;35,AI58+AH59-AQ58,IF(A59&lt;'Données projet'!$A$62,$AF$205^A59,IF(A59='Données projet'!$A$62,'Données projet'!$B$62,AI58+AH59-AQ58)))</f>
        <v>363.99999999999989</v>
      </c>
      <c r="AJ59" s="13">
        <f>AI59*VLOOKUP('Données projet'!$B$10,Paramètres!$A$1:$I$89,3,0)*VLOOKUP('Données projet'!$B$10,Paramètres!$A$1:$I$89,5,0)</f>
        <v>227.13599999999994</v>
      </c>
      <c r="AK59" s="13">
        <f t="shared" si="35"/>
        <v>55.662966886685133</v>
      </c>
      <c r="AL59" s="20">
        <f t="shared" si="4"/>
        <v>492.54153399430987</v>
      </c>
      <c r="AM59" s="59">
        <f t="shared" si="5"/>
        <v>785.87486732764319</v>
      </c>
      <c r="AN59" s="59">
        <f ca="1">AVERAGE(OFFSET($AM$3,0,0,'Données projet'!$E$10+1,1))-AVERAGE(OFFSET($H$3,0,0,'Données projet'!$E$10+1,1))</f>
        <v>285.77483300338548</v>
      </c>
      <c r="AO59" s="59">
        <f t="shared" si="36"/>
        <v>320.55212417690637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4.9859876188828158</v>
      </c>
      <c r="AV59" s="21">
        <f>EXP(-LN(2)/25)*AV58+(1-EXP(-LN(2)/25))/(LN(2)/25)*Calculateur!AQ59*Calculateur!AS59*VLOOKUP('Données projet'!$B$10,Paramètres!$A$1:$I$89,3,0)*0.475*44/12</f>
        <v>13.553882355860331</v>
      </c>
      <c r="AW59" s="21">
        <f>EXP(-LN(2)/2)*AW58+(1-EXP(-LN(2)/2))/(LN(2)/2)*AQ59*AT59*VLOOKUP('Données projet'!$B$10,Paramètres!$A$1:$I$89,3,0)*0.475*44/12</f>
        <v>2.9786610274550635E-3</v>
      </c>
      <c r="AX59" s="21">
        <f t="shared" si="6"/>
        <v>18.542848635770603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19.2</v>
      </c>
      <c r="BD59" s="12">
        <f>IF('Données projet'!$A$88&gt;35,BD58+BC59-BL58,IF(A59&lt;'Données projet'!$A$88,$BA$205^A59,IF(A59='Données projet'!$A$88,'Données projet'!$B$88,BD58+BC59-BL58)))</f>
        <v>553.20000000000016</v>
      </c>
      <c r="BE59" s="13">
        <f>BD59*VLOOKUP('Données projet'!$B$11,Paramètres!$A$1:$I$89,3,0)*VLOOKUP('Données projet'!$B$11,Paramètres!$A$1:$I$89,5,0)</f>
        <v>266.08920000000006</v>
      </c>
      <c r="BF59" s="13">
        <f t="shared" si="37"/>
        <v>64.018595364759364</v>
      </c>
      <c r="BG59" s="20">
        <f t="shared" si="7"/>
        <v>574.93774359362271</v>
      </c>
      <c r="BH59" s="59">
        <f t="shared" si="8"/>
        <v>868.27107692695608</v>
      </c>
      <c r="BI59" s="59">
        <f ca="1">AVERAGE(OFFSET($BH$3,0,0,'Données projet'!$E$11+1,1))-AVERAGE(OFFSET($H$3,0,0,'Données projet'!$E$11+1,1))</f>
        <v>327.58421465651799</v>
      </c>
      <c r="BJ59" s="59">
        <f t="shared" si="38"/>
        <v>296.73904998640018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4.0263828588994164</v>
      </c>
      <c r="BQ59" s="21">
        <f>EXP(-LN(2)/25)*BQ58+(1-EXP(-LN(2)/25))/(LN(2)/25)*Calculateur!BL59*Calculateur!BN59*VLOOKUP('Données projet'!$B$11,Paramètres!$A$1:$I$89,3,0)*0.475*44/12</f>
        <v>6.5280397923113682</v>
      </c>
      <c r="BR59" s="21">
        <f>EXP(-LN(2)/2)*BR58+(1-EXP(-LN(2)/2))/(LN(2)/2)*BL59*BO59*VLOOKUP('Données projet'!$B$11,Paramètres!$A$1:$I$89,3,0)*0.475*44/12</f>
        <v>2.5528300083292035E-3</v>
      </c>
      <c r="BS59" s="22">
        <f t="shared" si="9"/>
        <v>10.556975481219114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16.2</v>
      </c>
      <c r="N60" s="13">
        <f>IF('Données projet'!$A$36&gt;35,N59+M60-V59,IF(A60&lt;'Données projet'!$A$36,$K$205^A60,IF(A60='Données projet'!$A$36,'Données projet'!$B$36,N59+M60-V59)))</f>
        <v>514.39999999999975</v>
      </c>
      <c r="O60" s="13">
        <f>N60*VLOOKUP('Données projet'!$B$9,Paramètres!$A$1:$I$89,3,0)*VLOOKUP('Données projet'!$B$9,Paramètres!$A$1:$I$89,5,0)</f>
        <v>287.54959999999988</v>
      </c>
      <c r="P60" s="13">
        <f t="shared" si="33"/>
        <v>68.559977517591122</v>
      </c>
      <c r="Q60" s="20">
        <f t="shared" si="53"/>
        <v>620.22418084313767</v>
      </c>
      <c r="R60" s="59">
        <f t="shared" si="0"/>
        <v>913.55751417647093</v>
      </c>
      <c r="S60" s="59">
        <f ca="1">AVERAGE(OFFSET($R$3,0,0,'Données projet'!$E$9+1,1))-AVERAGE(OFFSET($H$3,0,0,'Données projet'!$E$9+1,1))</f>
        <v>356.67698551373468</v>
      </c>
      <c r="T60" s="59">
        <f t="shared" si="34"/>
        <v>353.21836615408171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2.6760716486782044</v>
      </c>
      <c r="AA60" s="21">
        <f>EXP(-LN(2)/25)*AA59+(1-EXP(-LN(2)/25))/(LN(2)/25)*Calculateur!V60*Calculateur!X60*VLOOKUP('Données projet'!$B$9,Paramètres!$A$1:$I$89,3,0)*0.475*44/12</f>
        <v>14.272674216852019</v>
      </c>
      <c r="AB60" s="21">
        <f>EXP(-LN(2)/2)*AB59+(1-EXP(-LN(2)/2))/(LN(2)/2)*V60*Y60*VLOOKUP('Données projet'!$B$9,Paramètres!$A$1:$I$89,3,0)*0.475*44/12</f>
        <v>2.8072008331400042E-3</v>
      </c>
      <c r="AC60" s="22">
        <f t="shared" si="3"/>
        <v>16.951553066363363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</v>
      </c>
      <c r="AI60" s="13">
        <f>IF('Données projet'!$A$62&gt;35,AI59+AH60-AQ59,IF(A60&lt;'Données projet'!$A$62,$AF$205^A60,IF(A60='Données projet'!$A$62,'Données projet'!$B$62,AI59+AH60-AQ59)))</f>
        <v>373.99999999999989</v>
      </c>
      <c r="AJ60" s="13">
        <f>AI60*VLOOKUP('Données projet'!$B$10,Paramètres!$A$1:$I$89,3,0)*VLOOKUP('Données projet'!$B$10,Paramètres!$A$1:$I$89,5,0)</f>
        <v>233.37599999999992</v>
      </c>
      <c r="AK60" s="13">
        <f t="shared" si="35"/>
        <v>57.012031446990107</v>
      </c>
      <c r="AL60" s="20">
        <f t="shared" si="4"/>
        <v>505.75915477017423</v>
      </c>
      <c r="AM60" s="59">
        <f t="shared" si="5"/>
        <v>799.09248810350755</v>
      </c>
      <c r="AN60" s="59">
        <f ca="1">AVERAGE(OFFSET($AM$3,0,0,'Données projet'!$E$10+1,1))-AVERAGE(OFFSET($H$3,0,0,'Données projet'!$E$10+1,1))</f>
        <v>285.77483300338548</v>
      </c>
      <c r="AO60" s="59">
        <f t="shared" si="36"/>
        <v>320.55212417690637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4.8882154428286828</v>
      </c>
      <c r="AV60" s="21">
        <f>EXP(-LN(2)/25)*AV59+(1-EXP(-LN(2)/25))/(LN(2)/25)*Calculateur!AQ60*Calculateur!AS60*VLOOKUP('Données projet'!$B$10,Paramètres!$A$1:$I$89,3,0)*0.475*44/12</f>
        <v>13.183250730071634</v>
      </c>
      <c r="AW60" s="21">
        <f>EXP(-LN(2)/2)*AW59+(1-EXP(-LN(2)/2))/(LN(2)/2)*AQ60*AT60*VLOOKUP('Données projet'!$B$10,Paramètres!$A$1:$I$89,3,0)*0.475*44/12</f>
        <v>2.1062314113695644E-3</v>
      </c>
      <c r="AX60" s="21">
        <f t="shared" si="6"/>
        <v>18.073572404311683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19.2</v>
      </c>
      <c r="BD60" s="12">
        <f>IF('Données projet'!$A$88&gt;35,BD59+BC60-BL59,IF(A60&lt;'Données projet'!$A$88,$BA$205^A60,IF(A60='Données projet'!$A$88,'Données projet'!$B$88,BD59+BC60-BL59)))</f>
        <v>572.4000000000002</v>
      </c>
      <c r="BE60" s="13">
        <f>BD60*VLOOKUP('Données projet'!$B$11,Paramètres!$A$1:$I$89,3,0)*VLOOKUP('Données projet'!$B$11,Paramètres!$A$1:$I$89,5,0)</f>
        <v>275.32440000000008</v>
      </c>
      <c r="BF60" s="13">
        <f t="shared" si="37"/>
        <v>65.977953892196268</v>
      </c>
      <c r="BG60" s="20">
        <f t="shared" si="7"/>
        <v>594.43493302890863</v>
      </c>
      <c r="BH60" s="59">
        <f t="shared" si="8"/>
        <v>887.768266362242</v>
      </c>
      <c r="BI60" s="59">
        <f ca="1">AVERAGE(OFFSET($BH$3,0,0,'Données projet'!$E$11+1,1))-AVERAGE(OFFSET($H$3,0,0,'Données projet'!$E$11+1,1))</f>
        <v>327.58421465651799</v>
      </c>
      <c r="BJ60" s="59">
        <f t="shared" si="38"/>
        <v>296.73904998640018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3.9474279468874478</v>
      </c>
      <c r="BQ60" s="21">
        <f>EXP(-LN(2)/25)*BQ59+(1-EXP(-LN(2)/25))/(LN(2)/25)*Calculateur!BL60*Calculateur!BN60*VLOOKUP('Données projet'!$B$11,Paramètres!$A$1:$I$89,3,0)*0.475*44/12</f>
        <v>6.3495302008959209</v>
      </c>
      <c r="BR60" s="21">
        <f>EXP(-LN(2)/2)*BR59+(1-EXP(-LN(2)/2))/(LN(2)/2)*BL60*BO60*VLOOKUP('Données projet'!$B$11,Paramètres!$A$1:$I$89,3,0)*0.475*44/12</f>
        <v>1.8051234101060904E-3</v>
      </c>
      <c r="BS60" s="22">
        <f t="shared" si="9"/>
        <v>10.298763271193474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16.2</v>
      </c>
      <c r="N61" s="13">
        <f>IF('Données projet'!$A$36&gt;35,N60+M61-V60,IF(A61&lt;'Données projet'!$A$36,$K$205^A61,IF(A61='Données projet'!$A$36,'Données projet'!$B$36,N60+M61-V60)))</f>
        <v>530.5999999999998</v>
      </c>
      <c r="O61" s="13">
        <f>N61*VLOOKUP('Données projet'!$B$9,Paramètres!$A$1:$I$89,3,0)*VLOOKUP('Données projet'!$B$9,Paramètres!$A$1:$I$89,5,0)</f>
        <v>296.60539999999986</v>
      </c>
      <c r="P61" s="13">
        <f t="shared" si="33"/>
        <v>70.464354291088782</v>
      </c>
      <c r="Q61" s="20">
        <f t="shared" si="53"/>
        <v>639.31315539031277</v>
      </c>
      <c r="R61" s="59">
        <f t="shared" si="0"/>
        <v>932.64648872364614</v>
      </c>
      <c r="S61" s="59">
        <f ca="1">AVERAGE(OFFSET($R$3,0,0,'Données projet'!$E$9+1,1))-AVERAGE(OFFSET($H$3,0,0,'Données projet'!$E$9+1,1))</f>
        <v>356.67698551373468</v>
      </c>
      <c r="T61" s="59">
        <f t="shared" si="34"/>
        <v>353.21836615408171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2.6235955158901598</v>
      </c>
      <c r="AA61" s="21">
        <f>EXP(-LN(2)/25)*AA60+(1-EXP(-LN(2)/25))/(LN(2)/25)*Calculateur!V61*Calculateur!X61*VLOOKUP('Données projet'!$B$9,Paramètres!$A$1:$I$89,3,0)*0.475*44/12</f>
        <v>13.882387189824884</v>
      </c>
      <c r="AB61" s="21">
        <f>EXP(-LN(2)/2)*AB60+(1-EXP(-LN(2)/2))/(LN(2)/2)*V61*Y61*VLOOKUP('Données projet'!$B$9,Paramètres!$A$1:$I$89,3,0)*0.475*44/12</f>
        <v>1.9849907452658229E-3</v>
      </c>
      <c r="AC61" s="22">
        <f t="shared" si="3"/>
        <v>16.507967696460312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</v>
      </c>
      <c r="AI61" s="13">
        <f>IF('Données projet'!$A$62&gt;35,AI60+AH61-AQ60,IF(A61&lt;'Données projet'!$A$62,$AF$205^A61,IF(A61='Données projet'!$A$62,'Données projet'!$B$62,AI60+AH61-AQ60)))</f>
        <v>383.99999999999989</v>
      </c>
      <c r="AJ61" s="13">
        <f>AI61*VLOOKUP('Données projet'!$B$10,Paramètres!$A$1:$I$89,3,0)*VLOOKUP('Données projet'!$B$10,Paramètres!$A$1:$I$89,5,0)</f>
        <v>239.61599999999993</v>
      </c>
      <c r="AK61" s="13">
        <f t="shared" si="35"/>
        <v>58.356903313490157</v>
      </c>
      <c r="AL61" s="20">
        <f t="shared" si="4"/>
        <v>518.96947327099519</v>
      </c>
      <c r="AM61" s="59">
        <f t="shared" si="5"/>
        <v>812.30280660432845</v>
      </c>
      <c r="AN61" s="59">
        <f ca="1">AVERAGE(OFFSET($AM$3,0,0,'Données projet'!$E$10+1,1))-AVERAGE(OFFSET($H$3,0,0,'Données projet'!$E$10+1,1))</f>
        <v>285.77483300338548</v>
      </c>
      <c r="AO61" s="59">
        <f t="shared" si="36"/>
        <v>320.55212417690637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4.7923605195118322</v>
      </c>
      <c r="AV61" s="21">
        <f>EXP(-LN(2)/25)*AV60+(1-EXP(-LN(2)/25))/(LN(2)/25)*Calculateur!AQ61*Calculateur!AS61*VLOOKUP('Données projet'!$B$10,Paramètres!$A$1:$I$89,3,0)*0.475*44/12</f>
        <v>12.822754045580801</v>
      </c>
      <c r="AW61" s="21">
        <f>EXP(-LN(2)/2)*AW60+(1-EXP(-LN(2)/2))/(LN(2)/2)*AQ61*AT61*VLOOKUP('Données projet'!$B$10,Paramètres!$A$1:$I$89,3,0)*0.475*44/12</f>
        <v>1.4893305137275317E-3</v>
      </c>
      <c r="AX61" s="21">
        <f t="shared" si="6"/>
        <v>17.61660389560636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19.2</v>
      </c>
      <c r="BD61" s="12">
        <f>IF('Données projet'!$A$88&gt;35,BD60+BC61-BL60,IF(A61&lt;'Données projet'!$A$88,$BA$205^A61,IF(A61='Données projet'!$A$88,'Données projet'!$B$88,BD60+BC61-BL60)))</f>
        <v>591.60000000000025</v>
      </c>
      <c r="BE61" s="13">
        <f>BD61*VLOOKUP('Données projet'!$B$11,Paramètres!$A$1:$I$89,3,0)*VLOOKUP('Données projet'!$B$11,Paramètres!$A$1:$I$89,5,0)</f>
        <v>284.5596000000001</v>
      </c>
      <c r="BF61" s="13">
        <f t="shared" si="37"/>
        <v>67.929675697579739</v>
      </c>
      <c r="BG61" s="20">
        <f t="shared" si="7"/>
        <v>613.91882183995142</v>
      </c>
      <c r="BH61" s="59">
        <f t="shared" si="8"/>
        <v>907.25215517328479</v>
      </c>
      <c r="BI61" s="59">
        <f ca="1">AVERAGE(OFFSET($BH$3,0,0,'Données projet'!$E$11+1,1))-AVERAGE(OFFSET($H$3,0,0,'Données projet'!$E$11+1,1))</f>
        <v>327.58421465651799</v>
      </c>
      <c r="BJ61" s="59">
        <f t="shared" si="38"/>
        <v>296.73904998640018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3.8700212925422925</v>
      </c>
      <c r="BQ61" s="21">
        <f>EXP(-LN(2)/25)*BQ60+(1-EXP(-LN(2)/25))/(LN(2)/25)*Calculateur!BL61*Calculateur!BN61*VLOOKUP('Données projet'!$B$11,Paramètres!$A$1:$I$89,3,0)*0.475*44/12</f>
        <v>6.1759019636451411</v>
      </c>
      <c r="BR61" s="21">
        <f>EXP(-LN(2)/2)*BR60+(1-EXP(-LN(2)/2))/(LN(2)/2)*BL61*BO61*VLOOKUP('Données projet'!$B$11,Paramètres!$A$1:$I$89,3,0)*0.475*44/12</f>
        <v>1.2764150041646018E-3</v>
      </c>
      <c r="BS61" s="22">
        <f t="shared" si="9"/>
        <v>10.047199671191599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16.2</v>
      </c>
      <c r="N62" s="13">
        <f>IF('Données projet'!$A$36&gt;35,N61+M62-V61,IF(A62&lt;'Données projet'!$A$36,$K$205^A62,IF(A62='Données projet'!$A$36,'Données projet'!$B$36,N61+M62-V61)))</f>
        <v>546.79999999999984</v>
      </c>
      <c r="O62" s="13">
        <f>N62*VLOOKUP('Données projet'!$B$9,Paramètres!$A$1:$I$89,3,0)*VLOOKUP('Données projet'!$B$9,Paramètres!$A$1:$I$89,5,0)</f>
        <v>305.66119999999995</v>
      </c>
      <c r="P62" s="13">
        <f t="shared" si="33"/>
        <v>72.361974072085076</v>
      </c>
      <c r="Q62" s="20">
        <f t="shared" si="53"/>
        <v>658.39036150888137</v>
      </c>
      <c r="R62" s="59">
        <f t="shared" si="0"/>
        <v>951.72369484221463</v>
      </c>
      <c r="S62" s="59">
        <f ca="1">AVERAGE(OFFSET($R$3,0,0,'Données projet'!$E$9+1,1))-AVERAGE(OFFSET($H$3,0,0,'Données projet'!$E$9+1,1))</f>
        <v>356.67698551373468</v>
      </c>
      <c r="T62" s="59">
        <f t="shared" si="34"/>
        <v>353.21836615408171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2.5721484080588084</v>
      </c>
      <c r="AA62" s="21">
        <f>EXP(-LN(2)/25)*AA61+(1-EXP(-LN(2)/25))/(LN(2)/25)*Calculateur!V62*Calculateur!X62*VLOOKUP('Données projet'!$B$9,Paramètres!$A$1:$I$89,3,0)*0.475*44/12</f>
        <v>13.502772582076108</v>
      </c>
      <c r="AB62" s="21">
        <f>EXP(-LN(2)/2)*AB61+(1-EXP(-LN(2)/2))/(LN(2)/2)*V62*Y62*VLOOKUP('Données projet'!$B$9,Paramètres!$A$1:$I$89,3,0)*0.475*44/12</f>
        <v>1.4036004165700021E-3</v>
      </c>
      <c r="AC62" s="22">
        <f t="shared" si="3"/>
        <v>16.076324590551486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</v>
      </c>
      <c r="AI62" s="13">
        <f>IF('Données projet'!$A$62&gt;35,AI61+AH62-AQ61,IF(A62&lt;'Données projet'!$A$62,$AF$205^A62,IF(A62='Données projet'!$A$62,'Données projet'!$B$62,AI61+AH62-AQ61)))</f>
        <v>393.99999999999989</v>
      </c>
      <c r="AJ62" s="13">
        <f>AI62*VLOOKUP('Données projet'!$B$10,Paramètres!$A$1:$I$89,3,0)*VLOOKUP('Données projet'!$B$10,Paramètres!$A$1:$I$89,5,0)</f>
        <v>245.85599999999994</v>
      </c>
      <c r="AK62" s="13">
        <f t="shared" si="35"/>
        <v>59.697704223313963</v>
      </c>
      <c r="AL62" s="20">
        <f t="shared" si="4"/>
        <v>532.17270152227172</v>
      </c>
      <c r="AM62" s="59">
        <f t="shared" si="5"/>
        <v>825.50603485560509</v>
      </c>
      <c r="AN62" s="59">
        <f ca="1">AVERAGE(OFFSET($AM$3,0,0,'Données projet'!$E$10+1,1))-AVERAGE(OFFSET($H$3,0,0,'Données projet'!$E$10+1,1))</f>
        <v>285.77483300338548</v>
      </c>
      <c r="AO62" s="59">
        <f t="shared" si="36"/>
        <v>320.55212417690637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4.6983852527754948</v>
      </c>
      <c r="AV62" s="21">
        <f>EXP(-LN(2)/25)*AV61+(1-EXP(-LN(2)/25))/(LN(2)/25)*Calculateur!AQ62*Calculateur!AS62*VLOOKUP('Données projet'!$B$10,Paramètres!$A$1:$I$89,3,0)*0.475*44/12</f>
        <v>12.472115161885066</v>
      </c>
      <c r="AW62" s="21">
        <f>EXP(-LN(2)/2)*AW61+(1-EXP(-LN(2)/2))/(LN(2)/2)*AQ62*AT62*VLOOKUP('Données projet'!$B$10,Paramètres!$A$1:$I$89,3,0)*0.475*44/12</f>
        <v>1.0531157056847822E-3</v>
      </c>
      <c r="AX62" s="21">
        <f t="shared" si="6"/>
        <v>17.171553530366243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19.2</v>
      </c>
      <c r="BD62" s="12">
        <f>IF('Données projet'!$A$88&gt;35,BD61+BC62-BL61,IF(A62&lt;'Données projet'!$A$88,$BA$205^A62,IF(A62='Données projet'!$A$88,'Données projet'!$B$88,BD61+BC62-BL61)))</f>
        <v>610.8000000000003</v>
      </c>
      <c r="BE62" s="13">
        <f>BD62*VLOOKUP('Données projet'!$B$11,Paramètres!$A$1:$I$89,3,0)*VLOOKUP('Données projet'!$B$11,Paramètres!$A$1:$I$89,5,0)</f>
        <v>293.79480000000012</v>
      </c>
      <c r="BF62" s="13">
        <f t="shared" si="37"/>
        <v>69.874037051486752</v>
      </c>
      <c r="BG62" s="20">
        <f t="shared" si="7"/>
        <v>633.38989119800635</v>
      </c>
      <c r="BH62" s="59">
        <f t="shared" si="8"/>
        <v>926.72322453133961</v>
      </c>
      <c r="BI62" s="59">
        <f ca="1">AVERAGE(OFFSET($BH$3,0,0,'Données projet'!$E$11+1,1))-AVERAGE(OFFSET($H$3,0,0,'Données projet'!$E$11+1,1))</f>
        <v>327.58421465651799</v>
      </c>
      <c r="BJ62" s="59">
        <f t="shared" si="38"/>
        <v>296.73904998640018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3.7941325354754487</v>
      </c>
      <c r="BQ62" s="21">
        <f>EXP(-LN(2)/25)*BQ61+(1-EXP(-LN(2)/25))/(LN(2)/25)*Calculateur!BL62*Calculateur!BN62*VLOOKUP('Données projet'!$B$11,Paramètres!$A$1:$I$89,3,0)*0.475*44/12</f>
        <v>6.0070215996726954</v>
      </c>
      <c r="BR62" s="21">
        <f>EXP(-LN(2)/2)*BR61+(1-EXP(-LN(2)/2))/(LN(2)/2)*BL62*BO62*VLOOKUP('Données projet'!$B$11,Paramètres!$A$1:$I$89,3,0)*0.475*44/12</f>
        <v>9.0256170505304521E-4</v>
      </c>
      <c r="BS62" s="22">
        <f t="shared" si="9"/>
        <v>9.8020566968531959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563</v>
      </c>
      <c r="L63" s="12">
        <f>VLOOKUP(A63,'Données projet'!$A$35:$I$55,9,0)</f>
        <v>16.2</v>
      </c>
      <c r="M63" s="12">
        <f t="array" ref="M63">INDEX(L:L,MIN(IF(ISNUMBER(L63:L259),ROW(L63:L259),"")))</f>
        <v>16.2</v>
      </c>
      <c r="N63" s="13">
        <f>IF('Données projet'!$A$36&gt;35,N62+M63-V62,IF(A63&lt;'Données projet'!$A$36,$K$205^A63,IF(A63='Données projet'!$A$36,'Données projet'!$B$36,N62+M63-V62)))</f>
        <v>562.99999999999989</v>
      </c>
      <c r="O63" s="13">
        <f>N63*VLOOKUP('Données projet'!$B$9,Paramètres!$A$1:$I$89,3,0)*VLOOKUP('Données projet'!$B$9,Paramètres!$A$1:$I$89,5,0)</f>
        <v>314.71699999999993</v>
      </c>
      <c r="P63" s="13">
        <f t="shared" si="33"/>
        <v>74.253060032718466</v>
      </c>
      <c r="Q63" s="20">
        <f t="shared" si="53"/>
        <v>677.45618789031789</v>
      </c>
      <c r="R63" s="59">
        <f t="shared" si="0"/>
        <v>970.78952122365126</v>
      </c>
      <c r="S63" s="59">
        <f ca="1">AVERAGE(OFFSET($R$3,0,0,'Données projet'!$E$9+1,1))-AVERAGE(OFFSET($H$3,0,0,'Données projet'!$E$9+1,1))</f>
        <v>356.67698551373468</v>
      </c>
      <c r="T63" s="59">
        <f t="shared" si="34"/>
        <v>353.21836615408171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83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2.5217101466323926</v>
      </c>
      <c r="AA63" s="21">
        <f>EXP(-LN(2)/25)*AA62+(1-EXP(-LN(2)/25))/(LN(2)/25)*Calculateur!V63*Calculateur!X63*VLOOKUP('Données projet'!$B$9,Paramètres!$A$1:$I$89,3,0)*0.475*44/12</f>
        <v>13.133538555739289</v>
      </c>
      <c r="AB63" s="21">
        <f>EXP(-LN(2)/2)*AB62+(1-EXP(-LN(2)/2))/(LN(2)/2)*V63*Y63*VLOOKUP('Données projet'!$B$9,Paramètres!$A$1:$I$89,3,0)*0.475*44/12</f>
        <v>9.9249537263291143E-4</v>
      </c>
      <c r="AC63" s="22">
        <f t="shared" si="3"/>
        <v>15.656241197744315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404</v>
      </c>
      <c r="AG63" s="12">
        <f>VLOOKUP(A63,'Données projet'!$A$61:$I$81,9,0)</f>
        <v>10</v>
      </c>
      <c r="AH63" s="12">
        <f t="array" ref="AH63">INDEX(AG:AG,MIN(IF(ISNUMBER(AG63:AG259),ROW(AG63:AG259),"")))</f>
        <v>10</v>
      </c>
      <c r="AI63" s="13">
        <f>IF('Données projet'!$A$62&gt;35,AI62+AH63-AQ62,IF(A63&lt;'Données projet'!$A$62,$AF$205^A63,IF(A63='Données projet'!$A$62,'Données projet'!$B$62,AI62+AH63-AQ62)))</f>
        <v>403.99999999999989</v>
      </c>
      <c r="AJ63" s="13">
        <f>AI63*VLOOKUP('Données projet'!$B$10,Paramètres!$A$1:$I$89,3,0)*VLOOKUP('Données projet'!$B$10,Paramètres!$A$1:$I$89,5,0)</f>
        <v>252.09599999999992</v>
      </c>
      <c r="AK63" s="13">
        <f t="shared" si="35"/>
        <v>61.034549381925906</v>
      </c>
      <c r="AL63" s="20">
        <f t="shared" si="4"/>
        <v>545.36904017352083</v>
      </c>
      <c r="AM63" s="59">
        <f t="shared" si="5"/>
        <v>838.7023735068542</v>
      </c>
      <c r="AN63" s="59">
        <f ca="1">AVERAGE(OFFSET($AM$3,0,0,'Données projet'!$E$10+1,1))-AVERAGE(OFFSET($H$3,0,0,'Données projet'!$E$10+1,1))</f>
        <v>285.77483300338548</v>
      </c>
      <c r="AO63" s="59">
        <f t="shared" si="36"/>
        <v>320.55212417690637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4.6062527837006044</v>
      </c>
      <c r="AV63" s="21">
        <f>EXP(-LN(2)/25)*AV62+(1-EXP(-LN(2)/25))/(LN(2)/25)*Calculateur!AQ63*Calculateur!AS63*VLOOKUP('Données projet'!$B$10,Paramètres!$A$1:$I$89,3,0)*0.475*44/12</f>
        <v>12.131064516903288</v>
      </c>
      <c r="AW63" s="21">
        <f>EXP(-LN(2)/2)*AW62+(1-EXP(-LN(2)/2))/(LN(2)/2)*AQ63*AT63*VLOOKUP('Données projet'!$B$10,Paramètres!$A$1:$I$89,3,0)*0.475*44/12</f>
        <v>7.4466525686376587E-4</v>
      </c>
      <c r="AX63" s="21">
        <f t="shared" si="6"/>
        <v>16.738061965860755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630</v>
      </c>
      <c r="BB63" s="12">
        <f>VLOOKUP(A63,'Données projet'!$A$87:$I$107,9,0)</f>
        <v>19.2</v>
      </c>
      <c r="BC63" s="12">
        <f t="array" ref="BC63">INDEX(BB:BB,MIN(IF(ISNUMBER(BB63:BB259),ROW(BB63:BB259),"")))</f>
        <v>19.2</v>
      </c>
      <c r="BD63" s="12">
        <f>IF('Données projet'!$A$88&gt;35,BD62+BC63-BL62,IF(A63&lt;'Données projet'!$A$88,$BA$205^A63,IF(A63='Données projet'!$A$88,'Données projet'!$B$88,BD62+BC63-BL62)))</f>
        <v>630.00000000000034</v>
      </c>
      <c r="BE63" s="13">
        <f>BD63*VLOOKUP('Données projet'!$B$11,Paramètres!$A$1:$I$89,3,0)*VLOOKUP('Données projet'!$B$11,Paramètres!$A$1:$I$89,5,0)</f>
        <v>303.0300000000002</v>
      </c>
      <c r="BF63" s="13">
        <f t="shared" si="37"/>
        <v>71.811295869366887</v>
      </c>
      <c r="BG63" s="20">
        <f t="shared" si="7"/>
        <v>652.84859030581424</v>
      </c>
      <c r="BH63" s="59">
        <f t="shared" si="8"/>
        <v>946.1819236391475</v>
      </c>
      <c r="BI63" s="59">
        <f ca="1">AVERAGE(OFFSET($BH$3,0,0,'Données projet'!$E$11+1,1))-AVERAGE(OFFSET($H$3,0,0,'Données projet'!$E$11+1,1))</f>
        <v>327.58421465651799</v>
      </c>
      <c r="BJ63" s="59">
        <f t="shared" si="38"/>
        <v>296.73904998640018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106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3.7197319106471145</v>
      </c>
      <c r="BQ63" s="21">
        <f>EXP(-LN(2)/25)*BQ62+(1-EXP(-LN(2)/25))/(LN(2)/25)*Calculateur!BL63*Calculateur!BN63*VLOOKUP('Données projet'!$B$11,Paramètres!$A$1:$I$89,3,0)*0.475*44/12</f>
        <v>5.8427592781341087</v>
      </c>
      <c r="BR63" s="21">
        <f>EXP(-LN(2)/2)*BR62+(1-EXP(-LN(2)/2))/(LN(2)/2)*BL63*BO63*VLOOKUP('Données projet'!$B$11,Paramètres!$A$1:$I$89,3,0)*0.475*44/12</f>
        <v>6.3820750208230088E-4</v>
      </c>
      <c r="BS63" s="22">
        <f t="shared" si="9"/>
        <v>9.5631293962833048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13.4</v>
      </c>
      <c r="N64" s="13">
        <f>IF('Données projet'!$A$36&gt;35,N63+M64-V63,IF(A64&lt;'Données projet'!$A$36,$K$205^A64,IF(A64='Données projet'!$A$36,'Données projet'!$B$36,N63+M64-V63)))</f>
        <v>493.39999999999986</v>
      </c>
      <c r="O64" s="13">
        <f>N64*VLOOKUP('Données projet'!$B$9,Paramètres!$A$1:$I$89,3,0)*VLOOKUP('Données projet'!$B$9,Paramètres!$A$1:$I$89,5,0)</f>
        <v>275.81059999999997</v>
      </c>
      <c r="P64" s="13">
        <f t="shared" si="33"/>
        <v>66.080892951487996</v>
      </c>
      <c r="Q64" s="20">
        <f t="shared" si="53"/>
        <v>595.46101689050818</v>
      </c>
      <c r="R64" s="59">
        <f t="shared" si="0"/>
        <v>888.79435022384155</v>
      </c>
      <c r="S64" s="59">
        <f ca="1">AVERAGE(OFFSET($R$3,0,0,'Données projet'!$E$9+1,1))-AVERAGE(OFFSET($H$3,0,0,'Données projet'!$E$9+1,1))</f>
        <v>356.67698551373468</v>
      </c>
      <c r="T64" s="59">
        <f t="shared" si="34"/>
        <v>353.21836615408171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2.472260948748247</v>
      </c>
      <c r="AA64" s="21">
        <f>EXP(-LN(2)/25)*AA63+(1-EXP(-LN(2)/25))/(LN(2)/25)*Calculateur!V64*Calculateur!X64*VLOOKUP('Données projet'!$B$9,Paramètres!$A$1:$I$89,3,0)*0.475*44/12</f>
        <v>12.774401253269822</v>
      </c>
      <c r="AB64" s="21">
        <f>EXP(-LN(2)/2)*AB63+(1-EXP(-LN(2)/2))/(LN(2)/2)*V64*Y64*VLOOKUP('Données projet'!$B$9,Paramètres!$A$1:$I$89,3,0)*0.475*44/12</f>
        <v>7.0180020828500105E-4</v>
      </c>
      <c r="AC64" s="22">
        <f t="shared" si="3"/>
        <v>15.247364002226353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7.8</v>
      </c>
      <c r="AI64" s="13">
        <f>IF('Données projet'!$A$62&gt;35,AI63+AH64-AQ63,IF(A64&lt;'Données projet'!$A$62,$AF$205^A64,IF(A64='Données projet'!$A$62,'Données projet'!$B$62,AI63+AH64-AQ63)))</f>
        <v>356.7999999999999</v>
      </c>
      <c r="AJ64" s="13">
        <f>AI64*VLOOKUP('Données projet'!$B$10,Paramètres!$A$1:$I$89,3,0)*VLOOKUP('Données projet'!$B$10,Paramètres!$A$1:$I$89,5,0)</f>
        <v>222.64319999999995</v>
      </c>
      <c r="AK64" s="13">
        <f t="shared" si="35"/>
        <v>54.688972258092875</v>
      </c>
      <c r="AL64" s="20">
        <f t="shared" si="4"/>
        <v>483.02020001617831</v>
      </c>
      <c r="AM64" s="59">
        <f t="shared" si="5"/>
        <v>776.35353334951162</v>
      </c>
      <c r="AN64" s="59">
        <f ca="1">AVERAGE(OFFSET($AM$3,0,0,'Données projet'!$E$10+1,1))-AVERAGE(OFFSET($H$3,0,0,'Données projet'!$E$10+1,1))</f>
        <v>285.77483300338548</v>
      </c>
      <c r="AO64" s="59">
        <f t="shared" si="36"/>
        <v>320.55212417690637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4.5159269761490153</v>
      </c>
      <c r="AV64" s="21">
        <f>EXP(-LN(2)/25)*AV63+(1-EXP(-LN(2)/25))/(LN(2)/25)*Calculateur!AQ64*Calculateur!AS64*VLOOKUP('Données projet'!$B$10,Paramètres!$A$1:$I$89,3,0)*0.475*44/12</f>
        <v>11.799339919743611</v>
      </c>
      <c r="AW64" s="21">
        <f>EXP(-LN(2)/2)*AW63+(1-EXP(-LN(2)/2))/(LN(2)/2)*AQ64*AT64*VLOOKUP('Données projet'!$B$10,Paramètres!$A$1:$I$89,3,0)*0.475*44/12</f>
        <v>5.2655785284239109E-4</v>
      </c>
      <c r="AX64" s="21">
        <f t="shared" si="6"/>
        <v>16.315793453745471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17</v>
      </c>
      <c r="BD64" s="12">
        <f>IF('Données projet'!$A$88&gt;35,BD63+BC64-BL63,IF(A64&lt;'Données projet'!$A$88,$BA$205^A64,IF(A64='Données projet'!$A$88,'Données projet'!$B$88,BD63+BC64-BL63)))</f>
        <v>541.00000000000034</v>
      </c>
      <c r="BE64" s="13">
        <f>BD64*VLOOKUP('Données projet'!$B$11,Paramètres!$A$1:$I$89,3,0)*VLOOKUP('Données projet'!$B$11,Paramètres!$A$1:$I$89,5,0)</f>
        <v>260.22100000000017</v>
      </c>
      <c r="BF64" s="13">
        <f t="shared" si="37"/>
        <v>62.769483895641194</v>
      </c>
      <c r="BG64" s="20">
        <f t="shared" si="7"/>
        <v>562.54175945157533</v>
      </c>
      <c r="BH64" s="59">
        <f t="shared" si="8"/>
        <v>855.8750927849087</v>
      </c>
      <c r="BI64" s="59">
        <f ca="1">AVERAGE(OFFSET($BH$3,0,0,'Données projet'!$E$11+1,1))-AVERAGE(OFFSET($H$3,0,0,'Données projet'!$E$11+1,1))</f>
        <v>327.58421465651799</v>
      </c>
      <c r="BJ64" s="59">
        <f t="shared" si="38"/>
        <v>296.73904998640018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3.6467902366917633</v>
      </c>
      <c r="BQ64" s="21">
        <f>EXP(-LN(2)/25)*BQ63+(1-EXP(-LN(2)/25))/(LN(2)/25)*Calculateur!BL64*Calculateur!BN64*VLOOKUP('Données projet'!$B$11,Paramètres!$A$1:$I$89,3,0)*0.475*44/12</f>
        <v>5.6829887184161745</v>
      </c>
      <c r="BR64" s="21">
        <f>EXP(-LN(2)/2)*BR63+(1-EXP(-LN(2)/2))/(LN(2)/2)*BL64*BO64*VLOOKUP('Données projet'!$B$11,Paramètres!$A$1:$I$89,3,0)*0.475*44/12</f>
        <v>4.5128085252652261E-4</v>
      </c>
      <c r="BS64" s="22">
        <f t="shared" si="9"/>
        <v>9.3302302359604639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13.4</v>
      </c>
      <c r="N65" s="13">
        <f>IF('Données projet'!$A$36&gt;35,N64+M65-V64,IF(A65&lt;'Données projet'!$A$36,$K$205^A65,IF(A65='Données projet'!$A$36,'Données projet'!$B$36,N64+M65-V64)))</f>
        <v>506.79999999999984</v>
      </c>
      <c r="O65" s="13">
        <f>N65*VLOOKUP('Données projet'!$B$9,Paramètres!$A$1:$I$89,3,0)*VLOOKUP('Données projet'!$B$9,Paramètres!$A$1:$I$89,5,0)</f>
        <v>283.30119999999988</v>
      </c>
      <c r="P65" s="13">
        <f t="shared" si="33"/>
        <v>67.664170722499449</v>
      </c>
      <c r="Q65" s="20">
        <f t="shared" si="53"/>
        <v>611.26468734168623</v>
      </c>
      <c r="R65" s="59">
        <f t="shared" si="0"/>
        <v>904.5980206750196</v>
      </c>
      <c r="S65" s="59">
        <f ca="1">AVERAGE(OFFSET($R$3,0,0,'Données projet'!$E$9+1,1))-AVERAGE(OFFSET($H$3,0,0,'Données projet'!$E$9+1,1))</f>
        <v>356.67698551373468</v>
      </c>
      <c r="T65" s="59">
        <f t="shared" si="34"/>
        <v>353.21836615408171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2.4237814194735767</v>
      </c>
      <c r="AA65" s="21">
        <f>EXP(-LN(2)/25)*AA64+(1-EXP(-LN(2)/25))/(LN(2)/25)*Calculateur!V65*Calculateur!X65*VLOOKUP('Données projet'!$B$9,Paramètres!$A$1:$I$89,3,0)*0.475*44/12</f>
        <v>12.425084579222593</v>
      </c>
      <c r="AB65" s="21">
        <f>EXP(-LN(2)/2)*AB64+(1-EXP(-LN(2)/2))/(LN(2)/2)*V65*Y65*VLOOKUP('Données projet'!$B$9,Paramètres!$A$1:$I$89,3,0)*0.475*44/12</f>
        <v>4.9624768631645571E-4</v>
      </c>
      <c r="AC65" s="22">
        <f t="shared" si="3"/>
        <v>14.849362246382485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7.8</v>
      </c>
      <c r="AI65" s="13">
        <f>IF('Données projet'!$A$62&gt;35,AI64+AH65-AQ64,IF(A65&lt;'Données projet'!$A$62,$AF$205^A65,IF(A65='Données projet'!$A$62,'Données projet'!$B$62,AI64+AH65-AQ64)))</f>
        <v>364.59999999999991</v>
      </c>
      <c r="AJ65" s="13">
        <f>AI65*VLOOKUP('Données projet'!$B$10,Paramètres!$A$1:$I$89,3,0)*VLOOKUP('Données projet'!$B$10,Paramètres!$A$1:$I$89,5,0)</f>
        <v>227.51039999999995</v>
      </c>
      <c r="AK65" s="13">
        <f t="shared" si="35"/>
        <v>55.7440313076156</v>
      </c>
      <c r="AL65" s="20">
        <f t="shared" si="4"/>
        <v>493.33480119409711</v>
      </c>
      <c r="AM65" s="59">
        <f t="shared" si="5"/>
        <v>786.66813452743042</v>
      </c>
      <c r="AN65" s="59">
        <f ca="1">AVERAGE(OFFSET($AM$3,0,0,'Données projet'!$E$10+1,1))-AVERAGE(OFFSET($H$3,0,0,'Données projet'!$E$10+1,1))</f>
        <v>285.77483300338548</v>
      </c>
      <c r="AO65" s="59">
        <f t="shared" si="36"/>
        <v>320.55212417690637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4.4273724025902101</v>
      </c>
      <c r="AV65" s="21">
        <f>EXP(-LN(2)/25)*AV64+(1-EXP(-LN(2)/25))/(LN(2)/25)*Calculateur!AQ65*Calculateur!AS65*VLOOKUP('Données projet'!$B$10,Paramètres!$A$1:$I$89,3,0)*0.475*44/12</f>
        <v>11.476686349137903</v>
      </c>
      <c r="AW65" s="21">
        <f>EXP(-LN(2)/2)*AW64+(1-EXP(-LN(2)/2))/(LN(2)/2)*AQ65*AT65*VLOOKUP('Données projet'!$B$10,Paramètres!$A$1:$I$89,3,0)*0.475*44/12</f>
        <v>3.7233262843188293E-4</v>
      </c>
      <c r="AX65" s="21">
        <f t="shared" si="6"/>
        <v>15.904431084356546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17</v>
      </c>
      <c r="BD65" s="12">
        <f>IF('Données projet'!$A$88&gt;35,BD64+BC65-BL64,IF(A65&lt;'Données projet'!$A$88,$BA$205^A65,IF(A65='Données projet'!$A$88,'Données projet'!$B$88,BD64+BC65-BL64)))</f>
        <v>558.00000000000034</v>
      </c>
      <c r="BE65" s="13">
        <f>BD65*VLOOKUP('Données projet'!$B$11,Paramètres!$A$1:$I$89,3,0)*VLOOKUP('Données projet'!$B$11,Paramètres!$A$1:$I$89,5,0)</f>
        <v>268.3980000000002</v>
      </c>
      <c r="BF65" s="13">
        <f t="shared" si="37"/>
        <v>64.5091667924669</v>
      </c>
      <c r="BG65" s="20">
        <f t="shared" si="7"/>
        <v>579.81331549688014</v>
      </c>
      <c r="BH65" s="59">
        <f t="shared" si="8"/>
        <v>873.14664883021351</v>
      </c>
      <c r="BI65" s="59">
        <f ca="1">AVERAGE(OFFSET($BH$3,0,0,'Données projet'!$E$11+1,1))-AVERAGE(OFFSET($H$3,0,0,'Données projet'!$E$11+1,1))</f>
        <v>327.58421465651799</v>
      </c>
      <c r="BJ65" s="59">
        <f t="shared" si="38"/>
        <v>296.73904998640018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3.5752789044726487</v>
      </c>
      <c r="BQ65" s="21">
        <f>EXP(-LN(2)/25)*BQ64+(1-EXP(-LN(2)/25))/(LN(2)/25)*Calculateur!BL65*Calculateur!BN65*VLOOKUP('Données projet'!$B$11,Paramètres!$A$1:$I$89,3,0)*0.475*44/12</f>
        <v>5.5275870930556961</v>
      </c>
      <c r="BR65" s="21">
        <f>EXP(-LN(2)/2)*BR64+(1-EXP(-LN(2)/2))/(LN(2)/2)*BL65*BO65*VLOOKUP('Données projet'!$B$11,Paramètres!$A$1:$I$89,3,0)*0.475*44/12</f>
        <v>3.1910375104115044E-4</v>
      </c>
      <c r="BS65" s="22">
        <f t="shared" si="9"/>
        <v>9.1031851012793847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13.4</v>
      </c>
      <c r="N66" s="13">
        <f>IF('Données projet'!$A$36&gt;35,N65+M66-V65,IF(A66&lt;'Données projet'!$A$36,$K$205^A66,IF(A66='Données projet'!$A$36,'Données projet'!$B$36,N65+M66-V65)))</f>
        <v>520.19999999999982</v>
      </c>
      <c r="O66" s="13">
        <f>N66*VLOOKUP('Données projet'!$B$9,Paramètres!$A$1:$I$89,3,0)*VLOOKUP('Données projet'!$B$9,Paramètres!$A$1:$I$89,5,0)</f>
        <v>290.79179999999991</v>
      </c>
      <c r="P66" s="13">
        <f t="shared" si="33"/>
        <v>69.242582588470327</v>
      </c>
      <c r="Q66" s="20">
        <f t="shared" si="53"/>
        <v>627.05988300825231</v>
      </c>
      <c r="R66" s="59">
        <f t="shared" si="0"/>
        <v>920.39321634158568</v>
      </c>
      <c r="S66" s="59">
        <f ca="1">AVERAGE(OFFSET($R$3,0,0,'Données projet'!$E$9+1,1))-AVERAGE(OFFSET($H$3,0,0,'Données projet'!$E$9+1,1))</f>
        <v>356.67698551373468</v>
      </c>
      <c r="T66" s="59">
        <f t="shared" si="34"/>
        <v>353.21836615408171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2.3762525441983899</v>
      </c>
      <c r="AA66" s="21">
        <f>EXP(-LN(2)/25)*AA65+(1-EXP(-LN(2)/25))/(LN(2)/25)*Calculateur!V66*Calculateur!X66*VLOOKUP('Données projet'!$B$9,Paramètres!$A$1:$I$89,3,0)*0.475*44/12</f>
        <v>12.085319987996952</v>
      </c>
      <c r="AB66" s="21">
        <f>EXP(-LN(2)/2)*AB65+(1-EXP(-LN(2)/2))/(LN(2)/2)*V66*Y66*VLOOKUP('Données projet'!$B$9,Paramètres!$A$1:$I$89,3,0)*0.475*44/12</f>
        <v>3.5090010414250052E-4</v>
      </c>
      <c r="AC66" s="22">
        <f t="shared" si="3"/>
        <v>14.461923432299486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7.8</v>
      </c>
      <c r="AI66" s="13">
        <f>IF('Données projet'!$A$62&gt;35,AI65+AH66-AQ65,IF(A66&lt;'Données projet'!$A$62,$AF$205^A66,IF(A66='Données projet'!$A$62,'Données projet'!$B$62,AI65+AH66-AQ65)))</f>
        <v>372.39999999999992</v>
      </c>
      <c r="AJ66" s="13">
        <f>AI66*VLOOKUP('Données projet'!$B$10,Paramètres!$A$1:$I$89,3,0)*VLOOKUP('Données projet'!$B$10,Paramètres!$A$1:$I$89,5,0)</f>
        <v>232.37759999999994</v>
      </c>
      <c r="AK66" s="13">
        <f t="shared" si="35"/>
        <v>56.79646612603225</v>
      </c>
      <c r="AL66" s="20">
        <f t="shared" si="4"/>
        <v>503.64483183617267</v>
      </c>
      <c r="AM66" s="59">
        <f t="shared" si="5"/>
        <v>796.97816516950593</v>
      </c>
      <c r="AN66" s="59">
        <f ca="1">AVERAGE(OFFSET($AM$3,0,0,'Données projet'!$E$10+1,1))-AVERAGE(OFFSET($H$3,0,0,'Données projet'!$E$10+1,1))</f>
        <v>285.77483300338548</v>
      </c>
      <c r="AO66" s="59">
        <f t="shared" si="36"/>
        <v>320.55212417690637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4.3405543302059364</v>
      </c>
      <c r="AV66" s="21">
        <f>EXP(-LN(2)/25)*AV65+(1-EXP(-LN(2)/25))/(LN(2)/25)*Calculateur!AQ66*Calculateur!AS66*VLOOKUP('Données projet'!$B$10,Paramètres!$A$1:$I$89,3,0)*0.475*44/12</f>
        <v>11.162855757388023</v>
      </c>
      <c r="AW66" s="21">
        <f>EXP(-LN(2)/2)*AW65+(1-EXP(-LN(2)/2))/(LN(2)/2)*AQ66*AT66*VLOOKUP('Données projet'!$B$10,Paramètres!$A$1:$I$89,3,0)*0.475*44/12</f>
        <v>2.6327892642119554E-4</v>
      </c>
      <c r="AX66" s="21">
        <f t="shared" si="6"/>
        <v>15.503673366520381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17</v>
      </c>
      <c r="BD66" s="12">
        <f>IF('Données projet'!$A$88&gt;35,BD65+BC66-BL65,IF(A66&lt;'Données projet'!$A$88,$BA$205^A66,IF(A66='Données projet'!$A$88,'Données projet'!$B$88,BD65+BC66-BL65)))</f>
        <v>575.00000000000034</v>
      </c>
      <c r="BE66" s="13">
        <f>BD66*VLOOKUP('Données projet'!$B$11,Paramètres!$A$1:$I$89,3,0)*VLOOKUP('Données projet'!$B$11,Paramètres!$A$1:$I$89,5,0)</f>
        <v>276.57500000000016</v>
      </c>
      <c r="BF66" s="13">
        <f t="shared" si="37"/>
        <v>66.242690281501467</v>
      </c>
      <c r="BG66" s="20">
        <f t="shared" si="7"/>
        <v>597.07414390694873</v>
      </c>
      <c r="BH66" s="59">
        <f t="shared" si="8"/>
        <v>890.40747724028211</v>
      </c>
      <c r="BI66" s="59">
        <f ca="1">AVERAGE(OFFSET($BH$3,0,0,'Données projet'!$E$11+1,1))-AVERAGE(OFFSET($H$3,0,0,'Données projet'!$E$11+1,1))</f>
        <v>327.58421465651799</v>
      </c>
      <c r="BJ66" s="59">
        <f t="shared" si="38"/>
        <v>296.73904998640018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3.5051698658607453</v>
      </c>
      <c r="BQ66" s="21">
        <f>EXP(-LN(2)/25)*BQ65+(1-EXP(-LN(2)/25))/(LN(2)/25)*Calculateur!BL66*Calculateur!BN66*VLOOKUP('Données projet'!$B$11,Paramètres!$A$1:$I$89,3,0)*0.475*44/12</f>
        <v>5.3764349333129164</v>
      </c>
      <c r="BR66" s="21">
        <f>EXP(-LN(2)/2)*BR65+(1-EXP(-LN(2)/2))/(LN(2)/2)*BL66*BO66*VLOOKUP('Données projet'!$B$11,Paramètres!$A$1:$I$89,3,0)*0.475*44/12</f>
        <v>2.256404262632613E-4</v>
      </c>
      <c r="BS66" s="22">
        <f t="shared" si="9"/>
        <v>8.8818304395999252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13.4</v>
      </c>
      <c r="N67" s="13">
        <f>IF('Données projet'!$A$36&gt;35,N66+M67-V66,IF(A67&lt;'Données projet'!$A$36,$K$205^A67,IF(A67='Données projet'!$A$36,'Données projet'!$B$36,N66+M67-V66)))</f>
        <v>533.5999999999998</v>
      </c>
      <c r="O67" s="13">
        <f>N67*VLOOKUP('Données projet'!$B$9,Paramètres!$A$1:$I$89,3,0)*VLOOKUP('Données projet'!$B$9,Paramètres!$A$1:$I$89,5,0)</f>
        <v>298.28239999999988</v>
      </c>
      <c r="P67" s="13">
        <f t="shared" si="33"/>
        <v>70.816268303381889</v>
      </c>
      <c r="Q67" s="20">
        <f t="shared" ref="Q67:Q98" si="54">(O67+P67)*0.475*44/12</f>
        <v>642.84684729505659</v>
      </c>
      <c r="R67" s="59">
        <f t="shared" ref="R67:R130" si="55">Q67+(I67+J67)*44/12</f>
        <v>936.18018062838996</v>
      </c>
      <c r="S67" s="59">
        <f ca="1">AVERAGE(OFFSET($R$3,0,0,'Données projet'!$E$9+1,1))-AVERAGE(OFFSET($H$3,0,0,'Données projet'!$E$9+1,1))</f>
        <v>356.67698551373468</v>
      </c>
      <c r="T67" s="59">
        <f t="shared" si="34"/>
        <v>353.21836615408171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2.3296556811775981</v>
      </c>
      <c r="AA67" s="21">
        <f>EXP(-LN(2)/25)*AA66+(1-EXP(-LN(2)/25))/(LN(2)/25)*Calculateur!V67*Calculateur!X67*VLOOKUP('Données projet'!$B$9,Paramètres!$A$1:$I$89,3,0)*0.475*44/12</f>
        <v>11.754846277385818</v>
      </c>
      <c r="AB67" s="21">
        <f>EXP(-LN(2)/2)*AB66+(1-EXP(-LN(2)/2))/(LN(2)/2)*V67*Y67*VLOOKUP('Données projet'!$B$9,Paramètres!$A$1:$I$89,3,0)*0.475*44/12</f>
        <v>2.4812384315822786E-4</v>
      </c>
      <c r="AC67" s="22">
        <f t="shared" si="3"/>
        <v>14.084750082406575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7.8</v>
      </c>
      <c r="AI67" s="13">
        <f>IF('Données projet'!$A$62&gt;35,AI66+AH67-AQ66,IF(A67&lt;'Données projet'!$A$62,$AF$205^A67,IF(A67='Données projet'!$A$62,'Données projet'!$B$62,AI66+AH67-AQ66)))</f>
        <v>380.19999999999993</v>
      </c>
      <c r="AJ67" s="13">
        <f>AI67*VLOOKUP('Données projet'!$B$10,Paramètres!$A$1:$I$89,3,0)*VLOOKUP('Données projet'!$B$10,Paramètres!$A$1:$I$89,5,0)</f>
        <v>237.24479999999994</v>
      </c>
      <c r="AK67" s="13">
        <f t="shared" si="35"/>
        <v>57.846338010686594</v>
      </c>
      <c r="AL67" s="20">
        <f t="shared" si="4"/>
        <v>513.9503987019458</v>
      </c>
      <c r="AM67" s="59">
        <f t="shared" si="5"/>
        <v>807.28373203527917</v>
      </c>
      <c r="AN67" s="59">
        <f ca="1">AVERAGE(OFFSET($AM$3,0,0,'Données projet'!$E$10+1,1))-AVERAGE(OFFSET($H$3,0,0,'Données projet'!$E$10+1,1))</f>
        <v>285.77483300338548</v>
      </c>
      <c r="AO67" s="59">
        <f t="shared" si="36"/>
        <v>320.55212417690637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4.2554387072673228</v>
      </c>
      <c r="AV67" s="21">
        <f>EXP(-LN(2)/25)*AV66+(1-EXP(-LN(2)/25))/(LN(2)/25)*Calculateur!AQ67*Calculateur!AS67*VLOOKUP('Données projet'!$B$10,Paramètres!$A$1:$I$89,3,0)*0.475*44/12</f>
        <v>10.857606879673176</v>
      </c>
      <c r="AW67" s="21">
        <f>EXP(-LN(2)/2)*AW66+(1-EXP(-LN(2)/2))/(LN(2)/2)*AQ67*AT67*VLOOKUP('Données projet'!$B$10,Paramètres!$A$1:$I$89,3,0)*0.475*44/12</f>
        <v>1.8616631421594147E-4</v>
      </c>
      <c r="AX67" s="21">
        <f t="shared" si="6"/>
        <v>15.113231753254713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17</v>
      </c>
      <c r="BD67" s="12">
        <f>IF('Données projet'!$A$88&gt;35,BD66+BC67-BL66,IF(A67&lt;'Données projet'!$A$88,$BA$205^A67,IF(A67='Données projet'!$A$88,'Données projet'!$B$88,BD66+BC67-BL66)))</f>
        <v>592.00000000000034</v>
      </c>
      <c r="BE67" s="13">
        <f>BD67*VLOOKUP('Données projet'!$B$11,Paramètres!$A$1:$I$89,3,0)*VLOOKUP('Données projet'!$B$11,Paramètres!$A$1:$I$89,5,0)</f>
        <v>284.75200000000018</v>
      </c>
      <c r="BF67" s="13">
        <f t="shared" si="37"/>
        <v>67.970257374451933</v>
      </c>
      <c r="BG67" s="20">
        <f t="shared" si="7"/>
        <v>614.32459826050399</v>
      </c>
      <c r="BH67" s="59">
        <f t="shared" si="8"/>
        <v>907.65793159383725</v>
      </c>
      <c r="BI67" s="59">
        <f ca="1">AVERAGE(OFFSET($BH$3,0,0,'Données projet'!$E$11+1,1))-AVERAGE(OFFSET($H$3,0,0,'Données projet'!$E$11+1,1))</f>
        <v>327.58421465651799</v>
      </c>
      <c r="BJ67" s="59">
        <f t="shared" si="38"/>
        <v>296.73904998640018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3.4364356227337298</v>
      </c>
      <c r="BQ67" s="21">
        <f>EXP(-LN(2)/25)*BQ66+(1-EXP(-LN(2)/25))/(LN(2)/25)*Calculateur!BL67*Calculateur!BN67*VLOOKUP('Données projet'!$B$11,Paramètres!$A$1:$I$89,3,0)*0.475*44/12</f>
        <v>5.2294160373270495</v>
      </c>
      <c r="BR67" s="21">
        <f>EXP(-LN(2)/2)*BR66+(1-EXP(-LN(2)/2))/(LN(2)/2)*BL67*BO67*VLOOKUP('Données projet'!$B$11,Paramètres!$A$1:$I$89,3,0)*0.475*44/12</f>
        <v>1.5955187552057522E-4</v>
      </c>
      <c r="BS67" s="22">
        <f t="shared" si="9"/>
        <v>8.6660112119363006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13.4</v>
      </c>
      <c r="N68" s="13">
        <f>IF('Données projet'!$A$36&gt;35,N67+M68-V67,IF(A68&lt;'Données projet'!$A$36,$K$205^A68,IF(A68='Données projet'!$A$36,'Données projet'!$B$36,N67+M68-V67)))</f>
        <v>546.99999999999977</v>
      </c>
      <c r="O68" s="13">
        <f>N68*VLOOKUP('Données projet'!$B$9,Paramètres!$A$1:$I$89,3,0)*VLOOKUP('Données projet'!$B$9,Paramètres!$A$1:$I$89,5,0)</f>
        <v>305.77299999999985</v>
      </c>
      <c r="P68" s="13">
        <f t="shared" si="33"/>
        <v>72.385360202068057</v>
      </c>
      <c r="Q68" s="20">
        <f t="shared" si="54"/>
        <v>658.62581068526822</v>
      </c>
      <c r="R68" s="59">
        <f t="shared" si="55"/>
        <v>951.95914401860159</v>
      </c>
      <c r="S68" s="59">
        <f ca="1">AVERAGE(OFFSET($R$3,0,0,'Données projet'!$E$9+1,1))-AVERAGE(OFFSET($H$3,0,0,'Données projet'!$E$9+1,1))</f>
        <v>356.67698551373468</v>
      </c>
      <c r="T68" s="59">
        <f t="shared" si="34"/>
        <v>353.21836615408171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2.2839725542193636</v>
      </c>
      <c r="AA68" s="21">
        <f>EXP(-LN(2)/25)*AA67+(1-EXP(-LN(2)/25))/(LN(2)/25)*Calculateur!V68*Calculateur!X68*VLOOKUP('Données projet'!$B$9,Paramètres!$A$1:$I$89,3,0)*0.475*44/12</f>
        <v>11.433409387770203</v>
      </c>
      <c r="AB68" s="21">
        <f>EXP(-LN(2)/2)*AB67+(1-EXP(-LN(2)/2))/(LN(2)/2)*V68*Y68*VLOOKUP('Données projet'!$B$9,Paramètres!$A$1:$I$89,3,0)*0.475*44/12</f>
        <v>1.7545005207125026E-4</v>
      </c>
      <c r="AC68" s="22">
        <f t="shared" ref="AC68:AC131" si="57">SUM(Z68:AB68)</f>
        <v>13.717557392041638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7.8</v>
      </c>
      <c r="AI68" s="13">
        <f>IF('Données projet'!$A$62&gt;35,AI67+AH68-AQ67,IF(A68&lt;'Données projet'!$A$62,$AF$205^A68,IF(A68='Données projet'!$A$62,'Données projet'!$B$62,AI67+AH68-AQ67)))</f>
        <v>387.99999999999994</v>
      </c>
      <c r="AJ68" s="13">
        <f>AI68*VLOOKUP('Données projet'!$B$10,Paramètres!$A$1:$I$89,3,0)*VLOOKUP('Données projet'!$B$10,Paramètres!$A$1:$I$89,5,0)</f>
        <v>242.11199999999994</v>
      </c>
      <c r="AK68" s="13">
        <f t="shared" si="35"/>
        <v>58.893705600066006</v>
      </c>
      <c r="AL68" s="20">
        <f t="shared" ref="AL68:AL131" si="58">(AJ68+AK68)*0.475*44/12</f>
        <v>524.2516039201148</v>
      </c>
      <c r="AM68" s="59">
        <f t="shared" ref="AM68:AM131" si="59">AL68+(AD68+AE68)*44/12</f>
        <v>817.58493725344806</v>
      </c>
      <c r="AN68" s="59">
        <f ca="1">AVERAGE(OFFSET($AM$3,0,0,'Données projet'!$E$10+1,1))-AVERAGE(OFFSET($H$3,0,0,'Données projet'!$E$10+1,1))</f>
        <v>285.77483300338548</v>
      </c>
      <c r="AO68" s="59">
        <f t="shared" si="36"/>
        <v>320.55212417690637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4.1719921497791317</v>
      </c>
      <c r="AV68" s="21">
        <f>EXP(-LN(2)/25)*AV67+(1-EXP(-LN(2)/25))/(LN(2)/25)*Calculateur!AQ68*Calculateur!AS68*VLOOKUP('Données projet'!$B$10,Paramètres!$A$1:$I$89,3,0)*0.475*44/12</f>
        <v>10.560705048571782</v>
      </c>
      <c r="AW68" s="21">
        <f>EXP(-LN(2)/2)*AW67+(1-EXP(-LN(2)/2))/(LN(2)/2)*AQ68*AT68*VLOOKUP('Données projet'!$B$10,Paramètres!$A$1:$I$89,3,0)*0.475*44/12</f>
        <v>1.3163946321059777E-4</v>
      </c>
      <c r="AX68" s="21">
        <f t="shared" ref="AX68:AX131" si="60">SUM(AU68:AW68)</f>
        <v>14.732828837814123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17</v>
      </c>
      <c r="BD68" s="12">
        <f>IF('Données projet'!$A$88&gt;35,BD67+BC68-BL67,IF(A68&lt;'Données projet'!$A$88,$BA$205^A68,IF(A68='Données projet'!$A$88,'Données projet'!$B$88,BD67+BC68-BL67)))</f>
        <v>609.00000000000034</v>
      </c>
      <c r="BE68" s="13">
        <f>BD68*VLOOKUP('Données projet'!$B$11,Paramètres!$A$1:$I$89,3,0)*VLOOKUP('Données projet'!$B$11,Paramètres!$A$1:$I$89,5,0)</f>
        <v>292.9290000000002</v>
      </c>
      <c r="BF68" s="13">
        <f t="shared" si="37"/>
        <v>69.692058760461109</v>
      </c>
      <c r="BG68" s="20">
        <f t="shared" ref="BG68:BG131" si="61">(BE68+BF68)*0.475*44/12</f>
        <v>631.56501067447016</v>
      </c>
      <c r="BH68" s="59">
        <f t="shared" ref="BH68:BH131" si="62">BG68+(AY68+AZ68)*44/12</f>
        <v>924.89834400780342</v>
      </c>
      <c r="BI68" s="59">
        <f ca="1">AVERAGE(OFFSET($BH$3,0,0,'Données projet'!$E$11+1,1))-AVERAGE(OFFSET($H$3,0,0,'Données projet'!$E$11+1,1))</f>
        <v>327.58421465651799</v>
      </c>
      <c r="BJ68" s="59">
        <f t="shared" si="38"/>
        <v>296.73904998640018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3.3690492161906866</v>
      </c>
      <c r="BQ68" s="21">
        <f>EXP(-LN(2)/25)*BQ67+(1-EXP(-LN(2)/25))/(LN(2)/25)*Calculateur!BL68*Calculateur!BN68*VLOOKUP('Données projet'!$B$11,Paramètres!$A$1:$I$89,3,0)*0.475*44/12</f>
        <v>5.0864173807833035</v>
      </c>
      <c r="BR68" s="21">
        <f>EXP(-LN(2)/2)*BR67+(1-EXP(-LN(2)/2))/(LN(2)/2)*BL68*BO68*VLOOKUP('Données projet'!$B$11,Paramètres!$A$1:$I$89,3,0)*0.475*44/12</f>
        <v>1.1282021313163065E-4</v>
      </c>
      <c r="BS68" s="22">
        <f t="shared" ref="BS68:BS131" si="63">SUM(BP68:BR68)</f>
        <v>8.4555794171871206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13.4</v>
      </c>
      <c r="N69" s="13">
        <f>IF('Données projet'!$A$36&gt;35,N68+M69-V68,IF(A69&lt;'Données projet'!$A$36,$K$205^A69,IF(A69='Données projet'!$A$36,'Données projet'!$B$36,N68+M69-V68)))</f>
        <v>560.39999999999975</v>
      </c>
      <c r="O69" s="13">
        <f>N69*VLOOKUP('Données projet'!$B$9,Paramètres!$A$1:$I$89,3,0)*VLOOKUP('Données projet'!$B$9,Paramètres!$A$1:$I$89,5,0)</f>
        <v>313.26359999999988</v>
      </c>
      <c r="P69" s="13">
        <f t="shared" ref="P69:P132" si="87">EXP(-1.0587+0.8836*LN(O69)+0.284)</f>
        <v>73.949983766039026</v>
      </c>
      <c r="Q69" s="20">
        <f t="shared" si="54"/>
        <v>674.39699172585108</v>
      </c>
      <c r="R69" s="59">
        <f t="shared" si="55"/>
        <v>967.73032505918445</v>
      </c>
      <c r="S69" s="59">
        <f ca="1">AVERAGE(OFFSET($R$3,0,0,'Données projet'!$E$9+1,1))-AVERAGE(OFFSET($H$3,0,0,'Données projet'!$E$9+1,1))</f>
        <v>356.67698551373468</v>
      </c>
      <c r="T69" s="59">
        <f t="shared" ref="T69:T132" si="88">$T$3</f>
        <v>353.21836615408171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2.2391852455168242</v>
      </c>
      <c r="AA69" s="21">
        <f>EXP(-LN(2)/25)*AA68+(1-EXP(-LN(2)/25))/(LN(2)/25)*Calculateur!V69*Calculateur!X69*VLOOKUP('Données projet'!$B$9,Paramètres!$A$1:$I$89,3,0)*0.475*44/12</f>
        <v>11.120762206804759</v>
      </c>
      <c r="AB69" s="21">
        <f>EXP(-LN(2)/2)*AB68+(1-EXP(-LN(2)/2))/(LN(2)/2)*V69*Y69*VLOOKUP('Données projet'!$B$9,Paramètres!$A$1:$I$89,3,0)*0.475*44/12</f>
        <v>1.2406192157911393E-4</v>
      </c>
      <c r="AC69" s="22">
        <f t="shared" si="57"/>
        <v>13.360071514243161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7.8</v>
      </c>
      <c r="AI69" s="13">
        <f>IF('Données projet'!$A$62&gt;35,AI68+AH69-AQ68,IF(A69&lt;'Données projet'!$A$62,$AF$205^A69,IF(A69='Données projet'!$A$62,'Données projet'!$B$62,AI68+AH69-AQ68)))</f>
        <v>395.79999999999995</v>
      </c>
      <c r="AJ69" s="13">
        <f>AI69*VLOOKUP('Données projet'!$B$10,Paramètres!$A$1:$I$89,3,0)*VLOOKUP('Données projet'!$B$10,Paramètres!$A$1:$I$89,5,0)</f>
        <v>246.97919999999999</v>
      </c>
      <c r="AK69" s="13">
        <f t="shared" ref="AK69:AK132" si="89">EXP(-1.0587+0.8836*LN(AJ69)+0.284)</f>
        <v>59.938625040227144</v>
      </c>
      <c r="AL69" s="20">
        <f t="shared" si="58"/>
        <v>534.54854527839552</v>
      </c>
      <c r="AM69" s="59">
        <f t="shared" si="59"/>
        <v>827.88187861172878</v>
      </c>
      <c r="AN69" s="59">
        <f ca="1">AVERAGE(OFFSET($AM$3,0,0,'Données projet'!$E$10+1,1))-AVERAGE(OFFSET($H$3,0,0,'Données projet'!$E$10+1,1))</f>
        <v>285.77483300338548</v>
      </c>
      <c r="AO69" s="59">
        <f t="shared" ref="AO69:AO132" si="90">$AO$3</f>
        <v>320.55212417690637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4.0901819283859098</v>
      </c>
      <c r="AV69" s="21">
        <f>EXP(-LN(2)/25)*AV68+(1-EXP(-LN(2)/25))/(LN(2)/25)*Calculateur!AQ69*Calculateur!AS69*VLOOKUP('Données projet'!$B$10,Paramètres!$A$1:$I$89,3,0)*0.475*44/12</f>
        <v>10.271922013655244</v>
      </c>
      <c r="AW69" s="21">
        <f>EXP(-LN(2)/2)*AW68+(1-EXP(-LN(2)/2))/(LN(2)/2)*AQ69*AT69*VLOOKUP('Données projet'!$B$10,Paramètres!$A$1:$I$89,3,0)*0.475*44/12</f>
        <v>9.3083157107970733E-5</v>
      </c>
      <c r="AX69" s="21">
        <f t="shared" si="60"/>
        <v>14.362197025198261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17</v>
      </c>
      <c r="BD69" s="12">
        <f>IF('Données projet'!$A$88&gt;35,BD68+BC69-BL68,IF(A69&lt;'Données projet'!$A$88,$BA$205^A69,IF(A69='Données projet'!$A$88,'Données projet'!$B$88,BD68+BC69-BL68)))</f>
        <v>626.00000000000034</v>
      </c>
      <c r="BE69" s="13">
        <f>BD69*VLOOKUP('Données projet'!$B$11,Paramètres!$A$1:$I$89,3,0)*VLOOKUP('Données projet'!$B$11,Paramètres!$A$1:$I$89,5,0)</f>
        <v>301.10600000000017</v>
      </c>
      <c r="BF69" s="13">
        <f t="shared" ref="BF69:BF132" si="91">EXP(-1.0587+0.8836*LN(BE69)+0.284)</f>
        <v>71.408273876909504</v>
      </c>
      <c r="BG69" s="20">
        <f t="shared" si="61"/>
        <v>648.795693668951</v>
      </c>
      <c r="BH69" s="59">
        <f t="shared" si="62"/>
        <v>942.12902700228437</v>
      </c>
      <c r="BI69" s="59">
        <f ca="1">AVERAGE(OFFSET($BH$3,0,0,'Données projet'!$E$11+1,1))-AVERAGE(OFFSET($H$3,0,0,'Données projet'!$E$11+1,1))</f>
        <v>327.58421465651799</v>
      </c>
      <c r="BJ69" s="59">
        <f t="shared" ref="BJ69:BJ132" si="92">$BJ$3</f>
        <v>296.73904998640018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3.3029842159783032</v>
      </c>
      <c r="BQ69" s="21">
        <f>EXP(-LN(2)/25)*BQ68+(1-EXP(-LN(2)/25))/(LN(2)/25)*Calculateur!BL69*Calculateur!BN69*VLOOKUP('Données projet'!$B$11,Paramètres!$A$1:$I$89,3,0)*0.475*44/12</f>
        <v>4.9473290300227193</v>
      </c>
      <c r="BR69" s="21">
        <f>EXP(-LN(2)/2)*BR68+(1-EXP(-LN(2)/2))/(LN(2)/2)*BL69*BO69*VLOOKUP('Données projet'!$B$11,Paramètres!$A$1:$I$89,3,0)*0.475*44/12</f>
        <v>7.9775937760287609E-5</v>
      </c>
      <c r="BS69" s="22">
        <f t="shared" si="63"/>
        <v>8.2503930219387822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13.4</v>
      </c>
      <c r="N70" s="13">
        <f>IF('Données projet'!$A$36&gt;35,N69+M70-V69,IF(A70&lt;'Données projet'!$A$36,$K$205^A70,IF(A70='Données projet'!$A$36,'Données projet'!$B$36,N69+M70-V69)))</f>
        <v>573.79999999999973</v>
      </c>
      <c r="O70" s="13">
        <f>N70*VLOOKUP('Données projet'!$B$9,Paramètres!$A$1:$I$89,3,0)*VLOOKUP('Données projet'!$B$9,Paramètres!$A$1:$I$89,5,0)</f>
        <v>320.75419999999986</v>
      </c>
      <c r="P70" s="13">
        <f t="shared" si="87"/>
        <v>75.510258133660997</v>
      </c>
      <c r="Q70" s="20">
        <f t="shared" si="54"/>
        <v>690.16059791612599</v>
      </c>
      <c r="R70" s="59">
        <f t="shared" si="55"/>
        <v>983.49393124945937</v>
      </c>
      <c r="S70" s="59">
        <f ca="1">AVERAGE(OFFSET($R$3,0,0,'Données projet'!$E$9+1,1))-AVERAGE(OFFSET($H$3,0,0,'Données projet'!$E$9+1,1))</f>
        <v>356.67698551373468</v>
      </c>
      <c r="T70" s="59">
        <f t="shared" si="88"/>
        <v>353.21836615408171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2.1952761886203804</v>
      </c>
      <c r="AA70" s="21">
        <f>EXP(-LN(2)/25)*AA69+(1-EXP(-LN(2)/25))/(LN(2)/25)*Calculateur!V70*Calculateur!X70*VLOOKUP('Données projet'!$B$9,Paramètres!$A$1:$I$89,3,0)*0.475*44/12</f>
        <v>10.816664379444216</v>
      </c>
      <c r="AB70" s="21">
        <f>EXP(-LN(2)/2)*AB69+(1-EXP(-LN(2)/2))/(LN(2)/2)*V70*Y70*VLOOKUP('Données projet'!$B$9,Paramètres!$A$1:$I$89,3,0)*0.475*44/12</f>
        <v>8.7725026035625131E-5</v>
      </c>
      <c r="AC70" s="22">
        <f t="shared" si="57"/>
        <v>13.012028293090632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7.8</v>
      </c>
      <c r="AI70" s="13">
        <f>IF('Données projet'!$A$62&gt;35,AI69+AH70-AQ69,IF(A70&lt;'Données projet'!$A$62,$AF$205^A70,IF(A70='Données projet'!$A$62,'Données projet'!$B$62,AI69+AH70-AQ69)))</f>
        <v>403.59999999999997</v>
      </c>
      <c r="AJ70" s="13">
        <f>AI70*VLOOKUP('Données projet'!$B$10,Paramètres!$A$1:$I$89,3,0)*VLOOKUP('Données projet'!$B$10,Paramètres!$A$1:$I$89,5,0)</f>
        <v>251.84639999999999</v>
      </c>
      <c r="AK70" s="13">
        <f t="shared" si="89"/>
        <v>60.981150137731454</v>
      </c>
      <c r="AL70" s="20">
        <f t="shared" si="58"/>
        <v>544.84131648988216</v>
      </c>
      <c r="AM70" s="59">
        <f t="shared" si="59"/>
        <v>838.17464982321553</v>
      </c>
      <c r="AN70" s="59">
        <f ca="1">AVERAGE(OFFSET($AM$3,0,0,'Données projet'!$E$10+1,1))-AVERAGE(OFFSET($H$3,0,0,'Données projet'!$E$10+1,1))</f>
        <v>285.77483300338548</v>
      </c>
      <c r="AO70" s="59">
        <f t="shared" si="90"/>
        <v>320.55212417690637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4.0099759555349008</v>
      </c>
      <c r="AV70" s="21">
        <f>EXP(-LN(2)/25)*AV69+(1-EXP(-LN(2)/25))/(LN(2)/25)*Calculateur!AQ70*Calculateur!AS70*VLOOKUP('Données projet'!$B$10,Paramètres!$A$1:$I$89,3,0)*0.475*44/12</f>
        <v>9.9910357660149387</v>
      </c>
      <c r="AW70" s="21">
        <f>EXP(-LN(2)/2)*AW69+(1-EXP(-LN(2)/2))/(LN(2)/2)*AQ70*AT70*VLOOKUP('Données projet'!$B$10,Paramètres!$A$1:$I$89,3,0)*0.475*44/12</f>
        <v>6.5819731605298886E-5</v>
      </c>
      <c r="AX70" s="21">
        <f t="shared" si="60"/>
        <v>14.001077541281445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17</v>
      </c>
      <c r="BD70" s="12">
        <f>IF('Données projet'!$A$88&gt;35,BD69+BC70-BL69,IF(A70&lt;'Données projet'!$A$88,$BA$205^A70,IF(A70='Données projet'!$A$88,'Données projet'!$B$88,BD69+BC70-BL69)))</f>
        <v>643.00000000000034</v>
      </c>
      <c r="BE70" s="13">
        <f>BD70*VLOOKUP('Données projet'!$B$11,Paramètres!$A$1:$I$89,3,0)*VLOOKUP('Données projet'!$B$11,Paramètres!$A$1:$I$89,5,0)</f>
        <v>309.28300000000013</v>
      </c>
      <c r="BF70" s="13">
        <f t="shared" si="91"/>
        <v>73.11907186062929</v>
      </c>
      <c r="BG70" s="20">
        <f t="shared" si="61"/>
        <v>666.01694182392941</v>
      </c>
      <c r="BH70" s="59">
        <f t="shared" si="62"/>
        <v>959.35027515726279</v>
      </c>
      <c r="BI70" s="59">
        <f ca="1">AVERAGE(OFFSET($BH$3,0,0,'Données projet'!$E$11+1,1))-AVERAGE(OFFSET($H$3,0,0,'Données projet'!$E$11+1,1))</f>
        <v>327.58421465651799</v>
      </c>
      <c r="BJ70" s="59">
        <f t="shared" si="92"/>
        <v>296.73904998640018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3.2382147101244132</v>
      </c>
      <c r="BQ70" s="21">
        <f>EXP(-LN(2)/25)*BQ69+(1-EXP(-LN(2)/25))/(LN(2)/25)*Calculateur!BL70*Calculateur!BN70*VLOOKUP('Données projet'!$B$11,Paramètres!$A$1:$I$89,3,0)*0.475*44/12</f>
        <v>4.8120440575280217</v>
      </c>
      <c r="BR70" s="21">
        <f>EXP(-LN(2)/2)*BR69+(1-EXP(-LN(2)/2))/(LN(2)/2)*BL70*BO70*VLOOKUP('Données projet'!$B$11,Paramètres!$A$1:$I$89,3,0)*0.475*44/12</f>
        <v>5.6410106565815326E-5</v>
      </c>
      <c r="BS70" s="22">
        <f t="shared" si="63"/>
        <v>8.0503151777590016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13.4</v>
      </c>
      <c r="N71" s="13">
        <f>IF('Données projet'!$A$36&gt;35,N70+M71-V70,IF(A71&lt;'Données projet'!$A$36,$K$205^A71,IF(A71='Données projet'!$A$36,'Données projet'!$B$36,N70+M71-V70)))</f>
        <v>587.1999999999997</v>
      </c>
      <c r="O71" s="13">
        <f>N71*VLOOKUP('Données projet'!$B$9,Paramètres!$A$1:$I$89,3,0)*VLOOKUP('Données projet'!$B$9,Paramètres!$A$1:$I$89,5,0)</f>
        <v>328.24479999999983</v>
      </c>
      <c r="P71" s="13">
        <f t="shared" si="87"/>
        <v>77.066296561336628</v>
      </c>
      <c r="Q71" s="20">
        <f t="shared" si="54"/>
        <v>705.91682651099427</v>
      </c>
      <c r="R71" s="59">
        <f t="shared" si="55"/>
        <v>999.25015984432753</v>
      </c>
      <c r="S71" s="59">
        <f ca="1">AVERAGE(OFFSET($R$3,0,0,'Données projet'!$E$9+1,1))-AVERAGE(OFFSET($H$3,0,0,'Données projet'!$E$9+1,1))</f>
        <v>356.67698551373468</v>
      </c>
      <c r="T71" s="59">
        <f t="shared" si="88"/>
        <v>353.21836615408171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2.1522281615477961</v>
      </c>
      <c r="AA71" s="21">
        <f>EXP(-LN(2)/25)*AA70+(1-EXP(-LN(2)/25))/(LN(2)/25)*Calculateur!V71*Calculateur!X71*VLOOKUP('Données projet'!$B$9,Paramètres!$A$1:$I$89,3,0)*0.475*44/12</f>
        <v>10.520882123164656</v>
      </c>
      <c r="AB71" s="21">
        <f>EXP(-LN(2)/2)*AB70+(1-EXP(-LN(2)/2))/(LN(2)/2)*V71*Y71*VLOOKUP('Données projet'!$B$9,Paramètres!$A$1:$I$89,3,0)*0.475*44/12</f>
        <v>6.2030960789556964E-5</v>
      </c>
      <c r="AC71" s="22">
        <f t="shared" si="57"/>
        <v>12.673172315673241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7.8</v>
      </c>
      <c r="AI71" s="13">
        <f>IF('Données projet'!$A$62&gt;35,AI70+AH71-AQ70,IF(A71&lt;'Données projet'!$A$62,$AF$205^A71,IF(A71='Données projet'!$A$62,'Données projet'!$B$62,AI70+AH71-AQ70)))</f>
        <v>411.4</v>
      </c>
      <c r="AJ71" s="13">
        <f>AI71*VLOOKUP('Données projet'!$B$10,Paramètres!$A$1:$I$89,3,0)*VLOOKUP('Données projet'!$B$10,Paramètres!$A$1:$I$89,5,0)</f>
        <v>256.71359999999999</v>
      </c>
      <c r="AK71" s="13">
        <f t="shared" si="89"/>
        <v>62.021332500424947</v>
      </c>
      <c r="AL71" s="20">
        <f t="shared" si="58"/>
        <v>555.13000743824</v>
      </c>
      <c r="AM71" s="59">
        <f t="shared" si="59"/>
        <v>848.46334077157326</v>
      </c>
      <c r="AN71" s="59">
        <f ca="1">AVERAGE(OFFSET($AM$3,0,0,'Données projet'!$E$10+1,1))-AVERAGE(OFFSET($H$3,0,0,'Données projet'!$E$10+1,1))</f>
        <v>285.77483300338548</v>
      </c>
      <c r="AO71" s="59">
        <f t="shared" si="90"/>
        <v>320.55212417690637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3.9313427728906873</v>
      </c>
      <c r="AV71" s="21">
        <f>EXP(-LN(2)/25)*AV70+(1-EXP(-LN(2)/25))/(LN(2)/25)*Calculateur!AQ71*Calculateur!AS71*VLOOKUP('Données projet'!$B$10,Paramètres!$A$1:$I$89,3,0)*0.475*44/12</f>
        <v>9.7178303675875242</v>
      </c>
      <c r="AW71" s="21">
        <f>EXP(-LN(2)/2)*AW70+(1-EXP(-LN(2)/2))/(LN(2)/2)*AQ71*AT71*VLOOKUP('Données projet'!$B$10,Paramètres!$A$1:$I$89,3,0)*0.475*44/12</f>
        <v>4.6541578553985367E-5</v>
      </c>
      <c r="AX71" s="21">
        <f t="shared" si="60"/>
        <v>13.649219682056765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17</v>
      </c>
      <c r="BD71" s="12">
        <f>IF('Données projet'!$A$88&gt;35,BD70+BC71-BL70,IF(A71&lt;'Données projet'!$A$88,$BA$205^A71,IF(A71='Données projet'!$A$88,'Données projet'!$B$88,BD70+BC71-BL70)))</f>
        <v>660.00000000000034</v>
      </c>
      <c r="BE71" s="13">
        <f>BD71*VLOOKUP('Données projet'!$B$11,Paramètres!$A$1:$I$89,3,0)*VLOOKUP('Données projet'!$B$11,Paramètres!$A$1:$I$89,5,0)</f>
        <v>317.46000000000021</v>
      </c>
      <c r="BF71" s="13">
        <f t="shared" si="91"/>
        <v>74.82461239569362</v>
      </c>
      <c r="BG71" s="20">
        <f t="shared" si="61"/>
        <v>683.22903325583331</v>
      </c>
      <c r="BH71" s="59">
        <f t="shared" si="62"/>
        <v>976.56236658916669</v>
      </c>
      <c r="BI71" s="59">
        <f ca="1">AVERAGE(OFFSET($BH$3,0,0,'Données projet'!$E$11+1,1))-AVERAGE(OFFSET($H$3,0,0,'Données projet'!$E$11+1,1))</f>
        <v>327.58421465651799</v>
      </c>
      <c r="BJ71" s="59">
        <f t="shared" si="92"/>
        <v>296.73904998640018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3.1747152947748201</v>
      </c>
      <c r="BQ71" s="21">
        <f>EXP(-LN(2)/25)*BQ70+(1-EXP(-LN(2)/25))/(LN(2)/25)*Calculateur!BL71*Calculateur!BN71*VLOOKUP('Données projet'!$B$11,Paramètres!$A$1:$I$89,3,0)*0.475*44/12</f>
        <v>4.6804584597205192</v>
      </c>
      <c r="BR71" s="21">
        <f>EXP(-LN(2)/2)*BR70+(1-EXP(-LN(2)/2))/(LN(2)/2)*BL71*BO71*VLOOKUP('Données projet'!$B$11,Paramètres!$A$1:$I$89,3,0)*0.475*44/12</f>
        <v>3.9887968880143805E-5</v>
      </c>
      <c r="BS71" s="22">
        <f t="shared" si="63"/>
        <v>7.8552136424642196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13.4</v>
      </c>
      <c r="N72" s="13">
        <f>IF('Données projet'!$A$36&gt;35,N71+M72-V71,IF(A72&lt;'Données projet'!$A$36,$K$205^A72,IF(A72='Données projet'!$A$36,'Données projet'!$B$36,N71+M72-V71)))</f>
        <v>600.59999999999968</v>
      </c>
      <c r="O72" s="13">
        <f>N72*VLOOKUP('Données projet'!$B$9,Paramètres!$A$1:$I$89,3,0)*VLOOKUP('Données projet'!$B$9,Paramètres!$A$1:$I$89,5,0)</f>
        <v>335.73539999999986</v>
      </c>
      <c r="P72" s="13">
        <f t="shared" si="87"/>
        <v>78.618206841401843</v>
      </c>
      <c r="Q72" s="20">
        <f t="shared" si="54"/>
        <v>721.66586524877459</v>
      </c>
      <c r="R72" s="59">
        <f t="shared" si="55"/>
        <v>1014.999198582108</v>
      </c>
      <c r="S72" s="59">
        <f ca="1">AVERAGE(OFFSET($R$3,0,0,'Données projet'!$E$9+1,1))-AVERAGE(OFFSET($H$3,0,0,'Données projet'!$E$9+1,1))</f>
        <v>356.67698551373468</v>
      </c>
      <c r="T72" s="59">
        <f t="shared" si="88"/>
        <v>353.21836615408171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2.1100242800294011</v>
      </c>
      <c r="AA72" s="21">
        <f>EXP(-LN(2)/25)*AA71+(1-EXP(-LN(2)/25))/(LN(2)/25)*Calculateur!V72*Calculateur!X72*VLOOKUP('Données projet'!$B$9,Paramètres!$A$1:$I$89,3,0)*0.475*44/12</f>
        <v>10.233188048237572</v>
      </c>
      <c r="AB72" s="21">
        <f>EXP(-LN(2)/2)*AB71+(1-EXP(-LN(2)/2))/(LN(2)/2)*V72*Y72*VLOOKUP('Données projet'!$B$9,Paramètres!$A$1:$I$89,3,0)*0.475*44/12</f>
        <v>4.3862513017812565E-5</v>
      </c>
      <c r="AC72" s="22">
        <f t="shared" si="57"/>
        <v>12.343256190779991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7.8</v>
      </c>
      <c r="AI72" s="13">
        <f>IF('Données projet'!$A$62&gt;35,AI71+AH72-AQ71,IF(A72&lt;'Données projet'!$A$62,$AF$205^A72,IF(A72='Données projet'!$A$62,'Données projet'!$B$62,AI71+AH72-AQ71)))</f>
        <v>419.2</v>
      </c>
      <c r="AJ72" s="13">
        <f>AI72*VLOOKUP('Données projet'!$B$10,Paramètres!$A$1:$I$89,3,0)*VLOOKUP('Données projet'!$B$10,Paramètres!$A$1:$I$89,5,0)</f>
        <v>261.58080000000001</v>
      </c>
      <c r="AK72" s="13">
        <f t="shared" si="89"/>
        <v>63.05922166723839</v>
      </c>
      <c r="AL72" s="20">
        <f t="shared" si="58"/>
        <v>565.4147044037735</v>
      </c>
      <c r="AM72" s="59">
        <f t="shared" si="59"/>
        <v>858.74803773710687</v>
      </c>
      <c r="AN72" s="59">
        <f ca="1">AVERAGE(OFFSET($AM$3,0,0,'Données projet'!$E$10+1,1))-AVERAGE(OFFSET($H$3,0,0,'Données projet'!$E$10+1,1))</f>
        <v>285.77483300338548</v>
      </c>
      <c r="AO72" s="59">
        <f t="shared" si="90"/>
        <v>320.55212417690637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3.8542515389966212</v>
      </c>
      <c r="AV72" s="21">
        <f>EXP(-LN(2)/25)*AV71+(1-EXP(-LN(2)/25))/(LN(2)/25)*Calculateur!AQ72*Calculateur!AS72*VLOOKUP('Données projet'!$B$10,Paramètres!$A$1:$I$89,3,0)*0.475*44/12</f>
        <v>9.452095785147355</v>
      </c>
      <c r="AW72" s="21">
        <f>EXP(-LN(2)/2)*AW71+(1-EXP(-LN(2)/2))/(LN(2)/2)*AQ72*AT72*VLOOKUP('Données projet'!$B$10,Paramètres!$A$1:$I$89,3,0)*0.475*44/12</f>
        <v>3.2909865802649443E-5</v>
      </c>
      <c r="AX72" s="21">
        <f t="shared" si="60"/>
        <v>13.306380234009779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17</v>
      </c>
      <c r="BD72" s="12">
        <f>IF('Données projet'!$A$88&gt;35,BD71+BC72-BL71,IF(A72&lt;'Données projet'!$A$88,$BA$205^A72,IF(A72='Données projet'!$A$88,'Données projet'!$B$88,BD71+BC72-BL71)))</f>
        <v>677.00000000000034</v>
      </c>
      <c r="BE72" s="13">
        <f>BD72*VLOOKUP('Données projet'!$B$11,Paramètres!$A$1:$I$89,3,0)*VLOOKUP('Données projet'!$B$11,Paramètres!$A$1:$I$89,5,0)</f>
        <v>325.63700000000017</v>
      </c>
      <c r="BF72" s="13">
        <f t="shared" si="91"/>
        <v>76.525046471400174</v>
      </c>
      <c r="BG72" s="20">
        <f t="shared" si="61"/>
        <v>700.43223093768893</v>
      </c>
      <c r="BH72" s="59">
        <f t="shared" si="62"/>
        <v>993.76556427102219</v>
      </c>
      <c r="BI72" s="59">
        <f ca="1">AVERAGE(OFFSET($BH$3,0,0,'Données projet'!$E$11+1,1))-AVERAGE(OFFSET($H$3,0,0,'Données projet'!$E$11+1,1))</f>
        <v>327.58421465651799</v>
      </c>
      <c r="BJ72" s="59">
        <f t="shared" si="92"/>
        <v>296.73904998640018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3.1124610642294135</v>
      </c>
      <c r="BQ72" s="21">
        <f>EXP(-LN(2)/25)*BQ71+(1-EXP(-LN(2)/25))/(LN(2)/25)*Calculateur!BL72*Calculateur!BN72*VLOOKUP('Données projet'!$B$11,Paramètres!$A$1:$I$89,3,0)*0.475*44/12</f>
        <v>4.5524710770048484</v>
      </c>
      <c r="BR72" s="21">
        <f>EXP(-LN(2)/2)*BR71+(1-EXP(-LN(2)/2))/(LN(2)/2)*BL72*BO72*VLOOKUP('Données projet'!$B$11,Paramètres!$A$1:$I$89,3,0)*0.475*44/12</f>
        <v>2.8205053282907663E-5</v>
      </c>
      <c r="BS72" s="22">
        <f t="shared" si="63"/>
        <v>7.6649603462875451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614</v>
      </c>
      <c r="L73" s="12">
        <f>VLOOKUP(A73,'Données projet'!$A$35:$I$55,9,0)</f>
        <v>13.4</v>
      </c>
      <c r="M73" s="12">
        <f t="array" ref="M73">INDEX(L:L,MIN(IF(ISNUMBER(L73:L269),ROW(L73:L269),"")))</f>
        <v>13.4</v>
      </c>
      <c r="N73" s="13">
        <f>IF('Données projet'!$A$36&gt;35,N72+M73-V72,IF(A73&lt;'Données projet'!$A$36,$K$205^A73,IF(A73='Données projet'!$A$36,'Données projet'!$B$36,N72+M73-V72)))</f>
        <v>613.99999999999966</v>
      </c>
      <c r="O73" s="13">
        <f>N73*VLOOKUP('Données projet'!$B$9,Paramètres!$A$1:$I$89,3,0)*VLOOKUP('Données projet'!$B$9,Paramètres!$A$1:$I$89,5,0)</f>
        <v>343.22599999999983</v>
      </c>
      <c r="P73" s="13">
        <f t="shared" si="87"/>
        <v>80.166091681676377</v>
      </c>
      <c r="Q73" s="20">
        <f t="shared" si="54"/>
        <v>737.40789301225266</v>
      </c>
      <c r="R73" s="59">
        <f t="shared" si="55"/>
        <v>1030.741226345586</v>
      </c>
      <c r="S73" s="59">
        <f ca="1">AVERAGE(OFFSET($R$3,0,0,'Données projet'!$E$9+1,1))-AVERAGE(OFFSET($H$3,0,0,'Données projet'!$E$9+1,1))</f>
        <v>356.67698551373468</v>
      </c>
      <c r="T73" s="59">
        <f t="shared" si="88"/>
        <v>353.21836615408171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67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2.068647990885756</v>
      </c>
      <c r="AA73" s="21">
        <f>EXP(-LN(2)/25)*AA72+(1-EXP(-LN(2)/25))/(LN(2)/25)*Calculateur!V73*Calculateur!X73*VLOOKUP('Données projet'!$B$9,Paramètres!$A$1:$I$89,3,0)*0.475*44/12</f>
        <v>9.9533609829185448</v>
      </c>
      <c r="AB73" s="21">
        <f>EXP(-LN(2)/2)*AB72+(1-EXP(-LN(2)/2))/(LN(2)/2)*V73*Y73*VLOOKUP('Données projet'!$B$9,Paramètres!$A$1:$I$89,3,0)*0.475*44/12</f>
        <v>3.1015480394778482E-5</v>
      </c>
      <c r="AC73" s="22">
        <f t="shared" si="57"/>
        <v>12.022039989284696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427</v>
      </c>
      <c r="AG73" s="12">
        <f>VLOOKUP(A73,'Données projet'!$A$61:$I$81,9,0)</f>
        <v>7.8</v>
      </c>
      <c r="AH73" s="12">
        <f t="array" ref="AH73">INDEX(AG:AG,MIN(IF(ISNUMBER(AG73:AG269),ROW(AG73:AG269),"")))</f>
        <v>7.8</v>
      </c>
      <c r="AI73" s="13">
        <f>IF('Données projet'!$A$62&gt;35,AI72+AH73-AQ72,IF(A73&lt;'Données projet'!$A$62,$AF$205^A73,IF(A73='Données projet'!$A$62,'Données projet'!$B$62,AI72+AH73-AQ72)))</f>
        <v>427</v>
      </c>
      <c r="AJ73" s="13">
        <f>AI73*VLOOKUP('Données projet'!$B$10,Paramètres!$A$1:$I$89,3,0)*VLOOKUP('Données projet'!$B$10,Paramètres!$A$1:$I$89,5,0)</f>
        <v>266.44799999999998</v>
      </c>
      <c r="AK73" s="13">
        <f t="shared" si="89"/>
        <v>64.094865228054687</v>
      </c>
      <c r="AL73" s="20">
        <f t="shared" si="58"/>
        <v>575.69549027219523</v>
      </c>
      <c r="AM73" s="59">
        <f t="shared" si="59"/>
        <v>869.02882360552849</v>
      </c>
      <c r="AN73" s="59">
        <f ca="1">AVERAGE(OFFSET($AM$3,0,0,'Données projet'!$E$10+1,1))-AVERAGE(OFFSET($H$3,0,0,'Données projet'!$E$10+1,1))</f>
        <v>285.77483300338548</v>
      </c>
      <c r="AO73" s="59">
        <f t="shared" si="90"/>
        <v>320.55212417690637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45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3.778672017178208</v>
      </c>
      <c r="AV73" s="21">
        <f>EXP(-LN(2)/25)*AV72+(1-EXP(-LN(2)/25))/(LN(2)/25)*Calculateur!AQ73*Calculateur!AS73*VLOOKUP('Données projet'!$B$10,Paramètres!$A$1:$I$89,3,0)*0.475*44/12</f>
        <v>9.1936277288383863</v>
      </c>
      <c r="AW73" s="21">
        <f>EXP(-LN(2)/2)*AW72+(1-EXP(-LN(2)/2))/(LN(2)/2)*AQ73*AT73*VLOOKUP('Données projet'!$B$10,Paramètres!$A$1:$I$89,3,0)*0.475*44/12</f>
        <v>2.3270789276992683E-5</v>
      </c>
      <c r="AX73" s="21">
        <f t="shared" si="60"/>
        <v>12.972323016805872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694</v>
      </c>
      <c r="BB73" s="12">
        <f>VLOOKUP(A73,'Données projet'!$A$87:$I$107,9,0)</f>
        <v>17</v>
      </c>
      <c r="BC73" s="12">
        <f t="array" ref="BC73">INDEX(BB:BB,MIN(IF(ISNUMBER(BB73:BB269),ROW(BB73:BB269),"")))</f>
        <v>17</v>
      </c>
      <c r="BD73" s="12">
        <f>IF('Données projet'!$A$88&gt;35,BD72+BC73-BL72,IF(A73&lt;'Données projet'!$A$88,$BA$205^A73,IF(A73='Données projet'!$A$88,'Données projet'!$B$88,BD72+BC73-BL72)))</f>
        <v>694.00000000000034</v>
      </c>
      <c r="BE73" s="13">
        <f>BD73*VLOOKUP('Données projet'!$B$11,Paramètres!$A$1:$I$89,3,0)*VLOOKUP('Données projet'!$B$11,Paramètres!$A$1:$I$89,5,0)</f>
        <v>333.81400000000019</v>
      </c>
      <c r="BF73" s="13">
        <f t="shared" si="91"/>
        <v>78.220517061978072</v>
      </c>
      <c r="BG73" s="20">
        <f t="shared" si="61"/>
        <v>717.62678388294546</v>
      </c>
      <c r="BH73" s="59">
        <f t="shared" si="62"/>
        <v>1010.9601172162788</v>
      </c>
      <c r="BI73" s="59">
        <f ca="1">AVERAGE(OFFSET($BH$3,0,0,'Données projet'!$E$11+1,1))-AVERAGE(OFFSET($H$3,0,0,'Données projet'!$E$11+1,1))</f>
        <v>327.58421465651799</v>
      </c>
      <c r="BJ73" s="59">
        <f t="shared" si="92"/>
        <v>296.73904998640018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88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3.0514276011736712</v>
      </c>
      <c r="BQ73" s="21">
        <f>EXP(-LN(2)/25)*BQ72+(1-EXP(-LN(2)/25))/(LN(2)/25)*Calculateur!BL73*Calculateur!BN73*VLOOKUP('Données projet'!$B$11,Paramètres!$A$1:$I$89,3,0)*0.475*44/12</f>
        <v>4.4279835160001015</v>
      </c>
      <c r="BR73" s="21">
        <f>EXP(-LN(2)/2)*BR72+(1-EXP(-LN(2)/2))/(LN(2)/2)*BL73*BO73*VLOOKUP('Données projet'!$B$11,Paramètres!$A$1:$I$89,3,0)*0.475*44/12</f>
        <v>1.9943984440071902E-5</v>
      </c>
      <c r="BS73" s="22">
        <f t="shared" si="63"/>
        <v>7.4794310611582127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10.4</v>
      </c>
      <c r="N74" s="13">
        <f>IF('Données projet'!$A$36&gt;35,N73+M74-V73,IF(A74&lt;'Données projet'!$A$36,$K$205^A74,IF(A74='Données projet'!$A$36,'Données projet'!$B$36,N73+M74-V73)))</f>
        <v>557.39999999999964</v>
      </c>
      <c r="O74" s="13">
        <f>N74*VLOOKUP('Données projet'!$B$9,Paramètres!$A$1:$I$89,3,0)*VLOOKUP('Données projet'!$B$9,Paramètres!$A$1:$I$89,5,0)</f>
        <v>311.58659999999981</v>
      </c>
      <c r="P74" s="13">
        <f t="shared" si="87"/>
        <v>73.60007688942116</v>
      </c>
      <c r="Q74" s="20">
        <f t="shared" si="54"/>
        <v>670.86679558240803</v>
      </c>
      <c r="R74" s="59">
        <f t="shared" si="55"/>
        <v>964.20012891574129</v>
      </c>
      <c r="S74" s="59">
        <f ca="1">AVERAGE(OFFSET($R$3,0,0,'Données projet'!$E$9+1,1))-AVERAGE(OFFSET($H$3,0,0,'Données projet'!$E$9+1,1))</f>
        <v>356.67698551373468</v>
      </c>
      <c r="T74" s="59">
        <f t="shared" si="88"/>
        <v>353.21836615408171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2.0280830655351734</v>
      </c>
      <c r="AA74" s="21">
        <f>EXP(-LN(2)/25)*AA73+(1-EXP(-LN(2)/25))/(LN(2)/25)*Calculateur!V74*Calculateur!X74*VLOOKUP('Données projet'!$B$9,Paramètres!$A$1:$I$89,3,0)*0.475*44/12</f>
        <v>9.6811858034161311</v>
      </c>
      <c r="AB74" s="21">
        <f>EXP(-LN(2)/2)*AB73+(1-EXP(-LN(2)/2))/(LN(2)/2)*V74*Y74*VLOOKUP('Données projet'!$B$9,Paramètres!$A$1:$I$89,3,0)*0.475*44/12</f>
        <v>2.1931256508906283E-5</v>
      </c>
      <c r="AC74" s="22">
        <f t="shared" si="57"/>
        <v>11.709290800207814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</v>
      </c>
      <c r="AI74" s="13">
        <f>IF('Données projet'!$A$62&gt;35,AI73+AH74-AQ73,IF(A74&lt;'Données projet'!$A$62,$AF$205^A74,IF(A74='Données projet'!$A$62,'Données projet'!$B$62,AI73+AH74-AQ73)))</f>
        <v>388</v>
      </c>
      <c r="AJ74" s="13">
        <f>AI74*VLOOKUP('Données projet'!$B$10,Paramètres!$A$1:$I$89,3,0)*VLOOKUP('Données projet'!$B$10,Paramètres!$A$1:$I$89,5,0)</f>
        <v>242.11199999999999</v>
      </c>
      <c r="AK74" s="13">
        <f t="shared" si="89"/>
        <v>58.893705600066006</v>
      </c>
      <c r="AL74" s="20">
        <f t="shared" si="58"/>
        <v>524.25160392011492</v>
      </c>
      <c r="AM74" s="59">
        <f t="shared" si="59"/>
        <v>817.58493725344829</v>
      </c>
      <c r="AN74" s="59">
        <f ca="1">AVERAGE(OFFSET($AM$3,0,0,'Données projet'!$E$10+1,1))-AVERAGE(OFFSET($H$3,0,0,'Données projet'!$E$10+1,1))</f>
        <v>285.77483300338548</v>
      </c>
      <c r="AO74" s="59">
        <f t="shared" si="90"/>
        <v>320.55212417690637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3.7045745636836975</v>
      </c>
      <c r="AV74" s="21">
        <f>EXP(-LN(2)/25)*AV73+(1-EXP(-LN(2)/25))/(LN(2)/25)*Calculateur!AQ74*Calculateur!AS74*VLOOKUP('Données projet'!$B$10,Paramètres!$A$1:$I$89,3,0)*0.475*44/12</f>
        <v>8.9422274951214309</v>
      </c>
      <c r="AW74" s="21">
        <f>EXP(-LN(2)/2)*AW73+(1-EXP(-LN(2)/2))/(LN(2)/2)*AQ74*AT74*VLOOKUP('Données projet'!$B$10,Paramètres!$A$1:$I$89,3,0)*0.475*44/12</f>
        <v>1.6454932901324722E-5</v>
      </c>
      <c r="AX74" s="21">
        <f t="shared" si="60"/>
        <v>12.64681851373803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14.7</v>
      </c>
      <c r="BD74" s="12">
        <f>IF('Données projet'!$A$88&gt;35,BD73+BC74-BL73,IF(A74&lt;'Données projet'!$A$88,$BA$205^A74,IF(A74='Données projet'!$A$88,'Données projet'!$B$88,BD73+BC74-BL73)))</f>
        <v>620.70000000000039</v>
      </c>
      <c r="BE74" s="13">
        <f>BD74*VLOOKUP('Données projet'!$B$11,Paramètres!$A$1:$I$89,3,0)*VLOOKUP('Données projet'!$B$11,Paramètres!$A$1:$I$89,5,0)</f>
        <v>298.55670000000021</v>
      </c>
      <c r="BF74" s="13">
        <f t="shared" si="91"/>
        <v>70.873807485886047</v>
      </c>
      <c r="BG74" s="20">
        <f t="shared" si="61"/>
        <v>643.42480053791849</v>
      </c>
      <c r="BH74" s="59">
        <f t="shared" si="62"/>
        <v>936.75813387125186</v>
      </c>
      <c r="BI74" s="59">
        <f ca="1">AVERAGE(OFFSET($BH$3,0,0,'Données projet'!$E$11+1,1))-AVERAGE(OFFSET($H$3,0,0,'Données projet'!$E$11+1,1))</f>
        <v>327.58421465651799</v>
      </c>
      <c r="BJ74" s="59">
        <f t="shared" si="92"/>
        <v>296.73904998640018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2.9915909671017151</v>
      </c>
      <c r="BQ74" s="21">
        <f>EXP(-LN(2)/25)*BQ73+(1-EXP(-LN(2)/25))/(LN(2)/25)*Calculateur!BL74*Calculateur!BN74*VLOOKUP('Données projet'!$B$11,Paramètres!$A$1:$I$89,3,0)*0.475*44/12</f>
        <v>4.3069000738975456</v>
      </c>
      <c r="BR74" s="21">
        <f>EXP(-LN(2)/2)*BR73+(1-EXP(-LN(2)/2))/(LN(2)/2)*BL74*BO74*VLOOKUP('Données projet'!$B$11,Paramètres!$A$1:$I$89,3,0)*0.475*44/12</f>
        <v>1.4102526641453831E-5</v>
      </c>
      <c r="BS74" s="22">
        <f t="shared" si="63"/>
        <v>7.2985051435259027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10.4</v>
      </c>
      <c r="N75" s="13">
        <f>IF('Données projet'!$A$36&gt;35,N74+M75-V74,IF(A75&lt;'Données projet'!$A$36,$K$205^A75,IF(A75='Données projet'!$A$36,'Données projet'!$B$36,N74+M75-V74)))</f>
        <v>567.79999999999961</v>
      </c>
      <c r="O75" s="13">
        <f>N75*VLOOKUP('Données projet'!$B$9,Paramètres!$A$1:$I$89,3,0)*VLOOKUP('Données projet'!$B$9,Paramètres!$A$1:$I$89,5,0)</f>
        <v>317.40019999999976</v>
      </c>
      <c r="P75" s="13">
        <f t="shared" si="87"/>
        <v>74.812158158961168</v>
      </c>
      <c r="Q75" s="20">
        <f t="shared" si="54"/>
        <v>683.10319046019015</v>
      </c>
      <c r="R75" s="59">
        <f t="shared" si="55"/>
        <v>976.43652379352352</v>
      </c>
      <c r="S75" s="59">
        <f ca="1">AVERAGE(OFFSET($R$3,0,0,'Données projet'!$E$9+1,1))-AVERAGE(OFFSET($H$3,0,0,'Données projet'!$E$9+1,1))</f>
        <v>356.67698551373468</v>
      </c>
      <c r="T75" s="59">
        <f t="shared" si="88"/>
        <v>353.21836615408171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1.9883135936285541</v>
      </c>
      <c r="AA75" s="21">
        <f>EXP(-LN(2)/25)*AA74+(1-EXP(-LN(2)/25))/(LN(2)/25)*Calculateur!V75*Calculateur!X75*VLOOKUP('Données projet'!$B$9,Paramètres!$A$1:$I$89,3,0)*0.475*44/12</f>
        <v>9.4164532685102831</v>
      </c>
      <c r="AB75" s="21">
        <f>EXP(-LN(2)/2)*AB74+(1-EXP(-LN(2)/2))/(LN(2)/2)*V75*Y75*VLOOKUP('Données projet'!$B$9,Paramètres!$A$1:$I$89,3,0)*0.475*44/12</f>
        <v>1.5507740197389241E-5</v>
      </c>
      <c r="AC75" s="22">
        <f t="shared" si="57"/>
        <v>11.404782369879035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</v>
      </c>
      <c r="AI75" s="13">
        <f>IF('Données projet'!$A$62&gt;35,AI74+AH75-AQ74,IF(A75&lt;'Données projet'!$A$62,$AF$205^A75,IF(A75='Données projet'!$A$62,'Données projet'!$B$62,AI74+AH75-AQ74)))</f>
        <v>394</v>
      </c>
      <c r="AJ75" s="13">
        <f>AI75*VLOOKUP('Données projet'!$B$10,Paramètres!$A$1:$I$89,3,0)*VLOOKUP('Données projet'!$B$10,Paramètres!$A$1:$I$89,5,0)</f>
        <v>245.85600000000002</v>
      </c>
      <c r="AK75" s="13">
        <f t="shared" si="89"/>
        <v>59.697704223314012</v>
      </c>
      <c r="AL75" s="20">
        <f t="shared" si="58"/>
        <v>532.17270152227195</v>
      </c>
      <c r="AM75" s="59">
        <f t="shared" si="59"/>
        <v>825.50603485560532</v>
      </c>
      <c r="AN75" s="59">
        <f ca="1">AVERAGE(OFFSET($AM$3,0,0,'Données projet'!$E$10+1,1))-AVERAGE(OFFSET($H$3,0,0,'Données projet'!$E$10+1,1))</f>
        <v>285.77483300338548</v>
      </c>
      <c r="AO75" s="59">
        <f t="shared" si="90"/>
        <v>320.55212417690637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3.6319301160572302</v>
      </c>
      <c r="AV75" s="21">
        <f>EXP(-LN(2)/25)*AV74+(1-EXP(-LN(2)/25))/(LN(2)/25)*Calculateur!AQ75*Calculateur!AS75*VLOOKUP('Données projet'!$B$10,Paramètres!$A$1:$I$89,3,0)*0.475*44/12</f>
        <v>8.6977018140160283</v>
      </c>
      <c r="AW75" s="21">
        <f>EXP(-LN(2)/2)*AW74+(1-EXP(-LN(2)/2))/(LN(2)/2)*AQ75*AT75*VLOOKUP('Données projet'!$B$10,Paramètres!$A$1:$I$89,3,0)*0.475*44/12</f>
        <v>1.1635394638496342E-5</v>
      </c>
      <c r="AX75" s="21">
        <f t="shared" si="60"/>
        <v>12.329643565467897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14.7</v>
      </c>
      <c r="BD75" s="12">
        <f>IF('Données projet'!$A$88&gt;35,BD74+BC75-BL74,IF(A75&lt;'Données projet'!$A$88,$BA$205^A75,IF(A75='Données projet'!$A$88,'Données projet'!$B$88,BD74+BC75-BL74)))</f>
        <v>635.40000000000043</v>
      </c>
      <c r="BE75" s="13">
        <f>BD75*VLOOKUP('Données projet'!$B$11,Paramètres!$A$1:$I$89,3,0)*VLOOKUP('Données projet'!$B$11,Paramètres!$A$1:$I$89,5,0)</f>
        <v>305.62740000000019</v>
      </c>
      <c r="BF75" s="13">
        <f t="shared" si="91"/>
        <v>72.354903650746223</v>
      </c>
      <c r="BG75" s="20">
        <f t="shared" si="61"/>
        <v>658.31917885838322</v>
      </c>
      <c r="BH75" s="59">
        <f t="shared" si="62"/>
        <v>951.6525121917166</v>
      </c>
      <c r="BI75" s="59">
        <f ca="1">AVERAGE(OFFSET($BH$3,0,0,'Données projet'!$E$11+1,1))-AVERAGE(OFFSET($H$3,0,0,'Données projet'!$E$11+1,1))</f>
        <v>327.58421465651799</v>
      </c>
      <c r="BJ75" s="59">
        <f t="shared" si="92"/>
        <v>296.73904998640018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2.932927692927167</v>
      </c>
      <c r="BQ75" s="21">
        <f>EXP(-LN(2)/25)*BQ74+(1-EXP(-LN(2)/25))/(LN(2)/25)*Calculateur!BL75*Calculateur!BN75*VLOOKUP('Données projet'!$B$11,Paramètres!$A$1:$I$89,3,0)*0.475*44/12</f>
        <v>4.1891276648867857</v>
      </c>
      <c r="BR75" s="21">
        <f>EXP(-LN(2)/2)*BR74+(1-EXP(-LN(2)/2))/(LN(2)/2)*BL75*BO75*VLOOKUP('Données projet'!$B$11,Paramètres!$A$1:$I$89,3,0)*0.475*44/12</f>
        <v>9.9719922200359512E-6</v>
      </c>
      <c r="BS75" s="22">
        <f t="shared" si="63"/>
        <v>7.1220653298061727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10.4</v>
      </c>
      <c r="N76" s="13">
        <f>IF('Données projet'!$A$36&gt;35,N75+M76-V75,IF(A76&lt;'Données projet'!$A$36,$K$205^A76,IF(A76='Données projet'!$A$36,'Données projet'!$B$36,N75+M76-V75)))</f>
        <v>578.19999999999959</v>
      </c>
      <c r="O76" s="13">
        <f>N76*VLOOKUP('Données projet'!$B$9,Paramètres!$A$1:$I$89,3,0)*VLOOKUP('Données projet'!$B$9,Paramètres!$A$1:$I$89,5,0)</f>
        <v>323.21379999999982</v>
      </c>
      <c r="P76" s="13">
        <f t="shared" si="87"/>
        <v>76.021657849237485</v>
      </c>
      <c r="Q76" s="20">
        <f t="shared" si="54"/>
        <v>695.33508908742158</v>
      </c>
      <c r="R76" s="59">
        <f t="shared" si="55"/>
        <v>988.66842242075495</v>
      </c>
      <c r="S76" s="59">
        <f ca="1">AVERAGE(OFFSET($R$3,0,0,'Données projet'!$E$9+1,1))-AVERAGE(OFFSET($H$3,0,0,'Données projet'!$E$9+1,1))</f>
        <v>356.67698551373468</v>
      </c>
      <c r="T76" s="59">
        <f t="shared" si="88"/>
        <v>353.21836615408171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1.9493239768090409</v>
      </c>
      <c r="AA76" s="21">
        <f>EXP(-LN(2)/25)*AA75+(1-EXP(-LN(2)/25))/(LN(2)/25)*Calculateur!V76*Calculateur!X76*VLOOKUP('Données projet'!$B$9,Paramètres!$A$1:$I$89,3,0)*0.475*44/12</f>
        <v>9.1589598586931142</v>
      </c>
      <c r="AB76" s="21">
        <f>EXP(-LN(2)/2)*AB75+(1-EXP(-LN(2)/2))/(LN(2)/2)*V76*Y76*VLOOKUP('Données projet'!$B$9,Paramètres!$A$1:$I$89,3,0)*0.475*44/12</f>
        <v>1.0965628254453141E-5</v>
      </c>
      <c r="AC76" s="22">
        <f t="shared" si="57"/>
        <v>11.108294801130409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</v>
      </c>
      <c r="AI76" s="13">
        <f>IF('Données projet'!$A$62&gt;35,AI75+AH76-AQ75,IF(A76&lt;'Données projet'!$A$62,$AF$205^A76,IF(A76='Données projet'!$A$62,'Données projet'!$B$62,AI75+AH76-AQ75)))</f>
        <v>400</v>
      </c>
      <c r="AJ76" s="13">
        <f>AI76*VLOOKUP('Données projet'!$B$10,Paramètres!$A$1:$I$89,3,0)*VLOOKUP('Données projet'!$B$10,Paramètres!$A$1:$I$89,5,0)</f>
        <v>249.60000000000002</v>
      </c>
      <c r="AK76" s="13">
        <f t="shared" si="89"/>
        <v>60.500278891753695</v>
      </c>
      <c r="AL76" s="20">
        <f t="shared" si="58"/>
        <v>540.0913190698044</v>
      </c>
      <c r="AM76" s="59">
        <f t="shared" si="59"/>
        <v>833.42465240313777</v>
      </c>
      <c r="AN76" s="59">
        <f ca="1">AVERAGE(OFFSET($AM$3,0,0,'Données projet'!$E$10+1,1))-AVERAGE(OFFSET($H$3,0,0,'Données projet'!$E$10+1,1))</f>
        <v>285.77483300338548</v>
      </c>
      <c r="AO76" s="59">
        <f t="shared" si="90"/>
        <v>320.55212417690637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3.5607101817399802</v>
      </c>
      <c r="AV76" s="21">
        <f>EXP(-LN(2)/25)*AV75+(1-EXP(-LN(2)/25))/(LN(2)/25)*Calculateur!AQ76*Calculateur!AS76*VLOOKUP('Données projet'!$B$10,Paramètres!$A$1:$I$89,3,0)*0.475*44/12</f>
        <v>8.4598627005195013</v>
      </c>
      <c r="AW76" s="21">
        <f>EXP(-LN(2)/2)*AW75+(1-EXP(-LN(2)/2))/(LN(2)/2)*AQ76*AT76*VLOOKUP('Données projet'!$B$10,Paramètres!$A$1:$I$89,3,0)*0.475*44/12</f>
        <v>8.2274664506623608E-6</v>
      </c>
      <c r="AX76" s="21">
        <f t="shared" si="60"/>
        <v>12.020581109725931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14.7</v>
      </c>
      <c r="BD76" s="12">
        <f>IF('Données projet'!$A$88&gt;35,BD75+BC76-BL75,IF(A76&lt;'Données projet'!$A$88,$BA$205^A76,IF(A76='Données projet'!$A$88,'Données projet'!$B$88,BD75+BC76-BL75)))</f>
        <v>650.10000000000048</v>
      </c>
      <c r="BE76" s="13">
        <f>BD76*VLOOKUP('Données projet'!$B$11,Paramètres!$A$1:$I$89,3,0)*VLOOKUP('Données projet'!$B$11,Paramètres!$A$1:$I$89,5,0)</f>
        <v>312.69810000000024</v>
      </c>
      <c r="BF76" s="13">
        <f t="shared" si="91"/>
        <v>73.832016335235011</v>
      </c>
      <c r="BG76" s="20">
        <f t="shared" si="61"/>
        <v>673.20661928386801</v>
      </c>
      <c r="BH76" s="59">
        <f t="shared" si="62"/>
        <v>966.53995261720138</v>
      </c>
      <c r="BI76" s="59">
        <f ca="1">AVERAGE(OFFSET($BH$3,0,0,'Données projet'!$E$11+1,1))-AVERAGE(OFFSET($H$3,0,0,'Données projet'!$E$11+1,1))</f>
        <v>327.58421465651799</v>
      </c>
      <c r="BJ76" s="59">
        <f t="shared" si="92"/>
        <v>296.73904998640018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2.8754147697781178</v>
      </c>
      <c r="BQ76" s="21">
        <f>EXP(-LN(2)/25)*BQ75+(1-EXP(-LN(2)/25))/(LN(2)/25)*Calculateur!BL76*Calculateur!BN76*VLOOKUP('Données projet'!$B$11,Paramètres!$A$1:$I$89,3,0)*0.475*44/12</f>
        <v>4.0745757485938068</v>
      </c>
      <c r="BR76" s="21">
        <f>EXP(-LN(2)/2)*BR75+(1-EXP(-LN(2)/2))/(LN(2)/2)*BL76*BO76*VLOOKUP('Données projet'!$B$11,Paramètres!$A$1:$I$89,3,0)*0.475*44/12</f>
        <v>7.0512633207269157E-6</v>
      </c>
      <c r="BS76" s="22">
        <f t="shared" si="63"/>
        <v>6.9499975696352454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10.4</v>
      </c>
      <c r="N77" s="13">
        <f>IF('Données projet'!$A$36&gt;35,N76+M77-V76,IF(A77&lt;'Données projet'!$A$36,$K$205^A77,IF(A77='Données projet'!$A$36,'Données projet'!$B$36,N76+M77-V76)))</f>
        <v>588.59999999999957</v>
      </c>
      <c r="O77" s="13">
        <f>N77*VLOOKUP('Données projet'!$B$9,Paramètres!$A$1:$I$89,3,0)*VLOOKUP('Données projet'!$B$9,Paramètres!$A$1:$I$89,5,0)</f>
        <v>329.02739999999977</v>
      </c>
      <c r="P77" s="13">
        <f t="shared" si="87"/>
        <v>77.228627751120342</v>
      </c>
      <c r="Q77" s="20">
        <f t="shared" si="54"/>
        <v>707.56258166653413</v>
      </c>
      <c r="R77" s="59">
        <f t="shared" si="55"/>
        <v>1000.8959149998675</v>
      </c>
      <c r="S77" s="59">
        <f ca="1">AVERAGE(OFFSET($R$3,0,0,'Données projet'!$E$9+1,1))-AVERAGE(OFFSET($H$3,0,0,'Données projet'!$E$9+1,1))</f>
        <v>356.67698551373468</v>
      </c>
      <c r="T77" s="59">
        <f t="shared" si="88"/>
        <v>353.21836615408171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1.9110989225940405</v>
      </c>
      <c r="AA77" s="21">
        <f>EXP(-LN(2)/25)*AA76+(1-EXP(-LN(2)/25))/(LN(2)/25)*Calculateur!V77*Calculateur!X77*VLOOKUP('Données projet'!$B$9,Paramètres!$A$1:$I$89,3,0)*0.475*44/12</f>
        <v>8.9085076197083843</v>
      </c>
      <c r="AB77" s="21">
        <f>EXP(-LN(2)/2)*AB76+(1-EXP(-LN(2)/2))/(LN(2)/2)*V77*Y77*VLOOKUP('Données projet'!$B$9,Paramètres!$A$1:$I$89,3,0)*0.475*44/12</f>
        <v>7.7538700986946205E-6</v>
      </c>
      <c r="AC77" s="22">
        <f t="shared" si="57"/>
        <v>10.819614296172524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</v>
      </c>
      <c r="AI77" s="13">
        <f>IF('Données projet'!$A$62&gt;35,AI76+AH77-AQ76,IF(A77&lt;'Données projet'!$A$62,$AF$205^A77,IF(A77='Données projet'!$A$62,'Données projet'!$B$62,AI76+AH77-AQ76)))</f>
        <v>406</v>
      </c>
      <c r="AJ77" s="13">
        <f>AI77*VLOOKUP('Données projet'!$B$10,Paramètres!$A$1:$I$89,3,0)*VLOOKUP('Données projet'!$B$10,Paramètres!$A$1:$I$89,5,0)</f>
        <v>253.34399999999999</v>
      </c>
      <c r="AK77" s="13">
        <f t="shared" si="89"/>
        <v>61.301453431926305</v>
      </c>
      <c r="AL77" s="20">
        <f t="shared" si="58"/>
        <v>548.00749806060492</v>
      </c>
      <c r="AM77" s="59">
        <f t="shared" si="59"/>
        <v>841.34083139393829</v>
      </c>
      <c r="AN77" s="59">
        <f ca="1">AVERAGE(OFFSET($AM$3,0,0,'Données projet'!$E$10+1,1))-AVERAGE(OFFSET($H$3,0,0,'Données projet'!$E$10+1,1))</f>
        <v>285.77483300338548</v>
      </c>
      <c r="AO77" s="59">
        <f t="shared" si="90"/>
        <v>320.55212417690637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3.4908868268948208</v>
      </c>
      <c r="AV77" s="21">
        <f>EXP(-LN(2)/25)*AV76+(1-EXP(-LN(2)/25))/(LN(2)/25)*Calculateur!AQ77*Calculateur!AS77*VLOOKUP('Données projet'!$B$10,Paramètres!$A$1:$I$89,3,0)*0.475*44/12</f>
        <v>8.2285273100889516</v>
      </c>
      <c r="AW77" s="21">
        <f>EXP(-LN(2)/2)*AW76+(1-EXP(-LN(2)/2))/(LN(2)/2)*AQ77*AT77*VLOOKUP('Données projet'!$B$10,Paramètres!$A$1:$I$89,3,0)*0.475*44/12</f>
        <v>5.8176973192481708E-6</v>
      </c>
      <c r="AX77" s="21">
        <f t="shared" si="60"/>
        <v>11.719419954681092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14.7</v>
      </c>
      <c r="BD77" s="12">
        <f>IF('Données projet'!$A$88&gt;35,BD76+BC77-BL76,IF(A77&lt;'Données projet'!$A$88,$BA$205^A77,IF(A77='Données projet'!$A$88,'Données projet'!$B$88,BD76+BC77-BL76)))</f>
        <v>664.80000000000052</v>
      </c>
      <c r="BE77" s="13">
        <f>BD77*VLOOKUP('Données projet'!$B$11,Paramètres!$A$1:$I$89,3,0)*VLOOKUP('Données projet'!$B$11,Paramètres!$A$1:$I$89,5,0)</f>
        <v>319.76880000000028</v>
      </c>
      <c r="BF77" s="13">
        <f t="shared" si="91"/>
        <v>75.305245983134625</v>
      </c>
      <c r="BG77" s="20">
        <f t="shared" si="61"/>
        <v>688.08729675395989</v>
      </c>
      <c r="BH77" s="59">
        <f t="shared" si="62"/>
        <v>981.42063008729315</v>
      </c>
      <c r="BI77" s="59">
        <f ca="1">AVERAGE(OFFSET($BH$3,0,0,'Données projet'!$E$11+1,1))-AVERAGE(OFFSET($H$3,0,0,'Données projet'!$E$11+1,1))</f>
        <v>327.58421465651799</v>
      </c>
      <c r="BJ77" s="59">
        <f t="shared" si="92"/>
        <v>296.73904998640018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2.819029639972602</v>
      </c>
      <c r="BQ77" s="21">
        <f>EXP(-LN(2)/25)*BQ76+(1-EXP(-LN(2)/25))/(LN(2)/25)*Calculateur!BL77*Calculateur!BN77*VLOOKUP('Données projet'!$B$11,Paramètres!$A$1:$I$89,3,0)*0.475*44/12</f>
        <v>3.9631562604758832</v>
      </c>
      <c r="BR77" s="21">
        <f>EXP(-LN(2)/2)*BR76+(1-EXP(-LN(2)/2))/(LN(2)/2)*BL77*BO77*VLOOKUP('Données projet'!$B$11,Paramètres!$A$1:$I$89,3,0)*0.475*44/12</f>
        <v>4.9859961100179756E-6</v>
      </c>
      <c r="BS77" s="22">
        <f t="shared" si="63"/>
        <v>6.7821908864445959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10.4</v>
      </c>
      <c r="N78" s="13">
        <f>IF('Données projet'!$A$36&gt;35,N77+M78-V77,IF(A78&lt;'Données projet'!$A$36,$K$205^A78,IF(A78='Données projet'!$A$36,'Données projet'!$B$36,N77+M78-V77)))</f>
        <v>598.99999999999955</v>
      </c>
      <c r="O78" s="13">
        <f>N78*VLOOKUP('Données projet'!$B$9,Paramètres!$A$1:$I$89,3,0)*VLOOKUP('Données projet'!$B$9,Paramètres!$A$1:$I$89,5,0)</f>
        <v>334.84099999999978</v>
      </c>
      <c r="P78" s="13">
        <f t="shared" si="87"/>
        <v>78.433117720461652</v>
      </c>
      <c r="Q78" s="20">
        <f t="shared" si="54"/>
        <v>719.78575502980368</v>
      </c>
      <c r="R78" s="59">
        <f t="shared" si="55"/>
        <v>1013.1190883631371</v>
      </c>
      <c r="S78" s="59">
        <f ca="1">AVERAGE(OFFSET($R$3,0,0,'Données projet'!$E$9+1,1))-AVERAGE(OFFSET($H$3,0,0,'Données projet'!$E$9+1,1))</f>
        <v>356.67698551373468</v>
      </c>
      <c r="T78" s="59">
        <f t="shared" si="88"/>
        <v>353.21836615408171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1.8736234383772152</v>
      </c>
      <c r="AA78" s="21">
        <f>EXP(-LN(2)/25)*AA77+(1-EXP(-LN(2)/25))/(LN(2)/25)*Calculateur!V78*Calculateur!X78*VLOOKUP('Données projet'!$B$9,Paramètres!$A$1:$I$89,3,0)*0.475*44/12</f>
        <v>8.6649040103694031</v>
      </c>
      <c r="AB78" s="21">
        <f>EXP(-LN(2)/2)*AB77+(1-EXP(-LN(2)/2))/(LN(2)/2)*V78*Y78*VLOOKUP('Données projet'!$B$9,Paramètres!$A$1:$I$89,3,0)*0.475*44/12</f>
        <v>5.4828141272265707E-6</v>
      </c>
      <c r="AC78" s="22">
        <f t="shared" si="57"/>
        <v>10.538532931560747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</v>
      </c>
      <c r="AI78" s="13">
        <f>IF('Données projet'!$A$62&gt;35,AI77+AH78-AQ77,IF(A78&lt;'Données projet'!$A$62,$AF$205^A78,IF(A78='Données projet'!$A$62,'Données projet'!$B$62,AI77+AH78-AQ77)))</f>
        <v>412</v>
      </c>
      <c r="AJ78" s="13">
        <f>AI78*VLOOKUP('Données projet'!$B$10,Paramètres!$A$1:$I$89,3,0)*VLOOKUP('Données projet'!$B$10,Paramètres!$A$1:$I$89,5,0)</f>
        <v>257.08800000000002</v>
      </c>
      <c r="AK78" s="13">
        <f t="shared" si="89"/>
        <v>62.101250925713771</v>
      </c>
      <c r="AL78" s="20">
        <f t="shared" si="58"/>
        <v>555.92127869561818</v>
      </c>
      <c r="AM78" s="59">
        <f t="shared" si="59"/>
        <v>849.25461202895144</v>
      </c>
      <c r="AN78" s="59">
        <f ca="1">AVERAGE(OFFSET($AM$3,0,0,'Données projet'!$E$10+1,1))-AVERAGE(OFFSET($H$3,0,0,'Données projet'!$E$10+1,1))</f>
        <v>285.77483300338548</v>
      </c>
      <c r="AO78" s="59">
        <f t="shared" si="90"/>
        <v>320.55212417690637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3.4224326654501338</v>
      </c>
      <c r="AV78" s="21">
        <f>EXP(-LN(2)/25)*AV77+(1-EXP(-LN(2)/25))/(LN(2)/25)*Calculateur!AQ78*Calculateur!AS78*VLOOKUP('Données projet'!$B$10,Paramètres!$A$1:$I$89,3,0)*0.475*44/12</f>
        <v>8.0035177980751246</v>
      </c>
      <c r="AW78" s="21">
        <f>EXP(-LN(2)/2)*AW77+(1-EXP(-LN(2)/2))/(LN(2)/2)*AQ78*AT78*VLOOKUP('Données projet'!$B$10,Paramètres!$A$1:$I$89,3,0)*0.475*44/12</f>
        <v>4.1137332253311804E-6</v>
      </c>
      <c r="AX78" s="21">
        <f t="shared" si="60"/>
        <v>11.425954577258484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14.7</v>
      </c>
      <c r="BD78" s="12">
        <f>IF('Données projet'!$A$88&gt;35,BD77+BC78-BL77,IF(A78&lt;'Données projet'!$A$88,$BA$205^A78,IF(A78='Données projet'!$A$88,'Données projet'!$B$88,BD77+BC78-BL77)))</f>
        <v>679.50000000000057</v>
      </c>
      <c r="BE78" s="13">
        <f>BD78*VLOOKUP('Données projet'!$B$11,Paramètres!$A$1:$I$89,3,0)*VLOOKUP('Données projet'!$B$11,Paramètres!$A$1:$I$89,5,0)</f>
        <v>326.83950000000027</v>
      </c>
      <c r="BF78" s="13">
        <f t="shared" si="91"/>
        <v>76.774688342587709</v>
      </c>
      <c r="BG78" s="20">
        <f t="shared" si="61"/>
        <v>702.96137803000727</v>
      </c>
      <c r="BH78" s="59">
        <f t="shared" si="62"/>
        <v>996.29471136334064</v>
      </c>
      <c r="BI78" s="59">
        <f ca="1">AVERAGE(OFFSET($BH$3,0,0,'Données projet'!$E$11+1,1))-AVERAGE(OFFSET($H$3,0,0,'Données projet'!$E$11+1,1))</f>
        <v>327.58421465651799</v>
      </c>
      <c r="BJ78" s="59">
        <f t="shared" si="92"/>
        <v>296.73904998640018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2.7637501881710391</v>
      </c>
      <c r="BQ78" s="21">
        <f>EXP(-LN(2)/25)*BQ77+(1-EXP(-LN(2)/25))/(LN(2)/25)*Calculateur!BL78*Calculateur!BN78*VLOOKUP('Données projet'!$B$11,Paramètres!$A$1:$I$89,3,0)*0.475*44/12</f>
        <v>3.8547835441198401</v>
      </c>
      <c r="BR78" s="21">
        <f>EXP(-LN(2)/2)*BR77+(1-EXP(-LN(2)/2))/(LN(2)/2)*BL78*BO78*VLOOKUP('Données projet'!$B$11,Paramètres!$A$1:$I$89,3,0)*0.475*44/12</f>
        <v>3.5256316603634579E-6</v>
      </c>
      <c r="BS78" s="22">
        <f t="shared" si="63"/>
        <v>6.6185372579225401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10.4</v>
      </c>
      <c r="N79" s="13">
        <f>IF('Données projet'!$A$36&gt;35,N78+M79-V78,IF(A79&lt;'Données projet'!$A$36,$K$205^A79,IF(A79='Données projet'!$A$36,'Données projet'!$B$36,N78+M79-V78)))</f>
        <v>609.39999999999952</v>
      </c>
      <c r="O79" s="13">
        <f>N79*VLOOKUP('Données projet'!$B$9,Paramètres!$A$1:$I$89,3,0)*VLOOKUP('Données projet'!$B$9,Paramètres!$A$1:$I$89,5,0)</f>
        <v>340.65459999999973</v>
      </c>
      <c r="P79" s="13">
        <f t="shared" si="87"/>
        <v>79.635175782709197</v>
      </c>
      <c r="Q79" s="20">
        <f t="shared" si="54"/>
        <v>732.00469282155143</v>
      </c>
      <c r="R79" s="59">
        <f t="shared" si="55"/>
        <v>1025.3380261548848</v>
      </c>
      <c r="S79" s="59">
        <f ca="1">AVERAGE(OFFSET($R$3,0,0,'Données projet'!$E$9+1,1))-AVERAGE(OFFSET($H$3,0,0,'Données projet'!$E$9+1,1))</f>
        <v>356.67698551373468</v>
      </c>
      <c r="T79" s="59">
        <f t="shared" si="88"/>
        <v>353.21836615408171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1.8368828255480936</v>
      </c>
      <c r="AA79" s="21">
        <f>EXP(-LN(2)/25)*AA78+(1-EXP(-LN(2)/25))/(LN(2)/25)*Calculateur!V79*Calculateur!X79*VLOOKUP('Données projet'!$B$9,Paramètres!$A$1:$I$89,3,0)*0.475*44/12</f>
        <v>8.4279617545383534</v>
      </c>
      <c r="AB79" s="21">
        <f>EXP(-LN(2)/2)*AB78+(1-EXP(-LN(2)/2))/(LN(2)/2)*V79*Y79*VLOOKUP('Données projet'!$B$9,Paramètres!$A$1:$I$89,3,0)*0.475*44/12</f>
        <v>3.8769350493473103E-6</v>
      </c>
      <c r="AC79" s="22">
        <f t="shared" si="57"/>
        <v>10.264848457021495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418</v>
      </c>
      <c r="AJ79" s="13">
        <f>AI79*VLOOKUP('Données projet'!$B$10,Paramètres!$A$1:$I$89,3,0)*VLOOKUP('Données projet'!$B$10,Paramètres!$A$1:$I$89,5,0)</f>
        <v>260.83199999999999</v>
      </c>
      <c r="AK79" s="13">
        <f t="shared" si="89"/>
        <v>62.899693744110721</v>
      </c>
      <c r="AL79" s="20">
        <f t="shared" si="58"/>
        <v>563.83269993765953</v>
      </c>
      <c r="AM79" s="59">
        <f t="shared" si="59"/>
        <v>857.16603327099278</v>
      </c>
      <c r="AN79" s="59">
        <f ca="1">AVERAGE(OFFSET($AM$3,0,0,'Données projet'!$E$10+1,1))-AVERAGE(OFFSET($H$3,0,0,'Données projet'!$E$10+1,1))</f>
        <v>285.77483300338548</v>
      </c>
      <c r="AO79" s="59">
        <f t="shared" si="90"/>
        <v>320.55212417690637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3.3553208483584611</v>
      </c>
      <c r="AV79" s="21">
        <f>EXP(-LN(2)/25)*AV78+(1-EXP(-LN(2)/25))/(LN(2)/25)*Calculateur!AQ79*Calculateur!AS79*VLOOKUP('Données projet'!$B$10,Paramètres!$A$1:$I$89,3,0)*0.475*44/12</f>
        <v>7.7846611830000514</v>
      </c>
      <c r="AW79" s="21">
        <f>EXP(-LN(2)/2)*AW78+(1-EXP(-LN(2)/2))/(LN(2)/2)*AQ79*AT79*VLOOKUP('Données projet'!$B$10,Paramètres!$A$1:$I$89,3,0)*0.475*44/12</f>
        <v>2.9088486596240854E-6</v>
      </c>
      <c r="AX79" s="21">
        <f t="shared" si="60"/>
        <v>11.139984940207171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14.7</v>
      </c>
      <c r="BD79" s="12">
        <f>IF('Données projet'!$A$88&gt;35,BD78+BC79-BL78,IF(A79&lt;'Données projet'!$A$88,$BA$205^A79,IF(A79='Données projet'!$A$88,'Données projet'!$B$88,BD78+BC79-BL78)))</f>
        <v>694.20000000000061</v>
      </c>
      <c r="BE79" s="13">
        <f>BD79*VLOOKUP('Données projet'!$B$11,Paramètres!$A$1:$I$89,3,0)*VLOOKUP('Données projet'!$B$11,Paramètres!$A$1:$I$89,5,0)</f>
        <v>333.91020000000032</v>
      </c>
      <c r="BF79" s="13">
        <f t="shared" si="91"/>
        <v>78.240434782372716</v>
      </c>
      <c r="BG79" s="20">
        <f t="shared" si="61"/>
        <v>717.82902224596637</v>
      </c>
      <c r="BH79" s="59">
        <f t="shared" si="62"/>
        <v>1011.1623555792996</v>
      </c>
      <c r="BI79" s="59">
        <f ca="1">AVERAGE(OFFSET($BH$3,0,0,'Données projet'!$E$11+1,1))-AVERAGE(OFFSET($H$3,0,0,'Données projet'!$E$11+1,1))</f>
        <v>327.58421465651799</v>
      </c>
      <c r="BJ79" s="59">
        <f t="shared" si="92"/>
        <v>296.73904998640018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2.7095547327021685</v>
      </c>
      <c r="BQ79" s="21">
        <f>EXP(-LN(2)/25)*BQ78+(1-EXP(-LN(2)/25))/(LN(2)/25)*Calculateur!BL79*Calculateur!BN79*VLOOKUP('Données projet'!$B$11,Paramètres!$A$1:$I$89,3,0)*0.475*44/12</f>
        <v>3.7493742853916268</v>
      </c>
      <c r="BR79" s="21">
        <f>EXP(-LN(2)/2)*BR78+(1-EXP(-LN(2)/2))/(LN(2)/2)*BL79*BO79*VLOOKUP('Données projet'!$B$11,Paramètres!$A$1:$I$89,3,0)*0.475*44/12</f>
        <v>2.4929980550089878E-6</v>
      </c>
      <c r="BS79" s="22">
        <f t="shared" si="63"/>
        <v>6.4589315110918504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10.4</v>
      </c>
      <c r="N80" s="13">
        <f>IF('Données projet'!$A$36&gt;35,N79+M80-V79,IF(A80&lt;'Données projet'!$A$36,$K$205^A80,IF(A80='Données projet'!$A$36,'Données projet'!$B$36,N79+M80-V79)))</f>
        <v>619.7999999999995</v>
      </c>
      <c r="O80" s="13">
        <f>N80*VLOOKUP('Données projet'!$B$9,Paramètres!$A$1:$I$89,3,0)*VLOOKUP('Données projet'!$B$9,Paramètres!$A$1:$I$89,5,0)</f>
        <v>346.46819999999974</v>
      </c>
      <c r="P80" s="13">
        <f t="shared" si="87"/>
        <v>80.834848230178139</v>
      </c>
      <c r="Q80" s="20">
        <f t="shared" si="54"/>
        <v>744.21947566755978</v>
      </c>
      <c r="R80" s="59">
        <f t="shared" si="55"/>
        <v>1037.5528090008931</v>
      </c>
      <c r="S80" s="59">
        <f ca="1">AVERAGE(OFFSET($R$3,0,0,'Données projet'!$E$9+1,1))-AVERAGE(OFFSET($H$3,0,0,'Données projet'!$E$9+1,1))</f>
        <v>356.67698551373468</v>
      </c>
      <c r="T80" s="59">
        <f t="shared" si="88"/>
        <v>353.21836615408171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1.8008626737269899</v>
      </c>
      <c r="AA80" s="21">
        <f>EXP(-LN(2)/25)*AA79+(1-EXP(-LN(2)/25))/(LN(2)/25)*Calculateur!V80*Calculateur!X80*VLOOKUP('Données projet'!$B$9,Paramètres!$A$1:$I$89,3,0)*0.475*44/12</f>
        <v>8.1974986971532555</v>
      </c>
      <c r="AB80" s="21">
        <f>EXP(-LN(2)/2)*AB79+(1-EXP(-LN(2)/2))/(LN(2)/2)*V80*Y80*VLOOKUP('Données projet'!$B$9,Paramètres!$A$1:$I$89,3,0)*0.475*44/12</f>
        <v>2.7414070636132853E-6</v>
      </c>
      <c r="AC80" s="22">
        <f t="shared" si="57"/>
        <v>9.9983641122873088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424</v>
      </c>
      <c r="AJ80" s="13">
        <f>AI80*VLOOKUP('Données projet'!$B$10,Paramètres!$A$1:$I$89,3,0)*VLOOKUP('Données projet'!$B$10,Paramètres!$A$1:$I$89,5,0)</f>
        <v>264.57599999999996</v>
      </c>
      <c r="AK80" s="13">
        <f t="shared" si="89"/>
        <v>63.696803579002321</v>
      </c>
      <c r="AL80" s="20">
        <f t="shared" si="58"/>
        <v>571.74179956676232</v>
      </c>
      <c r="AM80" s="59">
        <f t="shared" si="59"/>
        <v>865.0751329000957</v>
      </c>
      <c r="AN80" s="59">
        <f ca="1">AVERAGE(OFFSET($AM$3,0,0,'Données projet'!$E$10+1,1))-AVERAGE(OFFSET($H$3,0,0,'Données projet'!$E$10+1,1))</f>
        <v>285.77483300338548</v>
      </c>
      <c r="AO80" s="59">
        <f t="shared" si="90"/>
        <v>320.55212417690637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3.2895250530657898</v>
      </c>
      <c r="AV80" s="21">
        <f>EXP(-LN(2)/25)*AV79+(1-EXP(-LN(2)/25))/(LN(2)/25)*Calculateur!AQ80*Calculateur!AS80*VLOOKUP('Données projet'!$B$10,Paramètres!$A$1:$I$89,3,0)*0.475*44/12</f>
        <v>7.5717892135733758</v>
      </c>
      <c r="AW80" s="21">
        <f>EXP(-LN(2)/2)*AW79+(1-EXP(-LN(2)/2))/(LN(2)/2)*AQ80*AT80*VLOOKUP('Données projet'!$B$10,Paramètres!$A$1:$I$89,3,0)*0.475*44/12</f>
        <v>2.0568666126655902E-6</v>
      </c>
      <c r="AX80" s="21">
        <f t="shared" si="60"/>
        <v>10.861316323505779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14.7</v>
      </c>
      <c r="BD80" s="12">
        <f>IF('Données projet'!$A$88&gt;35,BD79+BC80-BL79,IF(A80&lt;'Données projet'!$A$88,$BA$205^A80,IF(A80='Données projet'!$A$88,'Données projet'!$B$88,BD79+BC80-BL79)))</f>
        <v>708.90000000000066</v>
      </c>
      <c r="BE80" s="13">
        <f>BD80*VLOOKUP('Données projet'!$B$11,Paramètres!$A$1:$I$89,3,0)*VLOOKUP('Données projet'!$B$11,Paramètres!$A$1:$I$89,5,0)</f>
        <v>340.9809000000003</v>
      </c>
      <c r="BF80" s="13">
        <f t="shared" si="91"/>
        <v>79.702572580633841</v>
      </c>
      <c r="BG80" s="20">
        <f t="shared" si="61"/>
        <v>732.69038141127112</v>
      </c>
      <c r="BH80" s="59">
        <f t="shared" si="62"/>
        <v>1026.0237147446044</v>
      </c>
      <c r="BI80" s="59">
        <f ca="1">AVERAGE(OFFSET($BH$3,0,0,'Données projet'!$E$11+1,1))-AVERAGE(OFFSET($H$3,0,0,'Données projet'!$E$11+1,1))</f>
        <v>327.58421465651799</v>
      </c>
      <c r="BJ80" s="59">
        <f t="shared" si="92"/>
        <v>296.73904998640018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2.6564220170590787</v>
      </c>
      <c r="BQ80" s="21">
        <f>EXP(-LN(2)/25)*BQ79+(1-EXP(-LN(2)/25))/(LN(2)/25)*Calculateur!BL80*Calculateur!BN80*VLOOKUP('Données projet'!$B$11,Paramètres!$A$1:$I$89,3,0)*0.475*44/12</f>
        <v>3.6468474483865685</v>
      </c>
      <c r="BR80" s="21">
        <f>EXP(-LN(2)/2)*BR79+(1-EXP(-LN(2)/2))/(LN(2)/2)*BL80*BO80*VLOOKUP('Données projet'!$B$11,Paramètres!$A$1:$I$89,3,0)*0.475*44/12</f>
        <v>1.7628158301817289E-6</v>
      </c>
      <c r="BS80" s="22">
        <f t="shared" si="63"/>
        <v>6.3032712282614769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10.4</v>
      </c>
      <c r="N81" s="13">
        <f>IF('Données projet'!$A$36&gt;35,N80+M81-V80,IF(A81&lt;'Données projet'!$A$36,$K$205^A81,IF(A81='Données projet'!$A$36,'Données projet'!$B$36,N80+M81-V80)))</f>
        <v>630.19999999999948</v>
      </c>
      <c r="O81" s="13">
        <f>N81*VLOOKUP('Données projet'!$B$9,Paramètres!$A$1:$I$89,3,0)*VLOOKUP('Données projet'!$B$9,Paramètres!$A$1:$I$89,5,0)</f>
        <v>352.28179999999969</v>
      </c>
      <c r="P81" s="13">
        <f t="shared" si="87"/>
        <v>82.032179712608126</v>
      </c>
      <c r="Q81" s="20">
        <f t="shared" si="54"/>
        <v>756.4301813327919</v>
      </c>
      <c r="R81" s="59">
        <f t="shared" si="55"/>
        <v>1049.7635146661253</v>
      </c>
      <c r="S81" s="59">
        <f ca="1">AVERAGE(OFFSET($R$3,0,0,'Données projet'!$E$9+1,1))-AVERAGE(OFFSET($H$3,0,0,'Données projet'!$E$9+1,1))</f>
        <v>356.67698551373468</v>
      </c>
      <c r="T81" s="59">
        <f t="shared" si="88"/>
        <v>353.21836615408171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1.765548855112975</v>
      </c>
      <c r="AA81" s="21">
        <f>EXP(-LN(2)/25)*AA80+(1-EXP(-LN(2)/25))/(LN(2)/25)*Calculateur!V81*Calculateur!X81*VLOOKUP('Données projet'!$B$9,Paramètres!$A$1:$I$89,3,0)*0.475*44/12</f>
        <v>7.9733376641918792</v>
      </c>
      <c r="AB81" s="21">
        <f>EXP(-LN(2)/2)*AB80+(1-EXP(-LN(2)/2))/(LN(2)/2)*V81*Y81*VLOOKUP('Données projet'!$B$9,Paramètres!$A$1:$I$89,3,0)*0.475*44/12</f>
        <v>1.9384675246736551E-6</v>
      </c>
      <c r="AC81" s="22">
        <f t="shared" si="57"/>
        <v>9.7388884577723793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430</v>
      </c>
      <c r="AJ81" s="13">
        <f>AI81*VLOOKUP('Données projet'!$B$10,Paramètres!$A$1:$I$89,3,0)*VLOOKUP('Données projet'!$B$10,Paramètres!$A$1:$I$89,5,0)</f>
        <v>268.32</v>
      </c>
      <c r="AK81" s="13">
        <f t="shared" si="89"/>
        <v>64.492601473092478</v>
      </c>
      <c r="AL81" s="20">
        <f t="shared" si="58"/>
        <v>579.64861423230275</v>
      </c>
      <c r="AM81" s="59">
        <f t="shared" si="59"/>
        <v>872.98194756563612</v>
      </c>
      <c r="AN81" s="59">
        <f ca="1">AVERAGE(OFFSET($AM$3,0,0,'Données projet'!$E$10+1,1))-AVERAGE(OFFSET($H$3,0,0,'Données projet'!$E$10+1,1))</f>
        <v>285.77483300338548</v>
      </c>
      <c r="AO81" s="59">
        <f t="shared" si="90"/>
        <v>320.55212417690637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3.2250194731873352</v>
      </c>
      <c r="AV81" s="21">
        <f>EXP(-LN(2)/25)*AV80+(1-EXP(-LN(2)/25))/(LN(2)/25)*Calculateur!AQ81*Calculateur!AS81*VLOOKUP('Données projet'!$B$10,Paramètres!$A$1:$I$89,3,0)*0.475*44/12</f>
        <v>7.3647382393451224</v>
      </c>
      <c r="AW81" s="21">
        <f>EXP(-LN(2)/2)*AW80+(1-EXP(-LN(2)/2))/(LN(2)/2)*AQ81*AT81*VLOOKUP('Données projet'!$B$10,Paramètres!$A$1:$I$89,3,0)*0.475*44/12</f>
        <v>1.4544243298120427E-6</v>
      </c>
      <c r="AX81" s="21">
        <f t="shared" si="60"/>
        <v>10.589759166956787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14.7</v>
      </c>
      <c r="BD81" s="12">
        <f>IF('Données projet'!$A$88&gt;35,BD80+BC81-BL80,IF(A81&lt;'Données projet'!$A$88,$BA$205^A81,IF(A81='Données projet'!$A$88,'Données projet'!$B$88,BD80+BC81-BL80)))</f>
        <v>723.6000000000007</v>
      </c>
      <c r="BE81" s="13">
        <f>BD81*VLOOKUP('Données projet'!$B$11,Paramètres!$A$1:$I$89,3,0)*VLOOKUP('Données projet'!$B$11,Paramètres!$A$1:$I$89,5,0)</f>
        <v>348.05160000000035</v>
      </c>
      <c r="BF81" s="13">
        <f t="shared" si="91"/>
        <v>81.161185188985826</v>
      </c>
      <c r="BG81" s="20">
        <f t="shared" si="61"/>
        <v>747.54560087081745</v>
      </c>
      <c r="BH81" s="59">
        <f t="shared" si="62"/>
        <v>1040.8789342041507</v>
      </c>
      <c r="BI81" s="59">
        <f ca="1">AVERAGE(OFFSET($BH$3,0,0,'Données projet'!$E$11+1,1))-AVERAGE(OFFSET($H$3,0,0,'Données projet'!$E$11+1,1))</f>
        <v>327.58421465651799</v>
      </c>
      <c r="BJ81" s="59">
        <f t="shared" si="92"/>
        <v>296.73904998640018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2.6043312015619935</v>
      </c>
      <c r="BQ81" s="21">
        <f>EXP(-LN(2)/25)*BQ80+(1-EXP(-LN(2)/25))/(LN(2)/25)*Calculateur!BL81*Calculateur!BN81*VLOOKUP('Données projet'!$B$11,Paramètres!$A$1:$I$89,3,0)*0.475*44/12</f>
        <v>3.5471242131310654</v>
      </c>
      <c r="BR81" s="21">
        <f>EXP(-LN(2)/2)*BR80+(1-EXP(-LN(2)/2))/(LN(2)/2)*BL81*BO81*VLOOKUP('Données projet'!$B$11,Paramètres!$A$1:$I$89,3,0)*0.475*44/12</f>
        <v>1.2464990275044939E-6</v>
      </c>
      <c r="BS81" s="22">
        <f t="shared" si="63"/>
        <v>6.1514566611920865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10.4</v>
      </c>
      <c r="N82" s="13">
        <f>IF('Données projet'!$A$36&gt;35,N81+M82-V81,IF(A82&lt;'Données projet'!$A$36,$K$205^A82,IF(A82='Données projet'!$A$36,'Données projet'!$B$36,N81+M82-V81)))</f>
        <v>640.59999999999945</v>
      </c>
      <c r="O82" s="13">
        <f>N82*VLOOKUP('Données projet'!$B$9,Paramètres!$A$1:$I$89,3,0)*VLOOKUP('Données projet'!$B$9,Paramètres!$A$1:$I$89,5,0)</f>
        <v>358.0953999999997</v>
      </c>
      <c r="P82" s="13">
        <f t="shared" si="87"/>
        <v>83.227213321573814</v>
      </c>
      <c r="Q82" s="20">
        <f t="shared" si="54"/>
        <v>768.63688486840704</v>
      </c>
      <c r="R82" s="59">
        <f t="shared" si="55"/>
        <v>1061.9702182017404</v>
      </c>
      <c r="S82" s="59">
        <f ca="1">AVERAGE(OFFSET($R$3,0,0,'Données projet'!$E$9+1,1))-AVERAGE(OFFSET($H$3,0,0,'Données projet'!$E$9+1,1))</f>
        <v>356.67698551373468</v>
      </c>
      <c r="T82" s="59">
        <f t="shared" si="88"/>
        <v>353.21836615408171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1.7309275189426783</v>
      </c>
      <c r="AA82" s="21">
        <f>EXP(-LN(2)/25)*AA81+(1-EXP(-LN(2)/25))/(LN(2)/25)*Calculateur!V82*Calculateur!X82*VLOOKUP('Données projet'!$B$9,Paramètres!$A$1:$I$89,3,0)*0.475*44/12</f>
        <v>7.7553063264649476</v>
      </c>
      <c r="AB82" s="21">
        <f>EXP(-LN(2)/2)*AB81+(1-EXP(-LN(2)/2))/(LN(2)/2)*V82*Y82*VLOOKUP('Données projet'!$B$9,Paramètres!$A$1:$I$89,3,0)*0.475*44/12</f>
        <v>1.3707035318066427E-6</v>
      </c>
      <c r="AC82" s="22">
        <f t="shared" si="57"/>
        <v>9.4862352161111563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436</v>
      </c>
      <c r="AJ82" s="13">
        <f>AI82*VLOOKUP('Données projet'!$B$10,Paramètres!$A$1:$I$89,3,0)*VLOOKUP('Données projet'!$B$10,Paramètres!$A$1:$I$89,5,0)</f>
        <v>272.06400000000002</v>
      </c>
      <c r="AK82" s="13">
        <f t="shared" si="89"/>
        <v>65.28710784811372</v>
      </c>
      <c r="AL82" s="20">
        <f t="shared" si="58"/>
        <v>587.55317950213146</v>
      </c>
      <c r="AM82" s="59">
        <f t="shared" si="59"/>
        <v>880.88651283546483</v>
      </c>
      <c r="AN82" s="59">
        <f ca="1">AVERAGE(OFFSET($AM$3,0,0,'Données projet'!$E$10+1,1))-AVERAGE(OFFSET($H$3,0,0,'Données projet'!$E$10+1,1))</f>
        <v>285.77483300338548</v>
      </c>
      <c r="AO82" s="59">
        <f t="shared" si="90"/>
        <v>320.55212417690637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3.1617788083857783</v>
      </c>
      <c r="AV82" s="21">
        <f>EXP(-LN(2)/25)*AV81+(1-EXP(-LN(2)/25))/(LN(2)/25)*Calculateur!AQ82*Calculateur!AS82*VLOOKUP('Données projet'!$B$10,Paramètres!$A$1:$I$89,3,0)*0.475*44/12</f>
        <v>7.1633490848954784</v>
      </c>
      <c r="AW82" s="21">
        <f>EXP(-LN(2)/2)*AW81+(1-EXP(-LN(2)/2))/(LN(2)/2)*AQ82*AT82*VLOOKUP('Données projet'!$B$10,Paramètres!$A$1:$I$89,3,0)*0.475*44/12</f>
        <v>1.0284333063327951E-6</v>
      </c>
      <c r="AX82" s="21">
        <f t="shared" si="60"/>
        <v>10.325128921714564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14.7</v>
      </c>
      <c r="BD82" s="12">
        <f>IF('Données projet'!$A$88&gt;35,BD81+BC82-BL81,IF(A82&lt;'Données projet'!$A$88,$BA$205^A82,IF(A82='Données projet'!$A$88,'Données projet'!$B$88,BD81+BC82-BL81)))</f>
        <v>738.30000000000075</v>
      </c>
      <c r="BE82" s="13">
        <f>BD82*VLOOKUP('Données projet'!$B$11,Paramètres!$A$1:$I$89,3,0)*VLOOKUP('Données projet'!$B$11,Paramètres!$A$1:$I$89,5,0)</f>
        <v>355.12230000000039</v>
      </c>
      <c r="BF82" s="13">
        <f t="shared" si="91"/>
        <v>82.616352474552542</v>
      </c>
      <c r="BG82" s="20">
        <f t="shared" si="61"/>
        <v>762.39481972651311</v>
      </c>
      <c r="BH82" s="59">
        <f t="shared" si="62"/>
        <v>1055.7281530598464</v>
      </c>
      <c r="BI82" s="59">
        <f ca="1">AVERAGE(OFFSET($BH$3,0,0,'Données projet'!$E$11+1,1))-AVERAGE(OFFSET($H$3,0,0,'Données projet'!$E$11+1,1))</f>
        <v>327.58421465651799</v>
      </c>
      <c r="BJ82" s="59">
        <f t="shared" si="92"/>
        <v>296.73904998640018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2.5532618551845458</v>
      </c>
      <c r="BQ82" s="21">
        <f>EXP(-LN(2)/25)*BQ81+(1-EXP(-LN(2)/25))/(LN(2)/25)*Calculateur!BL82*Calculateur!BN82*VLOOKUP('Données projet'!$B$11,Paramètres!$A$1:$I$89,3,0)*0.475*44/12</f>
        <v>3.4501279149878412</v>
      </c>
      <c r="BR82" s="21">
        <f>EXP(-LN(2)/2)*BR81+(1-EXP(-LN(2)/2))/(LN(2)/2)*BL82*BO82*VLOOKUP('Données projet'!$B$11,Paramètres!$A$1:$I$89,3,0)*0.475*44/12</f>
        <v>8.8140791509086446E-7</v>
      </c>
      <c r="BS82" s="22">
        <f t="shared" si="63"/>
        <v>6.0033906515803013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651</v>
      </c>
      <c r="L83" s="12">
        <f>VLOOKUP(A83,'Données projet'!$A$35:$I$55,9,0)</f>
        <v>10.4</v>
      </c>
      <c r="M83" s="12">
        <f t="array" ref="M83">INDEX(L:L,MIN(IF(ISNUMBER(L83:L279),ROW(L83:L279),"")))</f>
        <v>10.4</v>
      </c>
      <c r="N83" s="13">
        <f>IF('Données projet'!$A$36&gt;35,N82+M83-V82,IF(A83&lt;'Données projet'!$A$36,$K$205^A83,IF(A83='Données projet'!$A$36,'Données projet'!$B$36,N82+M83-V82)))</f>
        <v>650.99999999999943</v>
      </c>
      <c r="O83" s="13">
        <f>N83*VLOOKUP('Données projet'!$B$9,Paramètres!$A$1:$I$89,3,0)*VLOOKUP('Données projet'!$B$9,Paramètres!$A$1:$I$89,5,0)</f>
        <v>363.90899999999971</v>
      </c>
      <c r="P83" s="13">
        <f t="shared" si="87"/>
        <v>84.4199906692578</v>
      </c>
      <c r="Q83" s="20">
        <f t="shared" si="54"/>
        <v>780.83965874895682</v>
      </c>
      <c r="R83" s="59">
        <f t="shared" si="55"/>
        <v>1074.1729920822902</v>
      </c>
      <c r="S83" s="59">
        <f ca="1">AVERAGE(OFFSET($R$3,0,0,'Données projet'!$E$9+1,1))-AVERAGE(OFFSET($H$3,0,0,'Données projet'!$E$9+1,1))</f>
        <v>356.67698551373468</v>
      </c>
      <c r="T83" s="59">
        <f t="shared" si="88"/>
        <v>353.21836615408171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651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1.6969850860577511</v>
      </c>
      <c r="AA83" s="21">
        <f>EXP(-LN(2)/25)*AA82+(1-EXP(-LN(2)/25))/(LN(2)/25)*Calculateur!V83*Calculateur!X83*VLOOKUP('Données projet'!$B$9,Paramètres!$A$1:$I$89,3,0)*0.475*44/12</f>
        <v>7.5432370671339291</v>
      </c>
      <c r="AB83" s="21">
        <f>EXP(-LN(2)/2)*AB82+(1-EXP(-LN(2)/2))/(LN(2)/2)*V83*Y83*VLOOKUP('Données projet'!$B$9,Paramètres!$A$1:$I$89,3,0)*0.475*44/12</f>
        <v>9.6923376233682757E-7</v>
      </c>
      <c r="AC83" s="22">
        <f t="shared" si="57"/>
        <v>9.2402231224254425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442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442</v>
      </c>
      <c r="AJ83" s="13">
        <f>AI83*VLOOKUP('Données projet'!$B$10,Paramètres!$A$1:$I$89,3,0)*VLOOKUP('Données projet'!$B$10,Paramètres!$A$1:$I$89,5,0)</f>
        <v>275.80799999999999</v>
      </c>
      <c r="AK83" s="13">
        <f t="shared" si="89"/>
        <v>66.08034253144065</v>
      </c>
      <c r="AL83" s="20">
        <f t="shared" si="58"/>
        <v>595.45552990892566</v>
      </c>
      <c r="AM83" s="59">
        <f t="shared" si="59"/>
        <v>888.78886324225891</v>
      </c>
      <c r="AN83" s="59">
        <f ca="1">AVERAGE(OFFSET($AM$3,0,0,'Données projet'!$E$10+1,1))-AVERAGE(OFFSET($H$3,0,0,'Données projet'!$E$10+1,1))</f>
        <v>285.77483300338548</v>
      </c>
      <c r="AO83" s="59">
        <f t="shared" si="90"/>
        <v>320.55212417690637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3.0997782544479833</v>
      </c>
      <c r="AV83" s="21">
        <f>EXP(-LN(2)/25)*AV82+(1-EXP(-LN(2)/25))/(LN(2)/25)*Calculateur!AQ83*Calculateur!AS83*VLOOKUP('Données projet'!$B$10,Paramètres!$A$1:$I$89,3,0)*0.475*44/12</f>
        <v>6.9674669274648551</v>
      </c>
      <c r="AW83" s="21">
        <f>EXP(-LN(2)/2)*AW82+(1-EXP(-LN(2)/2))/(LN(2)/2)*AQ83*AT83*VLOOKUP('Données projet'!$B$10,Paramètres!$A$1:$I$89,3,0)*0.475*44/12</f>
        <v>7.2721216490602135E-7</v>
      </c>
      <c r="AX83" s="21">
        <f t="shared" si="60"/>
        <v>10.067245909125003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753</v>
      </c>
      <c r="BB83" s="12">
        <f>VLOOKUP(A83,'Données projet'!$A$87:$I$107,9,0)</f>
        <v>14.7</v>
      </c>
      <c r="BC83" s="12">
        <f t="array" ref="BC83">INDEX(BB:BB,MIN(IF(ISNUMBER(BB83:BB279),ROW(BB83:BB279),"")))</f>
        <v>14.7</v>
      </c>
      <c r="BD83" s="12">
        <f>IF('Données projet'!$A$88&gt;35,BD82+BC83-BL82,IF(A83&lt;'Données projet'!$A$88,$BA$205^A83,IF(A83='Données projet'!$A$88,'Données projet'!$B$88,BD82+BC83-BL82)))</f>
        <v>753.0000000000008</v>
      </c>
      <c r="BE83" s="13">
        <f>BD83*VLOOKUP('Données projet'!$B$11,Paramètres!$A$1:$I$89,3,0)*VLOOKUP('Données projet'!$B$11,Paramètres!$A$1:$I$89,5,0)</f>
        <v>362.19300000000038</v>
      </c>
      <c r="BF83" s="13">
        <f t="shared" si="91"/>
        <v>84.068150942182896</v>
      </c>
      <c r="BG83" s="20">
        <f t="shared" si="61"/>
        <v>777.23817122430262</v>
      </c>
      <c r="BH83" s="59">
        <f t="shared" si="62"/>
        <v>1070.571504557636</v>
      </c>
      <c r="BI83" s="59">
        <f ca="1">AVERAGE(OFFSET($BH$3,0,0,'Données projet'!$E$11+1,1))-AVERAGE(OFFSET($H$3,0,0,'Données projet'!$E$11+1,1))</f>
        <v>327.58421465651799</v>
      </c>
      <c r="BJ83" s="59">
        <f t="shared" si="92"/>
        <v>296.73904998640018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753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2.5031939475403342</v>
      </c>
      <c r="BQ83" s="21">
        <f>EXP(-LN(2)/25)*BQ82+(1-EXP(-LN(2)/25))/(LN(2)/25)*Calculateur!BL83*Calculateur!BN83*VLOOKUP('Données projet'!$B$11,Paramètres!$A$1:$I$89,3,0)*0.475*44/12</f>
        <v>3.3557839857181571</v>
      </c>
      <c r="BR83" s="21">
        <f>EXP(-LN(2)/2)*BR82+(1-EXP(-LN(2)/2))/(LN(2)/2)*BL83*BO83*VLOOKUP('Données projet'!$B$11,Paramètres!$A$1:$I$89,3,0)*0.475*44/12</f>
        <v>6.2324951375224695E-7</v>
      </c>
      <c r="BS83" s="22">
        <f t="shared" si="63"/>
        <v>5.8589785565080046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-5.6843418860808015E-13</v>
      </c>
      <c r="O84" s="13">
        <f>N84*VLOOKUP('Données projet'!$B$9,Paramètres!$A$1:$I$89,3,0)*VLOOKUP('Données projet'!$B$9,Paramètres!$A$1:$I$89,5,0)</f>
        <v>-3.177547114319168E-13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356.67698551373468</v>
      </c>
      <c r="T84" s="59">
        <f t="shared" si="88"/>
        <v>353.21836615408171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1.6637082435788575</v>
      </c>
      <c r="AA84" s="21">
        <f>EXP(-LN(2)/25)*AA83+(1-EXP(-LN(2)/25))/(LN(2)/25)*Calculateur!V84*Calculateur!X84*VLOOKUP('Données projet'!$B$9,Paramètres!$A$1:$I$89,3,0)*0.475*44/12</f>
        <v>7.336966852851555</v>
      </c>
      <c r="AB84" s="21">
        <f>EXP(-LN(2)/2)*AB83+(1-EXP(-LN(2)/2))/(LN(2)/2)*V84*Y84*VLOOKUP('Données projet'!$B$9,Paramètres!$A$1:$I$89,3,0)*0.475*44/12</f>
        <v>6.8535176590332133E-7</v>
      </c>
      <c r="AC84" s="22">
        <f t="shared" si="57"/>
        <v>9.0006757817821796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285.77483300338548</v>
      </c>
      <c r="AO84" s="59">
        <f t="shared" si="90"/>
        <v>320.55212417690637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3.0389934935563048</v>
      </c>
      <c r="AV84" s="21">
        <f>EXP(-LN(2)/25)*AV83+(1-EXP(-LN(2)/25))/(LN(2)/25)*Calculateur!AQ84*Calculateur!AS84*VLOOKUP('Données projet'!$B$10,Paramètres!$A$1:$I$89,3,0)*0.475*44/12</f>
        <v>6.7769411779301674</v>
      </c>
      <c r="AW84" s="21">
        <f>EXP(-LN(2)/2)*AW83+(1-EXP(-LN(2)/2))/(LN(2)/2)*AQ84*AT84*VLOOKUP('Données projet'!$B$10,Paramètres!$A$1:$I$89,3,0)*0.475*44/12</f>
        <v>5.1421665316639755E-7</v>
      </c>
      <c r="AX84" s="21">
        <f t="shared" si="60"/>
        <v>9.8159351857031254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7.9580786405131221E-13</v>
      </c>
      <c r="BE84" s="13">
        <f>BD84*VLOOKUP('Données projet'!$B$11,Paramètres!$A$1:$I$89,3,0)*VLOOKUP('Données projet'!$B$11,Paramètres!$A$1:$I$89,5,0)</f>
        <v>3.8278358260868117E-13</v>
      </c>
      <c r="BF84" s="13">
        <f t="shared" si="91"/>
        <v>4.9186917125089072E-12</v>
      </c>
      <c r="BG84" s="20">
        <f t="shared" si="61"/>
        <v>9.2334028056631319E-12</v>
      </c>
      <c r="BH84" s="59">
        <f t="shared" si="62"/>
        <v>293.33333333334252</v>
      </c>
      <c r="BI84" s="59">
        <f ca="1">AVERAGE(OFFSET($BH$3,0,0,'Données projet'!$E$11+1,1))-AVERAGE(OFFSET($H$3,0,0,'Données projet'!$E$11+1,1))</f>
        <v>327.58421465651799</v>
      </c>
      <c r="BJ84" s="59">
        <f t="shared" si="92"/>
        <v>296.73904998640018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2.4541078410266177</v>
      </c>
      <c r="BQ84" s="21">
        <f>EXP(-LN(2)/25)*BQ83+(1-EXP(-LN(2)/25))/(LN(2)/25)*Calculateur!BL84*Calculateur!BN84*VLOOKUP('Données projet'!$B$11,Paramètres!$A$1:$I$89,3,0)*0.475*44/12</f>
        <v>3.2640198961556841</v>
      </c>
      <c r="BR84" s="21">
        <f>EXP(-LN(2)/2)*BR83+(1-EXP(-LN(2)/2))/(LN(2)/2)*BL84*BO84*VLOOKUP('Données projet'!$B$11,Paramètres!$A$1:$I$89,3,0)*0.475*44/12</f>
        <v>4.4070395754543223E-7</v>
      </c>
      <c r="BS84" s="22">
        <f t="shared" si="63"/>
        <v>5.7181281778862596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-5.6843418860808015E-13</v>
      </c>
      <c r="O85" s="13">
        <f>N85*VLOOKUP('Données projet'!$B$9,Paramètres!$A$1:$I$89,3,0)*VLOOKUP('Données projet'!$B$9,Paramètres!$A$1:$I$89,5,0)</f>
        <v>-3.177547114319168E-13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356.67698551373468</v>
      </c>
      <c r="T85" s="59">
        <f t="shared" si="88"/>
        <v>353.21836615408171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1.6310839396841053</v>
      </c>
      <c r="AA85" s="21">
        <f>EXP(-LN(2)/25)*AA84+(1-EXP(-LN(2)/25))/(LN(2)/25)*Calculateur!V85*Calculateur!X85*VLOOKUP('Données projet'!$B$9,Paramètres!$A$1:$I$89,3,0)*0.475*44/12</f>
        <v>7.1363371084260114</v>
      </c>
      <c r="AB85" s="21">
        <f>EXP(-LN(2)/2)*AB84+(1-EXP(-LN(2)/2))/(LN(2)/2)*V85*Y85*VLOOKUP('Données projet'!$B$9,Paramètres!$A$1:$I$89,3,0)*0.475*44/12</f>
        <v>4.8461688116841378E-7</v>
      </c>
      <c r="AC85" s="22">
        <f t="shared" si="57"/>
        <v>8.7674215327269991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285.77483300338548</v>
      </c>
      <c r="AO85" s="59">
        <f t="shared" si="90"/>
        <v>320.55212417690637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2.9794006847506687</v>
      </c>
      <c r="AV85" s="21">
        <f>EXP(-LN(2)/25)*AV84+(1-EXP(-LN(2)/25))/(LN(2)/25)*Calculateur!AQ85*Calculateur!AS85*VLOOKUP('Données projet'!$B$10,Paramètres!$A$1:$I$89,3,0)*0.475*44/12</f>
        <v>6.591625365035819</v>
      </c>
      <c r="AW85" s="21">
        <f>EXP(-LN(2)/2)*AW84+(1-EXP(-LN(2)/2))/(LN(2)/2)*AQ85*AT85*VLOOKUP('Données projet'!$B$10,Paramètres!$A$1:$I$89,3,0)*0.475*44/12</f>
        <v>3.6360608245301068E-7</v>
      </c>
      <c r="AX85" s="21">
        <f t="shared" si="60"/>
        <v>9.5710264133925698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7.9580786405131221E-13</v>
      </c>
      <c r="BE85" s="13">
        <f>BD85*VLOOKUP('Données projet'!$B$11,Paramètres!$A$1:$I$89,3,0)*VLOOKUP('Données projet'!$B$11,Paramètres!$A$1:$I$89,5,0)</f>
        <v>3.8278358260868117E-13</v>
      </c>
      <c r="BF85" s="13">
        <f t="shared" si="91"/>
        <v>4.9186917125089072E-12</v>
      </c>
      <c r="BG85" s="20">
        <f t="shared" si="61"/>
        <v>9.2334028056631319E-12</v>
      </c>
      <c r="BH85" s="59">
        <f t="shared" si="62"/>
        <v>293.33333333334252</v>
      </c>
      <c r="BI85" s="59">
        <f ca="1">AVERAGE(OFFSET($BH$3,0,0,'Données projet'!$E$11+1,1))-AVERAGE(OFFSET($H$3,0,0,'Données projet'!$E$11+1,1))</f>
        <v>327.58421465651799</v>
      </c>
      <c r="BJ85" s="59">
        <f t="shared" si="92"/>
        <v>296.73904998640018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2.4059842831220664</v>
      </c>
      <c r="BQ85" s="21">
        <f>EXP(-LN(2)/25)*BQ84+(1-EXP(-LN(2)/25))/(LN(2)/25)*Calculateur!BL85*Calculateur!BN85*VLOOKUP('Données projet'!$B$11,Paramètres!$A$1:$I$89,3,0)*0.475*44/12</f>
        <v>3.1747651004479605</v>
      </c>
      <c r="BR85" s="21">
        <f>EXP(-LN(2)/2)*BR84+(1-EXP(-LN(2)/2))/(LN(2)/2)*BL85*BO85*VLOOKUP('Données projet'!$B$11,Paramètres!$A$1:$I$89,3,0)*0.475*44/12</f>
        <v>3.1162475687612347E-7</v>
      </c>
      <c r="BS85" s="22">
        <f t="shared" si="63"/>
        <v>5.5807496951947835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-5.6843418860808015E-13</v>
      </c>
      <c r="O86" s="13">
        <f>N86*VLOOKUP('Données projet'!$B$9,Paramètres!$A$1:$I$89,3,0)*VLOOKUP('Données projet'!$B$9,Paramètres!$A$1:$I$89,5,0)</f>
        <v>-3.177547114319168E-13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356.67698551373468</v>
      </c>
      <c r="T86" s="59">
        <f t="shared" si="88"/>
        <v>353.21836615408171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1.5990993784898686</v>
      </c>
      <c r="AA86" s="21">
        <f>EXP(-LN(2)/25)*AA85+(1-EXP(-LN(2)/25))/(LN(2)/25)*Calculateur!V86*Calculateur!X86*VLOOKUP('Données projet'!$B$9,Paramètres!$A$1:$I$89,3,0)*0.475*44/12</f>
        <v>6.9411935949124439</v>
      </c>
      <c r="AB86" s="21">
        <f>EXP(-LN(2)/2)*AB85+(1-EXP(-LN(2)/2))/(LN(2)/2)*V86*Y86*VLOOKUP('Données projet'!$B$9,Paramètres!$A$1:$I$89,3,0)*0.475*44/12</f>
        <v>3.4267588295166067E-7</v>
      </c>
      <c r="AC86" s="22">
        <f t="shared" si="57"/>
        <v>8.5402933160781949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285.77483300338548</v>
      </c>
      <c r="AO86" s="59">
        <f t="shared" si="90"/>
        <v>320.55212417690637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2.9209764545776866</v>
      </c>
      <c r="AV86" s="21">
        <f>EXP(-LN(2)/25)*AV85+(1-EXP(-LN(2)/25))/(LN(2)/25)*Calculateur!AQ86*Calculateur!AS86*VLOOKUP('Données projet'!$B$10,Paramètres!$A$1:$I$89,3,0)*0.475*44/12</f>
        <v>6.4113770227904023</v>
      </c>
      <c r="AW86" s="21">
        <f>EXP(-LN(2)/2)*AW85+(1-EXP(-LN(2)/2))/(LN(2)/2)*AQ86*AT86*VLOOKUP('Données projet'!$B$10,Paramètres!$A$1:$I$89,3,0)*0.475*44/12</f>
        <v>2.5710832658319877E-7</v>
      </c>
      <c r="AX86" s="21">
        <f t="shared" si="60"/>
        <v>9.3323537344764151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7.9580786405131221E-13</v>
      </c>
      <c r="BE86" s="13">
        <f>BD86*VLOOKUP('Données projet'!$B$11,Paramètres!$A$1:$I$89,3,0)*VLOOKUP('Données projet'!$B$11,Paramètres!$A$1:$I$89,5,0)</f>
        <v>3.8278358260868117E-13</v>
      </c>
      <c r="BF86" s="13">
        <f t="shared" si="91"/>
        <v>4.9186917125089072E-12</v>
      </c>
      <c r="BG86" s="20">
        <f t="shared" si="61"/>
        <v>9.2334028056631319E-12</v>
      </c>
      <c r="BH86" s="59">
        <f t="shared" si="62"/>
        <v>293.33333333334252</v>
      </c>
      <c r="BI86" s="59">
        <f ca="1">AVERAGE(OFFSET($BH$3,0,0,'Données projet'!$E$11+1,1))-AVERAGE(OFFSET($H$3,0,0,'Données projet'!$E$11+1,1))</f>
        <v>327.58421465651799</v>
      </c>
      <c r="BJ86" s="59">
        <f t="shared" si="92"/>
        <v>296.73904998640018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2.3588043988355514</v>
      </c>
      <c r="BQ86" s="21">
        <f>EXP(-LN(2)/25)*BQ85+(1-EXP(-LN(2)/25))/(LN(2)/25)*Calculateur!BL86*Calculateur!BN86*VLOOKUP('Données projet'!$B$11,Paramètres!$A$1:$I$89,3,0)*0.475*44/12</f>
        <v>3.0879509818225706</v>
      </c>
      <c r="BR86" s="21">
        <f>EXP(-LN(2)/2)*BR85+(1-EXP(-LN(2)/2))/(LN(2)/2)*BL86*BO86*VLOOKUP('Données projet'!$B$11,Paramètres!$A$1:$I$89,3,0)*0.475*44/12</f>
        <v>2.2035197877271612E-7</v>
      </c>
      <c r="BS86" s="22">
        <f t="shared" si="63"/>
        <v>5.4467556010100999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-5.6843418860808015E-13</v>
      </c>
      <c r="O87" s="13">
        <f>N87*VLOOKUP('Données projet'!$B$9,Paramètres!$A$1:$I$89,3,0)*VLOOKUP('Données projet'!$B$9,Paramètres!$A$1:$I$89,5,0)</f>
        <v>-3.177547114319168E-13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356.67698551373468</v>
      </c>
      <c r="T87" s="59">
        <f t="shared" si="88"/>
        <v>353.21836615408171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1.567742015031995</v>
      </c>
      <c r="AA87" s="21">
        <f>EXP(-LN(2)/25)*AA86+(1-EXP(-LN(2)/25))/(LN(2)/25)*Calculateur!V87*Calculateur!X87*VLOOKUP('Données projet'!$B$9,Paramètres!$A$1:$I$89,3,0)*0.475*44/12</f>
        <v>6.751386291038056</v>
      </c>
      <c r="AB87" s="21">
        <f>EXP(-LN(2)/2)*AB86+(1-EXP(-LN(2)/2))/(LN(2)/2)*V87*Y87*VLOOKUP('Données projet'!$B$9,Paramètres!$A$1:$I$89,3,0)*0.475*44/12</f>
        <v>2.4230844058420689E-7</v>
      </c>
      <c r="AC87" s="22">
        <f t="shared" si="57"/>
        <v>8.3191285483784903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285.77483300338548</v>
      </c>
      <c r="AO87" s="59">
        <f t="shared" si="90"/>
        <v>320.55212417690637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2.8636978879231352</v>
      </c>
      <c r="AV87" s="21">
        <f>EXP(-LN(2)/25)*AV86+(1-EXP(-LN(2)/25))/(LN(2)/25)*Calculateur!AQ87*Calculateur!AS87*VLOOKUP('Données projet'!$B$10,Paramètres!$A$1:$I$89,3,0)*0.475*44/12</f>
        <v>6.2360575809425347</v>
      </c>
      <c r="AW87" s="21">
        <f>EXP(-LN(2)/2)*AW86+(1-EXP(-LN(2)/2))/(LN(2)/2)*AQ87*AT87*VLOOKUP('Données projet'!$B$10,Paramètres!$A$1:$I$89,3,0)*0.475*44/12</f>
        <v>1.8180304122650534E-7</v>
      </c>
      <c r="AX87" s="21">
        <f t="shared" si="60"/>
        <v>9.0997556506687118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7.9580786405131221E-13</v>
      </c>
      <c r="BE87" s="13">
        <f>BD87*VLOOKUP('Données projet'!$B$11,Paramètres!$A$1:$I$89,3,0)*VLOOKUP('Données projet'!$B$11,Paramètres!$A$1:$I$89,5,0)</f>
        <v>3.8278358260868117E-13</v>
      </c>
      <c r="BF87" s="13">
        <f t="shared" si="91"/>
        <v>4.9186917125089072E-12</v>
      </c>
      <c r="BG87" s="20">
        <f t="shared" si="61"/>
        <v>9.2334028056631319E-12</v>
      </c>
      <c r="BH87" s="59">
        <f t="shared" si="62"/>
        <v>293.33333333334252</v>
      </c>
      <c r="BI87" s="59">
        <f ca="1">AVERAGE(OFFSET($BH$3,0,0,'Données projet'!$E$11+1,1))-AVERAGE(OFFSET($H$3,0,0,'Données projet'!$E$11+1,1))</f>
        <v>327.58421465651799</v>
      </c>
      <c r="BJ87" s="59">
        <f t="shared" si="92"/>
        <v>296.73904998640018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2.3125496833030068</v>
      </c>
      <c r="BQ87" s="21">
        <f>EXP(-LN(2)/25)*BQ86+(1-EXP(-LN(2)/25))/(LN(2)/25)*Calculateur!BL87*Calculateur!BN87*VLOOKUP('Données projet'!$B$11,Paramètres!$A$1:$I$89,3,0)*0.475*44/12</f>
        <v>3.0035107998363477</v>
      </c>
      <c r="BR87" s="21">
        <f>EXP(-LN(2)/2)*BR86+(1-EXP(-LN(2)/2))/(LN(2)/2)*BL87*BO87*VLOOKUP('Données projet'!$B$11,Paramètres!$A$1:$I$89,3,0)*0.475*44/12</f>
        <v>1.5581237843806174E-7</v>
      </c>
      <c r="BS87" s="22">
        <f t="shared" si="63"/>
        <v>5.3160606389517326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-5.6843418860808015E-13</v>
      </c>
      <c r="O88" s="13">
        <f>N88*VLOOKUP('Données projet'!$B$9,Paramètres!$A$1:$I$89,3,0)*VLOOKUP('Données projet'!$B$9,Paramètres!$A$1:$I$89,5,0)</f>
        <v>-3.177547114319168E-13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356.67698551373468</v>
      </c>
      <c r="T88" s="59">
        <f t="shared" si="88"/>
        <v>353.21836615408171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1.536999550345427</v>
      </c>
      <c r="AA88" s="21">
        <f>EXP(-LN(2)/25)*AA87+(1-EXP(-LN(2)/25))/(LN(2)/25)*Calculateur!V88*Calculateur!X88*VLOOKUP('Données projet'!$B$9,Paramètres!$A$1:$I$89,3,0)*0.475*44/12</f>
        <v>6.5667692778696454</v>
      </c>
      <c r="AB88" s="21">
        <f>EXP(-LN(2)/2)*AB87+(1-EXP(-LN(2)/2))/(LN(2)/2)*V88*Y88*VLOOKUP('Données projet'!$B$9,Paramètres!$A$1:$I$89,3,0)*0.475*44/12</f>
        <v>1.7133794147583033E-7</v>
      </c>
      <c r="AC88" s="22">
        <f t="shared" si="57"/>
        <v>8.1037689995530133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285.77483300338548</v>
      </c>
      <c r="AO88" s="59">
        <f t="shared" si="90"/>
        <v>320.55212417690637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2.8075425190242034</v>
      </c>
      <c r="AV88" s="21">
        <f>EXP(-LN(2)/25)*AV87+(1-EXP(-LN(2)/25))/(LN(2)/25)*Calculateur!AQ88*Calculateur!AS88*VLOOKUP('Données projet'!$B$10,Paramètres!$A$1:$I$89,3,0)*0.475*44/12</f>
        <v>6.065532258451646</v>
      </c>
      <c r="AW88" s="21">
        <f>EXP(-LN(2)/2)*AW87+(1-EXP(-LN(2)/2))/(LN(2)/2)*AQ88*AT88*VLOOKUP('Données projet'!$B$10,Paramètres!$A$1:$I$89,3,0)*0.475*44/12</f>
        <v>1.2855416329159939E-7</v>
      </c>
      <c r="AX88" s="21">
        <f t="shared" si="60"/>
        <v>8.8730749060300127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7.9580786405131221E-13</v>
      </c>
      <c r="BE88" s="13">
        <f>BD88*VLOOKUP('Données projet'!$B$11,Paramètres!$A$1:$I$89,3,0)*VLOOKUP('Données projet'!$B$11,Paramètres!$A$1:$I$89,5,0)</f>
        <v>3.8278358260868117E-13</v>
      </c>
      <c r="BF88" s="13">
        <f t="shared" si="91"/>
        <v>4.9186917125089072E-12</v>
      </c>
      <c r="BG88" s="20">
        <f t="shared" si="61"/>
        <v>9.2334028056631319E-12</v>
      </c>
      <c r="BH88" s="59">
        <f t="shared" si="62"/>
        <v>293.33333333334252</v>
      </c>
      <c r="BI88" s="59">
        <f ca="1">AVERAGE(OFFSET($BH$3,0,0,'Données projet'!$E$11+1,1))-AVERAGE(OFFSET($H$3,0,0,'Données projet'!$E$11+1,1))</f>
        <v>327.58421465651799</v>
      </c>
      <c r="BJ88" s="59">
        <f t="shared" si="92"/>
        <v>296.73904998640018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2.2672019945294646</v>
      </c>
      <c r="BQ88" s="21">
        <f>EXP(-LN(2)/25)*BQ87+(1-EXP(-LN(2)/25))/(LN(2)/25)*Calculateur!BL88*Calculateur!BN88*VLOOKUP('Données projet'!$B$11,Paramètres!$A$1:$I$89,3,0)*0.475*44/12</f>
        <v>2.9213796390670543</v>
      </c>
      <c r="BR88" s="21">
        <f>EXP(-LN(2)/2)*BR87+(1-EXP(-LN(2)/2))/(LN(2)/2)*BL88*BO88*VLOOKUP('Données projet'!$B$11,Paramètres!$A$1:$I$89,3,0)*0.475*44/12</f>
        <v>1.1017598938635806E-7</v>
      </c>
      <c r="BS88" s="22">
        <f t="shared" si="63"/>
        <v>5.1885817437725077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-5.6843418860808015E-13</v>
      </c>
      <c r="O89" s="13">
        <f>N89*VLOOKUP('Données projet'!$B$9,Paramètres!$A$1:$I$89,3,0)*VLOOKUP('Données projet'!$B$9,Paramètres!$A$1:$I$89,5,0)</f>
        <v>-3.177547114319168E-13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356.67698551373468</v>
      </c>
      <c r="T89" s="59">
        <f t="shared" si="88"/>
        <v>353.21836615408171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1.5068599266403107</v>
      </c>
      <c r="AA89" s="21">
        <f>EXP(-LN(2)/25)*AA88+(1-EXP(-LN(2)/25))/(LN(2)/25)*Calculateur!V89*Calculateur!X89*VLOOKUP('Données projet'!$B$9,Paramètres!$A$1:$I$89,3,0)*0.475*44/12</f>
        <v>6.3872006266349119</v>
      </c>
      <c r="AB89" s="21">
        <f>EXP(-LN(2)/2)*AB88+(1-EXP(-LN(2)/2))/(LN(2)/2)*V89*Y89*VLOOKUP('Données projet'!$B$9,Paramètres!$A$1:$I$89,3,0)*0.475*44/12</f>
        <v>1.2115422029210345E-7</v>
      </c>
      <c r="AC89" s="22">
        <f t="shared" si="57"/>
        <v>7.8940606744294426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285.77483300338548</v>
      </c>
      <c r="AO89" s="59">
        <f t="shared" si="90"/>
        <v>320.55212417690637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2.7524883226579866</v>
      </c>
      <c r="AV89" s="21">
        <f>EXP(-LN(2)/25)*AV88+(1-EXP(-LN(2)/25))/(LN(2)/25)*Calculateur!AQ89*Calculateur!AS89*VLOOKUP('Données projet'!$B$10,Paramètres!$A$1:$I$89,3,0)*0.475*44/12</f>
        <v>5.8996699598718072</v>
      </c>
      <c r="AW89" s="21">
        <f>EXP(-LN(2)/2)*AW88+(1-EXP(-LN(2)/2))/(LN(2)/2)*AQ89*AT89*VLOOKUP('Données projet'!$B$10,Paramètres!$A$1:$I$89,3,0)*0.475*44/12</f>
        <v>9.0901520613252669E-8</v>
      </c>
      <c r="AX89" s="21">
        <f t="shared" si="60"/>
        <v>8.6521583734313143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7.9580786405131221E-13</v>
      </c>
      <c r="BE89" s="13">
        <f>BD89*VLOOKUP('Données projet'!$B$11,Paramètres!$A$1:$I$89,3,0)*VLOOKUP('Données projet'!$B$11,Paramètres!$A$1:$I$89,5,0)</f>
        <v>3.8278358260868117E-13</v>
      </c>
      <c r="BF89" s="13">
        <f t="shared" si="91"/>
        <v>4.9186917125089072E-12</v>
      </c>
      <c r="BG89" s="20">
        <f t="shared" si="61"/>
        <v>9.2334028056631319E-12</v>
      </c>
      <c r="BH89" s="59">
        <f t="shared" si="62"/>
        <v>293.33333333334252</v>
      </c>
      <c r="BI89" s="59">
        <f ca="1">AVERAGE(OFFSET($BH$3,0,0,'Données projet'!$E$11+1,1))-AVERAGE(OFFSET($H$3,0,0,'Données projet'!$E$11+1,1))</f>
        <v>327.58421465651799</v>
      </c>
      <c r="BJ89" s="59">
        <f t="shared" si="92"/>
        <v>296.73904998640018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2.2227435462734126</v>
      </c>
      <c r="BQ89" s="21">
        <f>EXP(-LN(2)/25)*BQ88+(1-EXP(-LN(2)/25))/(LN(2)/25)*Calculateur!BL89*Calculateur!BN89*VLOOKUP('Données projet'!$B$11,Paramètres!$A$1:$I$89,3,0)*0.475*44/12</f>
        <v>2.8414943592080872</v>
      </c>
      <c r="BR89" s="21">
        <f>EXP(-LN(2)/2)*BR88+(1-EXP(-LN(2)/2))/(LN(2)/2)*BL89*BO89*VLOOKUP('Données projet'!$B$11,Paramètres!$A$1:$I$89,3,0)*0.475*44/12</f>
        <v>7.7906189219030869E-8</v>
      </c>
      <c r="BS89" s="22">
        <f t="shared" si="63"/>
        <v>5.0642379833876889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-5.6843418860808015E-13</v>
      </c>
      <c r="O90" s="13">
        <f>N90*VLOOKUP('Données projet'!$B$9,Paramètres!$A$1:$I$89,3,0)*VLOOKUP('Données projet'!$B$9,Paramètres!$A$1:$I$89,5,0)</f>
        <v>-3.177547114319168E-13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356.67698551373468</v>
      </c>
      <c r="T90" s="59">
        <f t="shared" si="88"/>
        <v>353.21836615408171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1.4773113225726964</v>
      </c>
      <c r="AA90" s="21">
        <f>EXP(-LN(2)/25)*AA89+(1-EXP(-LN(2)/25))/(LN(2)/25)*Calculateur!V90*Calculateur!X90*VLOOKUP('Données projet'!$B$9,Paramètres!$A$1:$I$89,3,0)*0.475*44/12</f>
        <v>6.2125422896112976</v>
      </c>
      <c r="AB90" s="21">
        <f>EXP(-LN(2)/2)*AB89+(1-EXP(-LN(2)/2))/(LN(2)/2)*V90*Y90*VLOOKUP('Données projet'!$B$9,Paramètres!$A$1:$I$89,3,0)*0.475*44/12</f>
        <v>8.5668970737915167E-8</v>
      </c>
      <c r="AC90" s="22">
        <f t="shared" si="57"/>
        <v>7.6898536978529641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285.77483300338548</v>
      </c>
      <c r="AO90" s="59">
        <f t="shared" si="90"/>
        <v>320.55212417690637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2.6985137055027675</v>
      </c>
      <c r="AV90" s="21">
        <f>EXP(-LN(2)/25)*AV89+(1-EXP(-LN(2)/25))/(LN(2)/25)*Calculateur!AQ90*Calculateur!AS90*VLOOKUP('Données projet'!$B$10,Paramètres!$A$1:$I$89,3,0)*0.475*44/12</f>
        <v>5.7383431745689535</v>
      </c>
      <c r="AW90" s="21">
        <f>EXP(-LN(2)/2)*AW89+(1-EXP(-LN(2)/2))/(LN(2)/2)*AQ90*AT90*VLOOKUP('Données projet'!$B$10,Paramètres!$A$1:$I$89,3,0)*0.475*44/12</f>
        <v>6.4277081645799693E-8</v>
      </c>
      <c r="AX90" s="21">
        <f t="shared" si="60"/>
        <v>8.4368569443488024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7.9580786405131221E-13</v>
      </c>
      <c r="BE90" s="13">
        <f>BD90*VLOOKUP('Données projet'!$B$11,Paramètres!$A$1:$I$89,3,0)*VLOOKUP('Données projet'!$B$11,Paramètres!$A$1:$I$89,5,0)</f>
        <v>3.8278358260868117E-13</v>
      </c>
      <c r="BF90" s="13">
        <f t="shared" si="91"/>
        <v>4.9186917125089072E-12</v>
      </c>
      <c r="BG90" s="20">
        <f t="shared" si="61"/>
        <v>9.2334028056631319E-12</v>
      </c>
      <c r="BH90" s="59">
        <f t="shared" si="62"/>
        <v>293.33333333334252</v>
      </c>
      <c r="BI90" s="59">
        <f ca="1">AVERAGE(OFFSET($BH$3,0,0,'Données projet'!$E$11+1,1))-AVERAGE(OFFSET($H$3,0,0,'Données projet'!$E$11+1,1))</f>
        <v>327.58421465651799</v>
      </c>
      <c r="BJ90" s="59">
        <f t="shared" si="92"/>
        <v>296.73904998640018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2.1791569010706859</v>
      </c>
      <c r="BQ90" s="21">
        <f>EXP(-LN(2)/25)*BQ89+(1-EXP(-LN(2)/25))/(LN(2)/25)*Calculateur!BL90*Calculateur!BN90*VLOOKUP('Données projet'!$B$11,Paramètres!$A$1:$I$89,3,0)*0.475*44/12</f>
        <v>2.763793546527848</v>
      </c>
      <c r="BR90" s="21">
        <f>EXP(-LN(2)/2)*BR89+(1-EXP(-LN(2)/2))/(LN(2)/2)*BL90*BO90*VLOOKUP('Données projet'!$B$11,Paramètres!$A$1:$I$89,3,0)*0.475*44/12</f>
        <v>5.5087994693179029E-8</v>
      </c>
      <c r="BS90" s="22">
        <f t="shared" si="63"/>
        <v>4.9429505026865286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-5.6843418860808015E-13</v>
      </c>
      <c r="O91" s="13">
        <f>N91*VLOOKUP('Données projet'!$B$9,Paramètres!$A$1:$I$89,3,0)*VLOOKUP('Données projet'!$B$9,Paramètres!$A$1:$I$89,5,0)</f>
        <v>-3.177547114319168E-13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356.67698551373468</v>
      </c>
      <c r="T91" s="59">
        <f t="shared" si="88"/>
        <v>353.21836615408171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1.4483421486079793</v>
      </c>
      <c r="AA91" s="21">
        <f>EXP(-LN(2)/25)*AA90+(1-EXP(-LN(2)/25))/(LN(2)/25)*Calculateur!V91*Calculateur!X91*VLOOKUP('Données projet'!$B$9,Paramètres!$A$1:$I$89,3,0)*0.475*44/12</f>
        <v>6.0426599939984769</v>
      </c>
      <c r="AB91" s="21">
        <f>EXP(-LN(2)/2)*AB90+(1-EXP(-LN(2)/2))/(LN(2)/2)*V91*Y91*VLOOKUP('Données projet'!$B$9,Paramètres!$A$1:$I$89,3,0)*0.475*44/12</f>
        <v>6.0577110146051723E-8</v>
      </c>
      <c r="AC91" s="22">
        <f t="shared" si="57"/>
        <v>7.4910022031835668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285.77483300338548</v>
      </c>
      <c r="AO91" s="59">
        <f t="shared" si="90"/>
        <v>320.55212417690637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2.6455974976686965</v>
      </c>
      <c r="AV91" s="21">
        <f>EXP(-LN(2)/25)*AV90+(1-EXP(-LN(2)/25))/(LN(2)/25)*Calculateur!AQ91*Calculateur!AS91*VLOOKUP('Données projet'!$B$10,Paramètres!$A$1:$I$89,3,0)*0.475*44/12</f>
        <v>5.5814278786940132</v>
      </c>
      <c r="AW91" s="21">
        <f>EXP(-LN(2)/2)*AW90+(1-EXP(-LN(2)/2))/(LN(2)/2)*AQ91*AT91*VLOOKUP('Données projet'!$B$10,Paramètres!$A$1:$I$89,3,0)*0.475*44/12</f>
        <v>4.5450760306626335E-8</v>
      </c>
      <c r="AX91" s="21">
        <f t="shared" si="60"/>
        <v>8.2270254218134689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7.9580786405131221E-13</v>
      </c>
      <c r="BE91" s="13">
        <f>BD91*VLOOKUP('Données projet'!$B$11,Paramètres!$A$1:$I$89,3,0)*VLOOKUP('Données projet'!$B$11,Paramètres!$A$1:$I$89,5,0)</f>
        <v>3.8278358260868117E-13</v>
      </c>
      <c r="BF91" s="13">
        <f t="shared" si="91"/>
        <v>4.9186917125089072E-12</v>
      </c>
      <c r="BG91" s="20">
        <f t="shared" si="61"/>
        <v>9.2334028056631319E-12</v>
      </c>
      <c r="BH91" s="59">
        <f t="shared" si="62"/>
        <v>293.33333333334252</v>
      </c>
      <c r="BI91" s="59">
        <f ca="1">AVERAGE(OFFSET($BH$3,0,0,'Données projet'!$E$11+1,1))-AVERAGE(OFFSET($H$3,0,0,'Données projet'!$E$11+1,1))</f>
        <v>327.58421465651799</v>
      </c>
      <c r="BJ91" s="59">
        <f t="shared" si="92"/>
        <v>296.73904998640018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2.1364249633951564</v>
      </c>
      <c r="BQ91" s="21">
        <f>EXP(-LN(2)/25)*BQ90+(1-EXP(-LN(2)/25))/(LN(2)/25)*Calculateur!BL91*Calculateur!BN91*VLOOKUP('Données projet'!$B$11,Paramètres!$A$1:$I$89,3,0)*0.475*44/12</f>
        <v>2.6882174666564582</v>
      </c>
      <c r="BR91" s="21">
        <f>EXP(-LN(2)/2)*BR90+(1-EXP(-LN(2)/2))/(LN(2)/2)*BL91*BO91*VLOOKUP('Données projet'!$B$11,Paramètres!$A$1:$I$89,3,0)*0.475*44/12</f>
        <v>3.8953094609515434E-8</v>
      </c>
      <c r="BS91" s="22">
        <f t="shared" si="63"/>
        <v>4.8246424690047096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-5.6843418860808015E-13</v>
      </c>
      <c r="O92" s="13">
        <f>N92*VLOOKUP('Données projet'!$B$9,Paramètres!$A$1:$I$89,3,0)*VLOOKUP('Données projet'!$B$9,Paramètres!$A$1:$I$89,5,0)</f>
        <v>-3.177547114319168E-13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356.67698551373468</v>
      </c>
      <c r="T92" s="59">
        <f t="shared" si="88"/>
        <v>353.21836615408171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1.4199410424752588</v>
      </c>
      <c r="AA92" s="21">
        <f>EXP(-LN(2)/25)*AA91+(1-EXP(-LN(2)/25))/(LN(2)/25)*Calculateur!V92*Calculateur!X92*VLOOKUP('Données projet'!$B$9,Paramètres!$A$1:$I$89,3,0)*0.475*44/12</f>
        <v>5.8774231386929099</v>
      </c>
      <c r="AB92" s="21">
        <f>EXP(-LN(2)/2)*AB91+(1-EXP(-LN(2)/2))/(LN(2)/2)*V92*Y92*VLOOKUP('Données projet'!$B$9,Paramètres!$A$1:$I$89,3,0)*0.475*44/12</f>
        <v>4.2834485368957583E-8</v>
      </c>
      <c r="AC92" s="22">
        <f t="shared" si="57"/>
        <v>7.2973642240026537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285.77483300338548</v>
      </c>
      <c r="AO92" s="59">
        <f t="shared" si="90"/>
        <v>320.55212417690637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2.5937189443945519</v>
      </c>
      <c r="AV92" s="21">
        <f>EXP(-LN(2)/25)*AV91+(1-EXP(-LN(2)/25))/(LN(2)/25)*Calculateur!AQ92*Calculateur!AS92*VLOOKUP('Données projet'!$B$10,Paramètres!$A$1:$I$89,3,0)*0.475*44/12</f>
        <v>5.4288034398365896</v>
      </c>
      <c r="AW92" s="21">
        <f>EXP(-LN(2)/2)*AW91+(1-EXP(-LN(2)/2))/(LN(2)/2)*AQ92*AT92*VLOOKUP('Données projet'!$B$10,Paramètres!$A$1:$I$89,3,0)*0.475*44/12</f>
        <v>3.2138540822899847E-8</v>
      </c>
      <c r="AX92" s="21">
        <f t="shared" si="60"/>
        <v>8.0225224163696822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7.9580786405131221E-13</v>
      </c>
      <c r="BE92" s="13">
        <f>BD92*VLOOKUP('Données projet'!$B$11,Paramètres!$A$1:$I$89,3,0)*VLOOKUP('Données projet'!$B$11,Paramètres!$A$1:$I$89,5,0)</f>
        <v>3.8278358260868117E-13</v>
      </c>
      <c r="BF92" s="13">
        <f t="shared" si="91"/>
        <v>4.9186917125089072E-12</v>
      </c>
      <c r="BG92" s="20">
        <f t="shared" si="61"/>
        <v>9.2334028056631319E-12</v>
      </c>
      <c r="BH92" s="59">
        <f t="shared" si="62"/>
        <v>293.33333333334252</v>
      </c>
      <c r="BI92" s="59">
        <f ca="1">AVERAGE(OFFSET($BH$3,0,0,'Données projet'!$E$11+1,1))-AVERAGE(OFFSET($H$3,0,0,'Données projet'!$E$11+1,1))</f>
        <v>327.58421465651799</v>
      </c>
      <c r="BJ92" s="59">
        <f t="shared" si="92"/>
        <v>296.73904998640018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2.0945309729535357</v>
      </c>
      <c r="BQ92" s="21">
        <f>EXP(-LN(2)/25)*BQ91+(1-EXP(-LN(2)/25))/(LN(2)/25)*Calculateur!BL92*Calculateur!BN92*VLOOKUP('Données projet'!$B$11,Paramètres!$A$1:$I$89,3,0)*0.475*44/12</f>
        <v>2.6147080186635248</v>
      </c>
      <c r="BR92" s="21">
        <f>EXP(-LN(2)/2)*BR91+(1-EXP(-LN(2)/2))/(LN(2)/2)*BL92*BO92*VLOOKUP('Données projet'!$B$11,Paramètres!$A$1:$I$89,3,0)*0.475*44/12</f>
        <v>2.7543997346589514E-8</v>
      </c>
      <c r="BS92" s="22">
        <f t="shared" si="63"/>
        <v>4.7092390191610578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-5.6843418860808015E-13</v>
      </c>
      <c r="O93" s="13">
        <f>N93*VLOOKUP('Données projet'!$B$9,Paramètres!$A$1:$I$89,3,0)*VLOOKUP('Données projet'!$B$9,Paramètres!$A$1:$I$89,5,0)</f>
        <v>-3.177547114319168E-13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356.67698551373468</v>
      </c>
      <c r="T93" s="59">
        <f t="shared" si="88"/>
        <v>353.21836615408171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1.3920968647108367</v>
      </c>
      <c r="AA93" s="21">
        <f>EXP(-LN(2)/25)*AA92+(1-EXP(-LN(2)/25))/(LN(2)/25)*Calculateur!V93*Calculateur!X93*VLOOKUP('Données projet'!$B$9,Paramètres!$A$1:$I$89,3,0)*0.475*44/12</f>
        <v>5.7167046938851023</v>
      </c>
      <c r="AB93" s="21">
        <f>EXP(-LN(2)/2)*AB92+(1-EXP(-LN(2)/2))/(LN(2)/2)*V93*Y93*VLOOKUP('Données projet'!$B$9,Paramètres!$A$1:$I$89,3,0)*0.475*44/12</f>
        <v>3.0288555073025861E-8</v>
      </c>
      <c r="AC93" s="22">
        <f t="shared" si="57"/>
        <v>7.1088015888844938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285.77483300338548</v>
      </c>
      <c r="AO93" s="59">
        <f t="shared" si="90"/>
        <v>320.55212417690637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2.5428576979073201</v>
      </c>
      <c r="AV93" s="21">
        <f>EXP(-LN(2)/25)*AV92+(1-EXP(-LN(2)/25))/(LN(2)/25)*Calculateur!AQ93*Calculateur!AS93*VLOOKUP('Données projet'!$B$10,Paramètres!$A$1:$I$89,3,0)*0.475*44/12</f>
        <v>5.2803525242858926</v>
      </c>
      <c r="AW93" s="21">
        <f>EXP(-LN(2)/2)*AW92+(1-EXP(-LN(2)/2))/(LN(2)/2)*AQ93*AT93*VLOOKUP('Données projet'!$B$10,Paramètres!$A$1:$I$89,3,0)*0.475*44/12</f>
        <v>2.2725380153313167E-8</v>
      </c>
      <c r="AX93" s="21">
        <f t="shared" si="60"/>
        <v>7.8232102449185925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7.9580786405131221E-13</v>
      </c>
      <c r="BE93" s="13">
        <f>BD93*VLOOKUP('Données projet'!$B$11,Paramètres!$A$1:$I$89,3,0)*VLOOKUP('Données projet'!$B$11,Paramètres!$A$1:$I$89,5,0)</f>
        <v>3.8278358260868117E-13</v>
      </c>
      <c r="BF93" s="13">
        <f t="shared" si="91"/>
        <v>4.9186917125089072E-12</v>
      </c>
      <c r="BG93" s="20">
        <f t="shared" si="61"/>
        <v>9.2334028056631319E-12</v>
      </c>
      <c r="BH93" s="59">
        <f t="shared" si="62"/>
        <v>293.33333333334252</v>
      </c>
      <c r="BI93" s="59">
        <f ca="1">AVERAGE(OFFSET($BH$3,0,0,'Données projet'!$E$11+1,1))-AVERAGE(OFFSET($H$3,0,0,'Données projet'!$E$11+1,1))</f>
        <v>327.58421465651799</v>
      </c>
      <c r="BJ93" s="59">
        <f t="shared" si="92"/>
        <v>296.73904998640018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2.0534584981116639</v>
      </c>
      <c r="BQ93" s="21">
        <f>EXP(-LN(2)/25)*BQ92+(1-EXP(-LN(2)/25))/(LN(2)/25)*Calculateur!BL93*Calculateur!BN93*VLOOKUP('Données projet'!$B$11,Paramètres!$A$1:$I$89,3,0)*0.475*44/12</f>
        <v>2.5432086903916518</v>
      </c>
      <c r="BR93" s="21">
        <f>EXP(-LN(2)/2)*BR92+(1-EXP(-LN(2)/2))/(LN(2)/2)*BL93*BO93*VLOOKUP('Données projet'!$B$11,Paramètres!$A$1:$I$89,3,0)*0.475*44/12</f>
        <v>1.9476547304757717E-8</v>
      </c>
      <c r="BS93" s="22">
        <f t="shared" si="63"/>
        <v>4.5966672079798636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-5.6843418860808015E-13</v>
      </c>
      <c r="O94" s="13">
        <f>N94*VLOOKUP('Données projet'!$B$9,Paramètres!$A$1:$I$89,3,0)*VLOOKUP('Données projet'!$B$9,Paramètres!$A$1:$I$89,5,0)</f>
        <v>-3.177547114319168E-13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356.67698551373468</v>
      </c>
      <c r="T94" s="59">
        <f t="shared" si="88"/>
        <v>353.21836615408171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1.3647986942891035</v>
      </c>
      <c r="AA94" s="21">
        <f>EXP(-LN(2)/25)*AA93+(1-EXP(-LN(2)/25))/(LN(2)/25)*Calculateur!V94*Calculateur!X94*VLOOKUP('Données projet'!$B$9,Paramètres!$A$1:$I$89,3,0)*0.475*44/12</f>
        <v>5.5603811034023796</v>
      </c>
      <c r="AB94" s="21">
        <f>EXP(-LN(2)/2)*AB93+(1-EXP(-LN(2)/2))/(LN(2)/2)*V94*Y94*VLOOKUP('Données projet'!$B$9,Paramètres!$A$1:$I$89,3,0)*0.475*44/12</f>
        <v>2.1417242684478792E-8</v>
      </c>
      <c r="AC94" s="22">
        <f t="shared" si="57"/>
        <v>6.9251798191087257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285.77483300338548</v>
      </c>
      <c r="AO94" s="59">
        <f t="shared" si="90"/>
        <v>320.55212417690637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2.4929938094414057</v>
      </c>
      <c r="AV94" s="21">
        <f>EXP(-LN(2)/25)*AV93+(1-EXP(-LN(2)/25))/(LN(2)/25)*Calculateur!AQ94*Calculateur!AS94*VLOOKUP('Données projet'!$B$10,Paramètres!$A$1:$I$89,3,0)*0.475*44/12</f>
        <v>5.1359610068276238</v>
      </c>
      <c r="AW94" s="21">
        <f>EXP(-LN(2)/2)*AW93+(1-EXP(-LN(2)/2))/(LN(2)/2)*AQ94*AT94*VLOOKUP('Données projet'!$B$10,Paramètres!$A$1:$I$89,3,0)*0.475*44/12</f>
        <v>1.6069270411449923E-8</v>
      </c>
      <c r="AX94" s="21">
        <f t="shared" si="60"/>
        <v>7.6289548323382999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7.9580786405131221E-13</v>
      </c>
      <c r="BE94" s="13">
        <f>BD94*VLOOKUP('Données projet'!$B$11,Paramètres!$A$1:$I$89,3,0)*VLOOKUP('Données projet'!$B$11,Paramètres!$A$1:$I$89,5,0)</f>
        <v>3.8278358260868117E-13</v>
      </c>
      <c r="BF94" s="13">
        <f t="shared" si="91"/>
        <v>4.9186917125089072E-12</v>
      </c>
      <c r="BG94" s="20">
        <f t="shared" si="61"/>
        <v>9.2334028056631319E-12</v>
      </c>
      <c r="BH94" s="59">
        <f t="shared" si="62"/>
        <v>293.33333333334252</v>
      </c>
      <c r="BI94" s="59">
        <f ca="1">AVERAGE(OFFSET($BH$3,0,0,'Données projet'!$E$11+1,1))-AVERAGE(OFFSET($H$3,0,0,'Données projet'!$E$11+1,1))</f>
        <v>327.58421465651799</v>
      </c>
      <c r="BJ94" s="59">
        <f t="shared" si="92"/>
        <v>296.73904998640018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2.0131914294497055</v>
      </c>
      <c r="BQ94" s="21">
        <f>EXP(-LN(2)/25)*BQ93+(1-EXP(-LN(2)/25))/(LN(2)/25)*Calculateur!BL94*Calculateur!BN94*VLOOKUP('Données projet'!$B$11,Paramètres!$A$1:$I$89,3,0)*0.475*44/12</f>
        <v>2.4736645150113596</v>
      </c>
      <c r="BR94" s="21">
        <f>EXP(-LN(2)/2)*BR93+(1-EXP(-LN(2)/2))/(LN(2)/2)*BL94*BO94*VLOOKUP('Données projet'!$B$11,Paramètres!$A$1:$I$89,3,0)*0.475*44/12</f>
        <v>1.3771998673294757E-8</v>
      </c>
      <c r="BS94" s="22">
        <f t="shared" si="63"/>
        <v>4.4868559582330638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-5.6843418860808015E-13</v>
      </c>
      <c r="O95" s="13">
        <f>N95*VLOOKUP('Données projet'!$B$9,Paramètres!$A$1:$I$89,3,0)*VLOOKUP('Données projet'!$B$9,Paramètres!$A$1:$I$89,5,0)</f>
        <v>-3.177547114319168E-13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356.67698551373468</v>
      </c>
      <c r="T95" s="59">
        <f t="shared" si="88"/>
        <v>353.21836615408171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1.3380358243391006</v>
      </c>
      <c r="AA95" s="21">
        <f>EXP(-LN(2)/25)*AA94+(1-EXP(-LN(2)/25))/(LN(2)/25)*Calculateur!V95*Calculateur!X95*VLOOKUP('Données projet'!$B$9,Paramètres!$A$1:$I$89,3,0)*0.475*44/12</f>
        <v>5.4083321897221079</v>
      </c>
      <c r="AB95" s="21">
        <f>EXP(-LN(2)/2)*AB94+(1-EXP(-LN(2)/2))/(LN(2)/2)*V95*Y95*VLOOKUP('Données projet'!$B$9,Paramètres!$A$1:$I$89,3,0)*0.475*44/12</f>
        <v>1.5144277536512931E-8</v>
      </c>
      <c r="AC95" s="22">
        <f t="shared" si="57"/>
        <v>6.7463680292054864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285.77483300338548</v>
      </c>
      <c r="AO95" s="59">
        <f t="shared" si="90"/>
        <v>320.55212417690637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2.4441077214143392</v>
      </c>
      <c r="AV95" s="21">
        <f>EXP(-LN(2)/25)*AV94+(1-EXP(-LN(2)/25))/(LN(2)/25)*Calculateur!AQ95*Calculateur!AS95*VLOOKUP('Données projet'!$B$10,Paramètres!$A$1:$I$89,3,0)*0.475*44/12</f>
        <v>4.9955178830074711</v>
      </c>
      <c r="AW95" s="21">
        <f>EXP(-LN(2)/2)*AW94+(1-EXP(-LN(2)/2))/(LN(2)/2)*AQ95*AT95*VLOOKUP('Données projet'!$B$10,Paramètres!$A$1:$I$89,3,0)*0.475*44/12</f>
        <v>1.1362690076656584E-8</v>
      </c>
      <c r="AX95" s="21">
        <f t="shared" si="60"/>
        <v>7.4396256157845002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7.9580786405131221E-13</v>
      </c>
      <c r="BE95" s="13">
        <f>BD95*VLOOKUP('Données projet'!$B$11,Paramètres!$A$1:$I$89,3,0)*VLOOKUP('Données projet'!$B$11,Paramètres!$A$1:$I$89,5,0)</f>
        <v>3.8278358260868117E-13</v>
      </c>
      <c r="BF95" s="13">
        <f t="shared" si="91"/>
        <v>4.9186917125089072E-12</v>
      </c>
      <c r="BG95" s="20">
        <f t="shared" si="61"/>
        <v>9.2334028056631319E-12</v>
      </c>
      <c r="BH95" s="59">
        <f t="shared" si="62"/>
        <v>293.33333333334252</v>
      </c>
      <c r="BI95" s="59">
        <f ca="1">AVERAGE(OFFSET($BH$3,0,0,'Données projet'!$E$11+1,1))-AVERAGE(OFFSET($H$3,0,0,'Données projet'!$E$11+1,1))</f>
        <v>327.58421465651799</v>
      </c>
      <c r="BJ95" s="59">
        <f t="shared" si="92"/>
        <v>296.73904998640018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1.9737139734437212</v>
      </c>
      <c r="BQ95" s="21">
        <f>EXP(-LN(2)/25)*BQ94+(1-EXP(-LN(2)/25))/(LN(2)/25)*Calculateur!BL95*Calculateur!BN95*VLOOKUP('Données projet'!$B$11,Paramètres!$A$1:$I$89,3,0)*0.475*44/12</f>
        <v>2.4060220287640108</v>
      </c>
      <c r="BR95" s="21">
        <f>EXP(-LN(2)/2)*BR94+(1-EXP(-LN(2)/2))/(LN(2)/2)*BL95*BO95*VLOOKUP('Données projet'!$B$11,Paramètres!$A$1:$I$89,3,0)*0.475*44/12</f>
        <v>9.7382736523788586E-9</v>
      </c>
      <c r="BS95" s="22">
        <f t="shared" si="63"/>
        <v>4.3797360119460054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-5.6843418860808015E-13</v>
      </c>
      <c r="O96" s="13">
        <f>N96*VLOOKUP('Données projet'!$B$9,Paramètres!$A$1:$I$89,3,0)*VLOOKUP('Données projet'!$B$9,Paramètres!$A$1:$I$89,5,0)</f>
        <v>-3.177547114319168E-13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356.67698551373468</v>
      </c>
      <c r="T96" s="59">
        <f t="shared" si="88"/>
        <v>353.21836615408171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1.3117977579450784</v>
      </c>
      <c r="AA96" s="21">
        <f>EXP(-LN(2)/25)*AA95+(1-EXP(-LN(2)/25))/(LN(2)/25)*Calculateur!V96*Calculateur!X96*VLOOKUP('Données projet'!$B$9,Paramètres!$A$1:$I$89,3,0)*0.475*44/12</f>
        <v>5.2604410615823278</v>
      </c>
      <c r="AB96" s="21">
        <f>EXP(-LN(2)/2)*AB95+(1-EXP(-LN(2)/2))/(LN(2)/2)*V96*Y96*VLOOKUP('Données projet'!$B$9,Paramètres!$A$1:$I$89,3,0)*0.475*44/12</f>
        <v>1.0708621342239396E-8</v>
      </c>
      <c r="AC96" s="22">
        <f t="shared" si="57"/>
        <v>6.572238830236028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285.77483300338548</v>
      </c>
      <c r="AO96" s="59">
        <f t="shared" si="90"/>
        <v>320.55212417690637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2.3961802597559139</v>
      </c>
      <c r="AV96" s="21">
        <f>EXP(-LN(2)/25)*AV95+(1-EXP(-LN(2)/25))/(LN(2)/25)*Calculateur!AQ96*Calculateur!AS96*VLOOKUP('Données projet'!$B$10,Paramètres!$A$1:$I$89,3,0)*0.475*44/12</f>
        <v>4.8589151837937639</v>
      </c>
      <c r="AW96" s="21">
        <f>EXP(-LN(2)/2)*AW95+(1-EXP(-LN(2)/2))/(LN(2)/2)*AQ96*AT96*VLOOKUP('Données projet'!$B$10,Paramètres!$A$1:$I$89,3,0)*0.475*44/12</f>
        <v>8.0346352057249617E-9</v>
      </c>
      <c r="AX96" s="21">
        <f t="shared" si="60"/>
        <v>7.2550954515843129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7.9580786405131221E-13</v>
      </c>
      <c r="BE96" s="13">
        <f>BD96*VLOOKUP('Données projet'!$B$11,Paramètres!$A$1:$I$89,3,0)*VLOOKUP('Données projet'!$B$11,Paramètres!$A$1:$I$89,5,0)</f>
        <v>3.8278358260868117E-13</v>
      </c>
      <c r="BF96" s="13">
        <f t="shared" si="91"/>
        <v>4.9186917125089072E-12</v>
      </c>
      <c r="BG96" s="20">
        <f t="shared" si="61"/>
        <v>9.2334028056631319E-12</v>
      </c>
      <c r="BH96" s="59">
        <f t="shared" si="62"/>
        <v>293.33333333334252</v>
      </c>
      <c r="BI96" s="59">
        <f ca="1">AVERAGE(OFFSET($BH$3,0,0,'Données projet'!$E$11+1,1))-AVERAGE(OFFSET($H$3,0,0,'Données projet'!$E$11+1,1))</f>
        <v>327.58421465651799</v>
      </c>
      <c r="BJ96" s="59">
        <f t="shared" si="92"/>
        <v>296.73904998640018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1.9350106462711436</v>
      </c>
      <c r="BQ96" s="21">
        <f>EXP(-LN(2)/25)*BQ95+(1-EXP(-LN(2)/25))/(LN(2)/25)*Calculateur!BL96*Calculateur!BN96*VLOOKUP('Données projet'!$B$11,Paramètres!$A$1:$I$89,3,0)*0.475*44/12</f>
        <v>2.3402292298602596</v>
      </c>
      <c r="BR96" s="21">
        <f>EXP(-LN(2)/2)*BR95+(1-EXP(-LN(2)/2))/(LN(2)/2)*BL96*BO96*VLOOKUP('Données projet'!$B$11,Paramètres!$A$1:$I$89,3,0)*0.475*44/12</f>
        <v>6.8859993366473786E-9</v>
      </c>
      <c r="BS96" s="22">
        <f t="shared" si="63"/>
        <v>4.2752398830174023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-5.6843418860808015E-13</v>
      </c>
      <c r="O97" s="13">
        <f>N97*VLOOKUP('Données projet'!$B$9,Paramètres!$A$1:$I$89,3,0)*VLOOKUP('Données projet'!$B$9,Paramètres!$A$1:$I$89,5,0)</f>
        <v>-3.177547114319168E-13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356.67698551373468</v>
      </c>
      <c r="T97" s="59">
        <f t="shared" si="88"/>
        <v>353.21836615408171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1.2860742040294026</v>
      </c>
      <c r="AA97" s="21">
        <f>EXP(-LN(2)/25)*AA96+(1-EXP(-LN(2)/25))/(LN(2)/25)*Calculateur!V97*Calculateur!X97*VLOOKUP('Données projet'!$B$9,Paramètres!$A$1:$I$89,3,0)*0.475*44/12</f>
        <v>5.1165940241187862</v>
      </c>
      <c r="AB97" s="21">
        <f>EXP(-LN(2)/2)*AB96+(1-EXP(-LN(2)/2))/(LN(2)/2)*V97*Y97*VLOOKUP('Données projet'!$B$9,Paramètres!$A$1:$I$89,3,0)*0.475*44/12</f>
        <v>7.5721387682564654E-9</v>
      </c>
      <c r="AC97" s="22">
        <f t="shared" si="57"/>
        <v>6.4026682357203271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285.77483300338548</v>
      </c>
      <c r="AO97" s="59">
        <f t="shared" si="90"/>
        <v>320.55212417690637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2.3491926263877452</v>
      </c>
      <c r="AV97" s="21">
        <f>EXP(-LN(2)/25)*AV96+(1-EXP(-LN(2)/25))/(LN(2)/25)*Calculateur!AQ97*Calculateur!AS97*VLOOKUP('Données projet'!$B$10,Paramètres!$A$1:$I$89,3,0)*0.475*44/12</f>
        <v>4.7260478925736793</v>
      </c>
      <c r="AW97" s="21">
        <f>EXP(-LN(2)/2)*AW96+(1-EXP(-LN(2)/2))/(LN(2)/2)*AQ97*AT97*VLOOKUP('Données projet'!$B$10,Paramètres!$A$1:$I$89,3,0)*0.475*44/12</f>
        <v>5.6813450383282918E-9</v>
      </c>
      <c r="AX97" s="21">
        <f t="shared" si="60"/>
        <v>7.0752405246427692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7.9580786405131221E-13</v>
      </c>
      <c r="BE97" s="13">
        <f>BD97*VLOOKUP('Données projet'!$B$11,Paramètres!$A$1:$I$89,3,0)*VLOOKUP('Données projet'!$B$11,Paramètres!$A$1:$I$89,5,0)</f>
        <v>3.8278358260868117E-13</v>
      </c>
      <c r="BF97" s="13">
        <f t="shared" si="91"/>
        <v>4.9186917125089072E-12</v>
      </c>
      <c r="BG97" s="20">
        <f t="shared" si="61"/>
        <v>9.2334028056631319E-12</v>
      </c>
      <c r="BH97" s="59">
        <f t="shared" si="62"/>
        <v>293.33333333334252</v>
      </c>
      <c r="BI97" s="59">
        <f ca="1">AVERAGE(OFFSET($BH$3,0,0,'Données projet'!$E$11+1,1))-AVERAGE(OFFSET($H$3,0,0,'Données projet'!$E$11+1,1))</f>
        <v>327.58421465651799</v>
      </c>
      <c r="BJ97" s="59">
        <f t="shared" si="92"/>
        <v>296.73904998640018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1.8970662677377217</v>
      </c>
      <c r="BQ97" s="21">
        <f>EXP(-LN(2)/25)*BQ96+(1-EXP(-LN(2)/25))/(LN(2)/25)*Calculateur!BL97*Calculateur!BN97*VLOOKUP('Données projet'!$B$11,Paramètres!$A$1:$I$89,3,0)*0.475*44/12</f>
        <v>2.2762355385024242</v>
      </c>
      <c r="BR97" s="21">
        <f>EXP(-LN(2)/2)*BR96+(1-EXP(-LN(2)/2))/(LN(2)/2)*BL97*BO97*VLOOKUP('Données projet'!$B$11,Paramètres!$A$1:$I$89,3,0)*0.475*44/12</f>
        <v>4.8691368261894293E-9</v>
      </c>
      <c r="BS97" s="22">
        <f t="shared" si="63"/>
        <v>4.1733018111092832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-5.6843418860808015E-13</v>
      </c>
      <c r="O98" s="13">
        <f>N98*VLOOKUP('Données projet'!$B$9,Paramètres!$A$1:$I$89,3,0)*VLOOKUP('Données projet'!$B$9,Paramètres!$A$1:$I$89,5,0)</f>
        <v>-3.177547114319168E-13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356.67698551373468</v>
      </c>
      <c r="T98" s="59">
        <f t="shared" si="88"/>
        <v>353.21836615408171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1.2608550733161947</v>
      </c>
      <c r="AA98" s="21">
        <f>EXP(-LN(2)/25)*AA97+(1-EXP(-LN(2)/25))/(LN(2)/25)*Calculateur!V98*Calculateur!X98*VLOOKUP('Données projet'!$B$9,Paramètres!$A$1:$I$89,3,0)*0.475*44/12</f>
        <v>4.9766804914592724</v>
      </c>
      <c r="AB98" s="21">
        <f>EXP(-LN(2)/2)*AB97+(1-EXP(-LN(2)/2))/(LN(2)/2)*V98*Y98*VLOOKUP('Données projet'!$B$9,Paramètres!$A$1:$I$89,3,0)*0.475*44/12</f>
        <v>5.3543106711196979E-9</v>
      </c>
      <c r="AC98" s="22">
        <f t="shared" si="57"/>
        <v>6.2375355701297774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285.77483300338548</v>
      </c>
      <c r="AO98" s="59">
        <f t="shared" si="90"/>
        <v>320.55212417690637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2.3031263918503</v>
      </c>
      <c r="AV98" s="21">
        <f>EXP(-LN(2)/25)*AV97+(1-EXP(-LN(2)/25))/(LN(2)/25)*Calculateur!AQ98*Calculateur!AS98*VLOOKUP('Données projet'!$B$10,Paramètres!$A$1:$I$89,3,0)*0.475*44/12</f>
        <v>4.5968138644191949</v>
      </c>
      <c r="AW98" s="21">
        <f>EXP(-LN(2)/2)*AW97+(1-EXP(-LN(2)/2))/(LN(2)/2)*AQ98*AT98*VLOOKUP('Données projet'!$B$10,Paramètres!$A$1:$I$89,3,0)*0.475*44/12</f>
        <v>4.0173176028624808E-9</v>
      </c>
      <c r="AX98" s="21">
        <f t="shared" si="60"/>
        <v>6.8999402602868134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7.9580786405131221E-13</v>
      </c>
      <c r="BE98" s="13">
        <f>BD98*VLOOKUP('Données projet'!$B$11,Paramètres!$A$1:$I$89,3,0)*VLOOKUP('Données projet'!$B$11,Paramètres!$A$1:$I$89,5,0)</f>
        <v>3.8278358260868117E-13</v>
      </c>
      <c r="BF98" s="13">
        <f t="shared" si="91"/>
        <v>4.9186917125089072E-12</v>
      </c>
      <c r="BG98" s="20">
        <f t="shared" si="61"/>
        <v>9.2334028056631319E-12</v>
      </c>
      <c r="BH98" s="59">
        <f t="shared" si="62"/>
        <v>293.33333333334252</v>
      </c>
      <c r="BI98" s="59">
        <f ca="1">AVERAGE(OFFSET($BH$3,0,0,'Données projet'!$E$11+1,1))-AVERAGE(OFFSET($H$3,0,0,'Données projet'!$E$11+1,1))</f>
        <v>327.58421465651799</v>
      </c>
      <c r="BJ98" s="59">
        <f t="shared" si="92"/>
        <v>296.73904998640018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1.8598659553235546</v>
      </c>
      <c r="BQ98" s="21">
        <f>EXP(-LN(2)/25)*BQ97+(1-EXP(-LN(2)/25))/(LN(2)/25)*Calculateur!BL98*Calculateur!BN98*VLOOKUP('Données projet'!$B$11,Paramètres!$A$1:$I$89,3,0)*0.475*44/12</f>
        <v>2.2139917580000508</v>
      </c>
      <c r="BR98" s="21">
        <f>EXP(-LN(2)/2)*BR97+(1-EXP(-LN(2)/2))/(LN(2)/2)*BL98*BO98*VLOOKUP('Données projet'!$B$11,Paramètres!$A$1:$I$89,3,0)*0.475*44/12</f>
        <v>3.4429996683236893E-9</v>
      </c>
      <c r="BS98" s="22">
        <f t="shared" si="63"/>
        <v>4.0738577167666046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-5.6843418860808015E-13</v>
      </c>
      <c r="O99" s="13">
        <f>N99*VLOOKUP('Données projet'!$B$9,Paramètres!$A$1:$I$89,3,0)*VLOOKUP('Données projet'!$B$9,Paramètres!$A$1:$I$89,5,0)</f>
        <v>-3.177547114319168E-13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356.67698551373468</v>
      </c>
      <c r="T99" s="59">
        <f t="shared" si="88"/>
        <v>353.21836615408171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1.2361304743741219</v>
      </c>
      <c r="AA99" s="21">
        <f>EXP(-LN(2)/25)*AA98+(1-EXP(-LN(2)/25))/(LN(2)/25)*Calculateur!V99*Calculateur!X99*VLOOKUP('Données projet'!$B$9,Paramètres!$A$1:$I$89,3,0)*0.475*44/12</f>
        <v>4.8405929017080656</v>
      </c>
      <c r="AB99" s="21">
        <f>EXP(-LN(2)/2)*AB98+(1-EXP(-LN(2)/2))/(LN(2)/2)*V99*Y99*VLOOKUP('Données projet'!$B$9,Paramètres!$A$1:$I$89,3,0)*0.475*44/12</f>
        <v>3.7860693841282327E-9</v>
      </c>
      <c r="AC99" s="22">
        <f t="shared" si="57"/>
        <v>6.0767233798682563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285.77483300338548</v>
      </c>
      <c r="AO99" s="59">
        <f t="shared" si="90"/>
        <v>320.55212417690637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2.2579634880745054</v>
      </c>
      <c r="AV99" s="21">
        <f>EXP(-LN(2)/25)*AV98+(1-EXP(-LN(2)/25))/(LN(2)/25)*Calculateur!AQ99*Calculateur!AS99*VLOOKUP('Données projet'!$B$10,Paramètres!$A$1:$I$89,3,0)*0.475*44/12</f>
        <v>4.4711137475607172</v>
      </c>
      <c r="AW99" s="21">
        <f>EXP(-LN(2)/2)*AW98+(1-EXP(-LN(2)/2))/(LN(2)/2)*AQ99*AT99*VLOOKUP('Données projet'!$B$10,Paramètres!$A$1:$I$89,3,0)*0.475*44/12</f>
        <v>2.8406725191641459E-9</v>
      </c>
      <c r="AX99" s="21">
        <f t="shared" si="60"/>
        <v>6.7290772384758952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7.9580786405131221E-13</v>
      </c>
      <c r="BE99" s="13">
        <f>BD99*VLOOKUP('Données projet'!$B$11,Paramètres!$A$1:$I$89,3,0)*VLOOKUP('Données projet'!$B$11,Paramètres!$A$1:$I$89,5,0)</f>
        <v>3.8278358260868117E-13</v>
      </c>
      <c r="BF99" s="13">
        <f t="shared" si="91"/>
        <v>4.9186917125089072E-12</v>
      </c>
      <c r="BG99" s="20">
        <f t="shared" si="61"/>
        <v>9.2334028056631319E-12</v>
      </c>
      <c r="BH99" s="59">
        <f t="shared" si="62"/>
        <v>293.33333333334252</v>
      </c>
      <c r="BI99" s="59">
        <f ca="1">AVERAGE(OFFSET($BH$3,0,0,'Données projet'!$E$11+1,1))-AVERAGE(OFFSET($H$3,0,0,'Données projet'!$E$11+1,1))</f>
        <v>327.58421465651799</v>
      </c>
      <c r="BJ99" s="59">
        <f t="shared" si="92"/>
        <v>296.73904998640018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1.8233951183458792</v>
      </c>
      <c r="BQ99" s="21">
        <f>EXP(-LN(2)/25)*BQ98+(1-EXP(-LN(2)/25))/(LN(2)/25)*Calculateur!BL99*Calculateur!BN99*VLOOKUP('Données projet'!$B$11,Paramètres!$A$1:$I$89,3,0)*0.475*44/12</f>
        <v>2.1534500369487728</v>
      </c>
      <c r="BR99" s="21">
        <f>EXP(-LN(2)/2)*BR98+(1-EXP(-LN(2)/2))/(LN(2)/2)*BL99*BO99*VLOOKUP('Données projet'!$B$11,Paramètres!$A$1:$I$89,3,0)*0.475*44/12</f>
        <v>2.4345684130947146E-9</v>
      </c>
      <c r="BS99" s="22">
        <f t="shared" si="63"/>
        <v>3.9768451577292203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-5.6843418860808015E-13</v>
      </c>
      <c r="O100" s="13">
        <f>N100*VLOOKUP('Données projet'!$B$9,Paramètres!$A$1:$I$89,3,0)*VLOOKUP('Données projet'!$B$9,Paramètres!$A$1:$I$89,5,0)</f>
        <v>-3.177547114319168E-13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356.67698551373468</v>
      </c>
      <c r="T100" s="59">
        <f t="shared" si="88"/>
        <v>353.21836615408171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1.2118907097367868</v>
      </c>
      <c r="AA100" s="21">
        <f>EXP(-LN(2)/25)*AA99+(1-EXP(-LN(2)/25))/(LN(2)/25)*Calculateur!V100*Calculateur!X100*VLOOKUP('Données projet'!$B$9,Paramètres!$A$1:$I$89,3,0)*0.475*44/12</f>
        <v>4.7082266342551415</v>
      </c>
      <c r="AB100" s="21">
        <f>EXP(-LN(2)/2)*AB99+(1-EXP(-LN(2)/2))/(LN(2)/2)*V100*Y100*VLOOKUP('Données projet'!$B$9,Paramètres!$A$1:$I$89,3,0)*0.475*44/12</f>
        <v>2.677155335559849E-9</v>
      </c>
      <c r="AC100" s="22">
        <f t="shared" si="57"/>
        <v>5.920117346669084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285.77483300338548</v>
      </c>
      <c r="AO100" s="59">
        <f t="shared" si="90"/>
        <v>320.55212417690637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2.2136862012951029</v>
      </c>
      <c r="AV100" s="21">
        <f>EXP(-LN(2)/25)*AV99+(1-EXP(-LN(2)/25))/(LN(2)/25)*Calculateur!AQ100*Calculateur!AS100*VLOOKUP('Données projet'!$B$10,Paramètres!$A$1:$I$89,3,0)*0.475*44/12</f>
        <v>4.3488509070080159</v>
      </c>
      <c r="AW100" s="21">
        <f>EXP(-LN(2)/2)*AW99+(1-EXP(-LN(2)/2))/(LN(2)/2)*AQ100*AT100*VLOOKUP('Données projet'!$B$10,Paramètres!$A$1:$I$89,3,0)*0.475*44/12</f>
        <v>2.0086588014312404E-9</v>
      </c>
      <c r="AX100" s="21">
        <f t="shared" si="60"/>
        <v>6.5625371103117773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7.9580786405131221E-13</v>
      </c>
      <c r="BE100" s="13">
        <f>BD100*VLOOKUP('Données projet'!$B$11,Paramètres!$A$1:$I$89,3,0)*VLOOKUP('Données projet'!$B$11,Paramètres!$A$1:$I$89,5,0)</f>
        <v>3.8278358260868117E-13</v>
      </c>
      <c r="BF100" s="13">
        <f t="shared" si="91"/>
        <v>4.9186917125089072E-12</v>
      </c>
      <c r="BG100" s="20">
        <f t="shared" si="61"/>
        <v>9.2334028056631319E-12</v>
      </c>
      <c r="BH100" s="59">
        <f t="shared" si="62"/>
        <v>293.33333333334252</v>
      </c>
      <c r="BI100" s="59">
        <f ca="1">AVERAGE(OFFSET($BH$3,0,0,'Données projet'!$E$11+1,1))-AVERAGE(OFFSET($H$3,0,0,'Données projet'!$E$11+1,1))</f>
        <v>327.58421465651799</v>
      </c>
      <c r="BJ100" s="59">
        <f t="shared" si="92"/>
        <v>296.73904998640018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1.7876394522363219</v>
      </c>
      <c r="BQ100" s="21">
        <f>EXP(-LN(2)/25)*BQ99+(1-EXP(-LN(2)/25))/(LN(2)/25)*Calculateur!BL100*Calculateur!BN100*VLOOKUP('Données projet'!$B$11,Paramètres!$A$1:$I$89,3,0)*0.475*44/12</f>
        <v>2.0945638324433928</v>
      </c>
      <c r="BR100" s="21">
        <f>EXP(-LN(2)/2)*BR99+(1-EXP(-LN(2)/2))/(LN(2)/2)*BL100*BO100*VLOOKUP('Données projet'!$B$11,Paramètres!$A$1:$I$89,3,0)*0.475*44/12</f>
        <v>1.7214998341618447E-9</v>
      </c>
      <c r="BS100" s="22">
        <f t="shared" si="63"/>
        <v>3.8822032864012148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-5.6843418860808015E-13</v>
      </c>
      <c r="O101" s="13">
        <f>N101*VLOOKUP('Données projet'!$B$9,Paramètres!$A$1:$I$89,3,0)*VLOOKUP('Données projet'!$B$9,Paramètres!$A$1:$I$89,5,0)</f>
        <v>-3.177547114319168E-13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356.67698551373468</v>
      </c>
      <c r="T101" s="59">
        <f t="shared" si="88"/>
        <v>353.21836615408171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1.1881262720991934</v>
      </c>
      <c r="AA101" s="21">
        <f>EXP(-LN(2)/25)*AA100+(1-EXP(-LN(2)/25))/(LN(2)/25)*Calculateur!V101*Calculateur!X101*VLOOKUP('Données projet'!$B$9,Paramètres!$A$1:$I$89,3,0)*0.475*44/12</f>
        <v>4.5794799293465571</v>
      </c>
      <c r="AB101" s="21">
        <f>EXP(-LN(2)/2)*AB100+(1-EXP(-LN(2)/2))/(LN(2)/2)*V101*Y101*VLOOKUP('Données projet'!$B$9,Paramètres!$A$1:$I$89,3,0)*0.475*44/12</f>
        <v>1.8930346920641163E-9</v>
      </c>
      <c r="AC101" s="22">
        <f t="shared" si="57"/>
        <v>5.7676062033387856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285.77483300338548</v>
      </c>
      <c r="AO101" s="59">
        <f t="shared" si="90"/>
        <v>320.55212417690637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2.170277165102966</v>
      </c>
      <c r="AV101" s="21">
        <f>EXP(-LN(2)/25)*AV100+(1-EXP(-LN(2)/25))/(LN(2)/25)*Calculateur!AQ101*Calculateur!AS101*VLOOKUP('Données projet'!$B$10,Paramètres!$A$1:$I$89,3,0)*0.475*44/12</f>
        <v>4.2299313502597515</v>
      </c>
      <c r="AW101" s="21">
        <f>EXP(-LN(2)/2)*AW100+(1-EXP(-LN(2)/2))/(LN(2)/2)*AQ101*AT101*VLOOKUP('Données projet'!$B$10,Paramètres!$A$1:$I$89,3,0)*0.475*44/12</f>
        <v>1.420336259582073E-9</v>
      </c>
      <c r="AX101" s="21">
        <f t="shared" si="60"/>
        <v>6.4002085167830529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7.9580786405131221E-13</v>
      </c>
      <c r="BE101" s="13">
        <f>BD101*VLOOKUP('Données projet'!$B$11,Paramètres!$A$1:$I$89,3,0)*VLOOKUP('Données projet'!$B$11,Paramètres!$A$1:$I$89,5,0)</f>
        <v>3.8278358260868117E-13</v>
      </c>
      <c r="BF101" s="13">
        <f t="shared" si="91"/>
        <v>4.9186917125089072E-12</v>
      </c>
      <c r="BG101" s="20">
        <f t="shared" si="61"/>
        <v>9.2334028056631319E-12</v>
      </c>
      <c r="BH101" s="59">
        <f t="shared" si="62"/>
        <v>293.33333333334252</v>
      </c>
      <c r="BI101" s="59">
        <f ca="1">AVERAGE(OFFSET($BH$3,0,0,'Données projet'!$E$11+1,1))-AVERAGE(OFFSET($H$3,0,0,'Données projet'!$E$11+1,1))</f>
        <v>327.58421465651799</v>
      </c>
      <c r="BJ101" s="59">
        <f t="shared" si="92"/>
        <v>296.73904998640018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1.7525849329303702</v>
      </c>
      <c r="BQ101" s="21">
        <f>EXP(-LN(2)/25)*BQ100+(1-EXP(-LN(2)/25))/(LN(2)/25)*Calculateur!BL101*Calculateur!BN101*VLOOKUP('Données projet'!$B$11,Paramètres!$A$1:$I$89,3,0)*0.475*44/12</f>
        <v>2.0372878742969034</v>
      </c>
      <c r="BR101" s="21">
        <f>EXP(-LN(2)/2)*BR100+(1-EXP(-LN(2)/2))/(LN(2)/2)*BL101*BO101*VLOOKUP('Données projet'!$B$11,Paramètres!$A$1:$I$89,3,0)*0.475*44/12</f>
        <v>1.2172842065473573E-9</v>
      </c>
      <c r="BS101" s="22">
        <f t="shared" si="63"/>
        <v>3.7898728084445574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-5.6843418860808015E-13</v>
      </c>
      <c r="O102" s="13">
        <f>N102*VLOOKUP('Données projet'!$B$9,Paramètres!$A$1:$I$89,3,0)*VLOOKUP('Données projet'!$B$9,Paramètres!$A$1:$I$89,5,0)</f>
        <v>-3.177547114319168E-13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356.67698551373468</v>
      </c>
      <c r="T102" s="59">
        <f t="shared" si="88"/>
        <v>353.21836615408171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1.1648278405887975</v>
      </c>
      <c r="AA102" s="21">
        <f>EXP(-LN(2)/25)*AA101+(1-EXP(-LN(2)/25))/(LN(2)/25)*Calculateur!V102*Calculateur!X102*VLOOKUP('Données projet'!$B$9,Paramètres!$A$1:$I$89,3,0)*0.475*44/12</f>
        <v>4.4542538098541922</v>
      </c>
      <c r="AB102" s="21">
        <f>EXP(-LN(2)/2)*AB101+(1-EXP(-LN(2)/2))/(LN(2)/2)*V102*Y102*VLOOKUP('Données projet'!$B$9,Paramètres!$A$1:$I$89,3,0)*0.475*44/12</f>
        <v>1.3385776677799245E-9</v>
      </c>
      <c r="AC102" s="22">
        <f t="shared" si="57"/>
        <v>5.6190816517815669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285.77483300338548</v>
      </c>
      <c r="AO102" s="59">
        <f t="shared" si="90"/>
        <v>320.55212417690637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2.1277193536336592</v>
      </c>
      <c r="AV102" s="21">
        <f>EXP(-LN(2)/25)*AV101+(1-EXP(-LN(2)/25))/(LN(2)/25)*Calculateur!AQ102*Calculateur!AS102*VLOOKUP('Données projet'!$B$10,Paramètres!$A$1:$I$89,3,0)*0.475*44/12</f>
        <v>4.1142636550444767</v>
      </c>
      <c r="AW102" s="21">
        <f>EXP(-LN(2)/2)*AW101+(1-EXP(-LN(2)/2))/(LN(2)/2)*AQ102*AT102*VLOOKUP('Données projet'!$B$10,Paramètres!$A$1:$I$89,3,0)*0.475*44/12</f>
        <v>1.0043294007156202E-9</v>
      </c>
      <c r="AX102" s="21">
        <f t="shared" si="60"/>
        <v>6.2419830096824649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7.9580786405131221E-13</v>
      </c>
      <c r="BE102" s="13">
        <f>BD102*VLOOKUP('Données projet'!$B$11,Paramètres!$A$1:$I$89,3,0)*VLOOKUP('Données projet'!$B$11,Paramètres!$A$1:$I$89,5,0)</f>
        <v>3.8278358260868117E-13</v>
      </c>
      <c r="BF102" s="13">
        <f t="shared" si="91"/>
        <v>4.9186917125089072E-12</v>
      </c>
      <c r="BG102" s="20">
        <f t="shared" si="61"/>
        <v>9.2334028056631319E-12</v>
      </c>
      <c r="BH102" s="59">
        <f t="shared" si="62"/>
        <v>293.33333333334252</v>
      </c>
      <c r="BI102" s="59">
        <f ca="1">AVERAGE(OFFSET($BH$3,0,0,'Données projet'!$E$11+1,1))-AVERAGE(OFFSET($H$3,0,0,'Données projet'!$E$11+1,1))</f>
        <v>327.58421465651799</v>
      </c>
      <c r="BJ102" s="59">
        <f t="shared" si="92"/>
        <v>296.73904998640018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1.7182178113668627</v>
      </c>
      <c r="BQ102" s="21">
        <f>EXP(-LN(2)/25)*BQ101+(1-EXP(-LN(2)/25))/(LN(2)/25)*Calculateur!BL102*Calculateur!BN102*VLOOKUP('Données projet'!$B$11,Paramètres!$A$1:$I$89,3,0)*0.475*44/12</f>
        <v>1.9815781302379416</v>
      </c>
      <c r="BR102" s="21">
        <f>EXP(-LN(2)/2)*BR101+(1-EXP(-LN(2)/2))/(LN(2)/2)*BL102*BO102*VLOOKUP('Données projet'!$B$11,Paramètres!$A$1:$I$89,3,0)*0.475*44/12</f>
        <v>8.6074991708092233E-10</v>
      </c>
      <c r="BS102" s="22">
        <f t="shared" si="63"/>
        <v>3.6997959424655544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-5.6843418860808015E-13</v>
      </c>
      <c r="O103" s="13">
        <f>N103*VLOOKUP('Données projet'!$B$9,Paramètres!$A$1:$I$89,3,0)*VLOOKUP('Données projet'!$B$9,Paramètres!$A$1:$I$89,5,0)</f>
        <v>-3.177547114319168E-13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356.67698551373468</v>
      </c>
      <c r="T103" s="59">
        <f t="shared" si="88"/>
        <v>353.21836615408171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1.1419862771096805</v>
      </c>
      <c r="AA103" s="21">
        <f>EXP(-LN(2)/25)*AA102+(1-EXP(-LN(2)/25))/(LN(2)/25)*Calculateur!V103*Calculateur!X103*VLOOKUP('Données projet'!$B$9,Paramètres!$A$1:$I$89,3,0)*0.475*44/12</f>
        <v>4.3324520051847015</v>
      </c>
      <c r="AB103" s="21">
        <f>EXP(-LN(2)/2)*AB102+(1-EXP(-LN(2)/2))/(LN(2)/2)*V103*Y103*VLOOKUP('Données projet'!$B$9,Paramètres!$A$1:$I$89,3,0)*0.475*44/12</f>
        <v>9.4651734603205817E-10</v>
      </c>
      <c r="AC103" s="22">
        <f t="shared" si="57"/>
        <v>5.4744382832408993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285.77483300338548</v>
      </c>
      <c r="AO103" s="59">
        <f t="shared" si="90"/>
        <v>320.55212417690637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2.0859960748895636</v>
      </c>
      <c r="AV103" s="21">
        <f>EXP(-LN(2)/25)*AV102+(1-EXP(-LN(2)/25))/(LN(2)/25)*Calculateur!AQ103*Calculateur!AS103*VLOOKUP('Données projet'!$B$10,Paramètres!$A$1:$I$89,3,0)*0.475*44/12</f>
        <v>4.0017588990375632</v>
      </c>
      <c r="AW103" s="21">
        <f>EXP(-LN(2)/2)*AW102+(1-EXP(-LN(2)/2))/(LN(2)/2)*AQ103*AT103*VLOOKUP('Données projet'!$B$10,Paramètres!$A$1:$I$89,3,0)*0.475*44/12</f>
        <v>7.1016812979103648E-10</v>
      </c>
      <c r="AX103" s="21">
        <f t="shared" si="60"/>
        <v>6.0877549746372948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7.9580786405131221E-13</v>
      </c>
      <c r="BE103" s="13">
        <f>BD103*VLOOKUP('Données projet'!$B$11,Paramètres!$A$1:$I$89,3,0)*VLOOKUP('Données projet'!$B$11,Paramètres!$A$1:$I$89,5,0)</f>
        <v>3.8278358260868117E-13</v>
      </c>
      <c r="BF103" s="13">
        <f t="shared" si="91"/>
        <v>4.9186917125089072E-12</v>
      </c>
      <c r="BG103" s="20">
        <f t="shared" si="61"/>
        <v>9.2334028056631319E-12</v>
      </c>
      <c r="BH103" s="59">
        <f t="shared" si="62"/>
        <v>293.33333333334252</v>
      </c>
      <c r="BI103" s="59">
        <f ca="1">AVERAGE(OFFSET($BH$3,0,0,'Données projet'!$E$11+1,1))-AVERAGE(OFFSET($H$3,0,0,'Données projet'!$E$11+1,1))</f>
        <v>327.58421465651799</v>
      </c>
      <c r="BJ103" s="59">
        <f t="shared" si="92"/>
        <v>296.73904998640018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1.6845246080953411</v>
      </c>
      <c r="BQ103" s="21">
        <f>EXP(-LN(2)/25)*BQ102+(1-EXP(-LN(2)/25))/(LN(2)/25)*Calculateur!BL103*Calculateur!BN103*VLOOKUP('Données projet'!$B$11,Paramètres!$A$1:$I$89,3,0)*0.475*44/12</f>
        <v>1.9273917720599201</v>
      </c>
      <c r="BR103" s="21">
        <f>EXP(-LN(2)/2)*BR102+(1-EXP(-LN(2)/2))/(LN(2)/2)*BL103*BO103*VLOOKUP('Données projet'!$B$11,Paramètres!$A$1:$I$89,3,0)*0.475*44/12</f>
        <v>6.0864210327367866E-10</v>
      </c>
      <c r="BS103" s="22">
        <f t="shared" si="63"/>
        <v>3.611916380763903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-5.6843418860808015E-13</v>
      </c>
      <c r="O104" s="13">
        <f>N104*VLOOKUP('Données projet'!$B$9,Paramètres!$A$1:$I$89,3,0)*VLOOKUP('Données projet'!$B$9,Paramètres!$A$1:$I$89,5,0)</f>
        <v>-3.177547114319168E-13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356.67698551373468</v>
      </c>
      <c r="T104" s="59">
        <f t="shared" si="88"/>
        <v>353.21836615408171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1.1195926227584108</v>
      </c>
      <c r="AA104" s="21">
        <f>EXP(-LN(2)/25)*AA103+(1-EXP(-LN(2)/25))/(LN(2)/25)*Calculateur!V104*Calculateur!X104*VLOOKUP('Données projet'!$B$9,Paramètres!$A$1:$I$89,3,0)*0.475*44/12</f>
        <v>4.2139808772691767</v>
      </c>
      <c r="AB104" s="21">
        <f>EXP(-LN(2)/2)*AB103+(1-EXP(-LN(2)/2))/(LN(2)/2)*V104*Y104*VLOOKUP('Données projet'!$B$9,Paramètres!$A$1:$I$89,3,0)*0.475*44/12</f>
        <v>6.6928883388996224E-10</v>
      </c>
      <c r="AC104" s="22">
        <f t="shared" si="57"/>
        <v>5.3335735006968763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285.77483300338548</v>
      </c>
      <c r="AO104" s="59">
        <f t="shared" si="90"/>
        <v>320.55212417690637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2.0450909641929527</v>
      </c>
      <c r="AV104" s="21">
        <f>EXP(-LN(2)/25)*AV103+(1-EXP(-LN(2)/25))/(LN(2)/25)*Calculateur!AQ104*Calculateur!AS104*VLOOKUP('Données projet'!$B$10,Paramètres!$A$1:$I$89,3,0)*0.475*44/12</f>
        <v>3.8923305915000266</v>
      </c>
      <c r="AW104" s="21">
        <f>EXP(-LN(2)/2)*AW103+(1-EXP(-LN(2)/2))/(LN(2)/2)*AQ104*AT104*VLOOKUP('Données projet'!$B$10,Paramètres!$A$1:$I$89,3,0)*0.475*44/12</f>
        <v>5.0216470035781011E-10</v>
      </c>
      <c r="AX104" s="21">
        <f t="shared" si="60"/>
        <v>5.9374215561951438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7.9580786405131221E-13</v>
      </c>
      <c r="BE104" s="13">
        <f>BD104*VLOOKUP('Données projet'!$B$11,Paramètres!$A$1:$I$89,3,0)*VLOOKUP('Données projet'!$B$11,Paramètres!$A$1:$I$89,5,0)</f>
        <v>3.8278358260868117E-13</v>
      </c>
      <c r="BF104" s="13">
        <f t="shared" si="91"/>
        <v>4.9186917125089072E-12</v>
      </c>
      <c r="BG104" s="20">
        <f t="shared" si="61"/>
        <v>9.2334028056631319E-12</v>
      </c>
      <c r="BH104" s="59">
        <f t="shared" si="62"/>
        <v>293.33333333334252</v>
      </c>
      <c r="BI104" s="59">
        <f ca="1">AVERAGE(OFFSET($BH$3,0,0,'Données projet'!$E$11+1,1))-AVERAGE(OFFSET($H$3,0,0,'Données projet'!$E$11+1,1))</f>
        <v>327.58421465651799</v>
      </c>
      <c r="BJ104" s="59">
        <f t="shared" si="92"/>
        <v>296.73904998640018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1.6514921079891494</v>
      </c>
      <c r="BQ104" s="21">
        <f>EXP(-LN(2)/25)*BQ103+(1-EXP(-LN(2)/25))/(LN(2)/25)*Calculateur!BL104*Calculateur!BN104*VLOOKUP('Données projet'!$B$11,Paramètres!$A$1:$I$89,3,0)*0.475*44/12</f>
        <v>1.8746871426958134</v>
      </c>
      <c r="BR104" s="21">
        <f>EXP(-LN(2)/2)*BR103+(1-EXP(-LN(2)/2))/(LN(2)/2)*BL104*BO104*VLOOKUP('Données projet'!$B$11,Paramètres!$A$1:$I$89,3,0)*0.475*44/12</f>
        <v>4.3037495854046116E-10</v>
      </c>
      <c r="BS104" s="22">
        <f t="shared" si="63"/>
        <v>3.5261792511153374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-5.6843418860808015E-13</v>
      </c>
      <c r="O105" s="13">
        <f>N105*VLOOKUP('Données projet'!$B$9,Paramètres!$A$1:$I$89,3,0)*VLOOKUP('Données projet'!$B$9,Paramètres!$A$1:$I$89,5,0)</f>
        <v>-3.177547114319168E-13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356.67698551373468</v>
      </c>
      <c r="T105" s="59">
        <f t="shared" si="88"/>
        <v>353.21836615408171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1.0976380943101891</v>
      </c>
      <c r="AA105" s="21">
        <f>EXP(-LN(2)/25)*AA104+(1-EXP(-LN(2)/25))/(LN(2)/25)*Calculateur!V105*Calculateur!X105*VLOOKUP('Données projet'!$B$9,Paramètres!$A$1:$I$89,3,0)*0.475*44/12</f>
        <v>4.0987493485766278</v>
      </c>
      <c r="AB105" s="21">
        <f>EXP(-LN(2)/2)*AB104+(1-EXP(-LN(2)/2))/(LN(2)/2)*V105*Y105*VLOOKUP('Données projet'!$B$9,Paramètres!$A$1:$I$89,3,0)*0.475*44/12</f>
        <v>4.7325867301602909E-10</v>
      </c>
      <c r="AC105" s="22">
        <f t="shared" si="57"/>
        <v>5.1963874433600754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285.77483300338548</v>
      </c>
      <c r="AO105" s="59">
        <f t="shared" si="90"/>
        <v>320.55212417690637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2.0049879777674482</v>
      </c>
      <c r="AV105" s="21">
        <f>EXP(-LN(2)/25)*AV104+(1-EXP(-LN(2)/25))/(LN(2)/25)*Calculateur!AQ105*Calculateur!AS105*VLOOKUP('Données projet'!$B$10,Paramètres!$A$1:$I$89,3,0)*0.475*44/12</f>
        <v>3.7858946067866888</v>
      </c>
      <c r="AW105" s="21">
        <f>EXP(-LN(2)/2)*AW104+(1-EXP(-LN(2)/2))/(LN(2)/2)*AQ105*AT105*VLOOKUP('Données projet'!$B$10,Paramètres!$A$1:$I$89,3,0)*0.475*44/12</f>
        <v>3.5508406489551824E-10</v>
      </c>
      <c r="AX105" s="21">
        <f t="shared" si="60"/>
        <v>5.7908825849092205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7.9580786405131221E-13</v>
      </c>
      <c r="BE105" s="13">
        <f>BD105*VLOOKUP('Données projet'!$B$11,Paramètres!$A$1:$I$89,3,0)*VLOOKUP('Données projet'!$B$11,Paramètres!$A$1:$I$89,5,0)</f>
        <v>3.8278358260868117E-13</v>
      </c>
      <c r="BF105" s="13">
        <f t="shared" si="91"/>
        <v>4.9186917125089072E-12</v>
      </c>
      <c r="BG105" s="20">
        <f t="shared" si="61"/>
        <v>9.2334028056631319E-12</v>
      </c>
      <c r="BH105" s="59">
        <f t="shared" si="62"/>
        <v>293.33333333334252</v>
      </c>
      <c r="BI105" s="59">
        <f ca="1">AVERAGE(OFFSET($BH$3,0,0,'Données projet'!$E$11+1,1))-AVERAGE(OFFSET($H$3,0,0,'Données projet'!$E$11+1,1))</f>
        <v>327.58421465651799</v>
      </c>
      <c r="BJ105" s="59">
        <f t="shared" si="92"/>
        <v>296.73904998640018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1.6191073550622044</v>
      </c>
      <c r="BQ105" s="21">
        <f>EXP(-LN(2)/25)*BQ104+(1-EXP(-LN(2)/25))/(LN(2)/25)*Calculateur!BL105*Calculateur!BN105*VLOOKUP('Données projet'!$B$11,Paramètres!$A$1:$I$89,3,0)*0.475*44/12</f>
        <v>1.8234237241932842</v>
      </c>
      <c r="BR105" s="21">
        <f>EXP(-LN(2)/2)*BR104+(1-EXP(-LN(2)/2))/(LN(2)/2)*BL105*BO105*VLOOKUP('Données projet'!$B$11,Paramètres!$A$1:$I$89,3,0)*0.475*44/12</f>
        <v>3.0432105163683933E-10</v>
      </c>
      <c r="BS105" s="22">
        <f t="shared" si="63"/>
        <v>3.4425310795598096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-5.6843418860808015E-13</v>
      </c>
      <c r="O106" s="13">
        <f>N106*VLOOKUP('Données projet'!$B$9,Paramètres!$A$1:$I$89,3,0)*VLOOKUP('Données projet'!$B$9,Paramètres!$A$1:$I$89,5,0)</f>
        <v>-3.177547114319168E-13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356.67698551373468</v>
      </c>
      <c r="T106" s="59">
        <f t="shared" si="88"/>
        <v>353.21836615408171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1.0761140807738969</v>
      </c>
      <c r="AA106" s="21">
        <f>EXP(-LN(2)/25)*AA105+(1-EXP(-LN(2)/25))/(LN(2)/25)*Calculateur!V106*Calculateur!X106*VLOOKUP('Données projet'!$B$9,Paramètres!$A$1:$I$89,3,0)*0.475*44/12</f>
        <v>3.9866688320959396</v>
      </c>
      <c r="AB106" s="21">
        <f>EXP(-LN(2)/2)*AB105+(1-EXP(-LN(2)/2))/(LN(2)/2)*V106*Y106*VLOOKUP('Données projet'!$B$9,Paramètres!$A$1:$I$89,3,0)*0.475*44/12</f>
        <v>3.3464441694498112E-10</v>
      </c>
      <c r="AC106" s="22">
        <f t="shared" si="57"/>
        <v>5.0627829132044813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285.77483300338548</v>
      </c>
      <c r="AO106" s="59">
        <f t="shared" si="90"/>
        <v>320.55212417690637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1.9656713864453415</v>
      </c>
      <c r="AV106" s="21">
        <f>EXP(-LN(2)/25)*AV105+(1-EXP(-LN(2)/25))/(LN(2)/25)*Calculateur!AQ106*Calculateur!AS106*VLOOKUP('Données projet'!$B$10,Paramètres!$A$1:$I$89,3,0)*0.475*44/12</f>
        <v>3.6823691196725621</v>
      </c>
      <c r="AW106" s="21">
        <f>EXP(-LN(2)/2)*AW105+(1-EXP(-LN(2)/2))/(LN(2)/2)*AQ106*AT106*VLOOKUP('Données projet'!$B$10,Paramètres!$A$1:$I$89,3,0)*0.475*44/12</f>
        <v>2.5108235017890505E-10</v>
      </c>
      <c r="AX106" s="21">
        <f t="shared" si="60"/>
        <v>5.6480405063689858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7.9580786405131221E-13</v>
      </c>
      <c r="BE106" s="13">
        <f>BD106*VLOOKUP('Données projet'!$B$11,Paramètres!$A$1:$I$89,3,0)*VLOOKUP('Données projet'!$B$11,Paramètres!$A$1:$I$89,5,0)</f>
        <v>3.8278358260868117E-13</v>
      </c>
      <c r="BF106" s="13">
        <f t="shared" si="91"/>
        <v>4.9186917125089072E-12</v>
      </c>
      <c r="BG106" s="20">
        <f t="shared" si="61"/>
        <v>9.2334028056631319E-12</v>
      </c>
      <c r="BH106" s="59">
        <f t="shared" si="62"/>
        <v>293.33333333334252</v>
      </c>
      <c r="BI106" s="59">
        <f ca="1">AVERAGE(OFFSET($BH$3,0,0,'Données projet'!$E$11+1,1))-AVERAGE(OFFSET($H$3,0,0,'Données projet'!$E$11+1,1))</f>
        <v>327.58421465651799</v>
      </c>
      <c r="BJ106" s="59">
        <f t="shared" si="92"/>
        <v>296.73904998640018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1.5873576473874078</v>
      </c>
      <c r="BQ106" s="21">
        <f>EXP(-LN(2)/25)*BQ105+(1-EXP(-LN(2)/25))/(LN(2)/25)*Calculateur!BL106*Calculateur!BN106*VLOOKUP('Données projet'!$B$11,Paramètres!$A$1:$I$89,3,0)*0.475*44/12</f>
        <v>1.7735621065655327</v>
      </c>
      <c r="BR106" s="21">
        <f>EXP(-LN(2)/2)*BR105+(1-EXP(-LN(2)/2))/(LN(2)/2)*BL106*BO106*VLOOKUP('Données projet'!$B$11,Paramètres!$A$1:$I$89,3,0)*0.475*44/12</f>
        <v>2.1518747927023058E-10</v>
      </c>
      <c r="BS106" s="22">
        <f t="shared" si="63"/>
        <v>3.3609197541681279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-5.6843418860808015E-13</v>
      </c>
      <c r="O107" s="13">
        <f>N107*VLOOKUP('Données projet'!$B$9,Paramètres!$A$1:$I$89,3,0)*VLOOKUP('Données projet'!$B$9,Paramètres!$A$1:$I$89,5,0)</f>
        <v>-3.177547114319168E-13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356.67698551373468</v>
      </c>
      <c r="T107" s="59">
        <f t="shared" si="88"/>
        <v>353.21836615408171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1.0550121400146995</v>
      </c>
      <c r="AA107" s="21">
        <f>EXP(-LN(2)/25)*AA106+(1-EXP(-LN(2)/25))/(LN(2)/25)*Calculateur!V107*Calculateur!X107*VLOOKUP('Données projet'!$B$9,Paramètres!$A$1:$I$89,3,0)*0.475*44/12</f>
        <v>3.8776531632324738</v>
      </c>
      <c r="AB107" s="21">
        <f>EXP(-LN(2)/2)*AB106+(1-EXP(-LN(2)/2))/(LN(2)/2)*V107*Y107*VLOOKUP('Données projet'!$B$9,Paramètres!$A$1:$I$89,3,0)*0.475*44/12</f>
        <v>2.3662933650801454E-10</v>
      </c>
      <c r="AC107" s="22">
        <f t="shared" si="57"/>
        <v>4.9326653034838026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285.77483300338548</v>
      </c>
      <c r="AO107" s="59">
        <f t="shared" si="90"/>
        <v>320.55212417690637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1.9271257694983084</v>
      </c>
      <c r="AV107" s="21">
        <f>EXP(-LN(2)/25)*AV106+(1-EXP(-LN(2)/25))/(LN(2)/25)*Calculateur!AQ107*Calculateur!AS107*VLOOKUP('Données projet'!$B$10,Paramètres!$A$1:$I$89,3,0)*0.475*44/12</f>
        <v>3.5816745424477401</v>
      </c>
      <c r="AW107" s="21">
        <f>EXP(-LN(2)/2)*AW106+(1-EXP(-LN(2)/2))/(LN(2)/2)*AQ107*AT107*VLOOKUP('Données projet'!$B$10,Paramètres!$A$1:$I$89,3,0)*0.475*44/12</f>
        <v>1.7754203244775912E-10</v>
      </c>
      <c r="AX107" s="21">
        <f t="shared" si="60"/>
        <v>5.5088003121235909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7.9580786405131221E-13</v>
      </c>
      <c r="BE107" s="13">
        <f>BD107*VLOOKUP('Données projet'!$B$11,Paramètres!$A$1:$I$89,3,0)*VLOOKUP('Données projet'!$B$11,Paramètres!$A$1:$I$89,5,0)</f>
        <v>3.8278358260868117E-13</v>
      </c>
      <c r="BF107" s="13">
        <f t="shared" si="91"/>
        <v>4.9186917125089072E-12</v>
      </c>
      <c r="BG107" s="20">
        <f t="shared" si="61"/>
        <v>9.2334028056631319E-12</v>
      </c>
      <c r="BH107" s="59">
        <f t="shared" si="62"/>
        <v>293.33333333334252</v>
      </c>
      <c r="BI107" s="59">
        <f ca="1">AVERAGE(OFFSET($BH$3,0,0,'Données projet'!$E$11+1,1))-AVERAGE(OFFSET($H$3,0,0,'Données projet'!$E$11+1,1))</f>
        <v>327.58421465651799</v>
      </c>
      <c r="BJ107" s="59">
        <f t="shared" si="92"/>
        <v>296.73904998640018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1.5562305321147045</v>
      </c>
      <c r="BQ107" s="21">
        <f>EXP(-LN(2)/25)*BQ106+(1-EXP(-LN(2)/25))/(LN(2)/25)*Calculateur!BL107*Calculateur!BN107*VLOOKUP('Données projet'!$B$11,Paramètres!$A$1:$I$89,3,0)*0.475*44/12</f>
        <v>1.7250639574939206</v>
      </c>
      <c r="BR107" s="21">
        <f>EXP(-LN(2)/2)*BR106+(1-EXP(-LN(2)/2))/(LN(2)/2)*BL107*BO107*VLOOKUP('Données projet'!$B$11,Paramètres!$A$1:$I$89,3,0)*0.475*44/12</f>
        <v>1.5216052581841967E-10</v>
      </c>
      <c r="BS107" s="22">
        <f t="shared" si="63"/>
        <v>3.2812944897607856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-5.6843418860808015E-13</v>
      </c>
      <c r="O108" s="13">
        <f>N108*VLOOKUP('Données projet'!$B$9,Paramètres!$A$1:$I$89,3,0)*VLOOKUP('Données projet'!$B$9,Paramètres!$A$1:$I$89,5,0)</f>
        <v>-3.177547114319168E-13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356.67698551373468</v>
      </c>
      <c r="T108" s="59">
        <f t="shared" si="88"/>
        <v>353.21836615408171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1.0343239954428769</v>
      </c>
      <c r="AA108" s="21">
        <f>EXP(-LN(2)/25)*AA107+(1-EXP(-LN(2)/25))/(LN(2)/25)*Calculateur!V108*Calculateur!X108*VLOOKUP('Données projet'!$B$9,Paramètres!$A$1:$I$89,3,0)*0.475*44/12</f>
        <v>3.7716185335669645</v>
      </c>
      <c r="AB108" s="21">
        <f>EXP(-LN(2)/2)*AB107+(1-EXP(-LN(2)/2))/(LN(2)/2)*V108*Y108*VLOOKUP('Données projet'!$B$9,Paramètres!$A$1:$I$89,3,0)*0.475*44/12</f>
        <v>1.6732220847249056E-10</v>
      </c>
      <c r="AC108" s="22">
        <f t="shared" si="57"/>
        <v>4.8059425291771634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285.77483300338548</v>
      </c>
      <c r="AO108" s="59">
        <f t="shared" si="90"/>
        <v>320.55212417690637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1.8893360085891018</v>
      </c>
      <c r="AV108" s="21">
        <f>EXP(-LN(2)/25)*AV107+(1-EXP(-LN(2)/25))/(LN(2)/25)*Calculateur!AQ108*Calculateur!AS108*VLOOKUP('Données projet'!$B$10,Paramètres!$A$1:$I$89,3,0)*0.475*44/12</f>
        <v>3.4837334637324284</v>
      </c>
      <c r="AW108" s="21">
        <f>EXP(-LN(2)/2)*AW107+(1-EXP(-LN(2)/2))/(LN(2)/2)*AQ108*AT108*VLOOKUP('Données projet'!$B$10,Paramètres!$A$1:$I$89,3,0)*0.475*44/12</f>
        <v>1.2554117508945253E-10</v>
      </c>
      <c r="AX108" s="21">
        <f t="shared" si="60"/>
        <v>5.3730694724470718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7.9580786405131221E-13</v>
      </c>
      <c r="BE108" s="13">
        <f>BD108*VLOOKUP('Données projet'!$B$11,Paramètres!$A$1:$I$89,3,0)*VLOOKUP('Données projet'!$B$11,Paramètres!$A$1:$I$89,5,0)</f>
        <v>3.8278358260868117E-13</v>
      </c>
      <c r="BF108" s="13">
        <f t="shared" si="91"/>
        <v>4.9186917125089072E-12</v>
      </c>
      <c r="BG108" s="20">
        <f t="shared" si="61"/>
        <v>9.2334028056631319E-12</v>
      </c>
      <c r="BH108" s="59">
        <f t="shared" si="62"/>
        <v>293.33333333334252</v>
      </c>
      <c r="BI108" s="59">
        <f ca="1">AVERAGE(OFFSET($BH$3,0,0,'Données projet'!$E$11+1,1))-AVERAGE(OFFSET($H$3,0,0,'Données projet'!$E$11+1,1))</f>
        <v>327.58421465651799</v>
      </c>
      <c r="BJ108" s="59">
        <f t="shared" si="92"/>
        <v>296.73904998640018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1.5257138005868334</v>
      </c>
      <c r="BQ108" s="21">
        <f>EXP(-LN(2)/25)*BQ107+(1-EXP(-LN(2)/25))/(LN(2)/25)*Calculateur!BL108*Calculateur!BN108*VLOOKUP('Données projet'!$B$11,Paramètres!$A$1:$I$89,3,0)*0.475*44/12</f>
        <v>1.6778919928590785</v>
      </c>
      <c r="BR108" s="21">
        <f>EXP(-LN(2)/2)*BR107+(1-EXP(-LN(2)/2))/(LN(2)/2)*BL108*BO108*VLOOKUP('Données projet'!$B$11,Paramètres!$A$1:$I$89,3,0)*0.475*44/12</f>
        <v>1.0759373963511529E-10</v>
      </c>
      <c r="BS108" s="22">
        <f t="shared" si="63"/>
        <v>3.2036057935535061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-5.6843418860808015E-13</v>
      </c>
      <c r="O109" s="13">
        <f>N109*VLOOKUP('Données projet'!$B$9,Paramètres!$A$1:$I$89,3,0)*VLOOKUP('Données projet'!$B$9,Paramètres!$A$1:$I$89,5,0)</f>
        <v>-3.177547114319168E-13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356.67698551373468</v>
      </c>
      <c r="T109" s="59">
        <f t="shared" si="88"/>
        <v>353.21836615408171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1.0140415327675856</v>
      </c>
      <c r="AA109" s="21">
        <f>EXP(-LN(2)/25)*AA108+(1-EXP(-LN(2)/25))/(LN(2)/25)*Calculateur!V109*Calculateur!X109*VLOOKUP('Données projet'!$B$9,Paramètres!$A$1:$I$89,3,0)*0.475*44/12</f>
        <v>3.6684834264257775</v>
      </c>
      <c r="AB109" s="21">
        <f>EXP(-LN(2)/2)*AB108+(1-EXP(-LN(2)/2))/(LN(2)/2)*V109*Y109*VLOOKUP('Données projet'!$B$9,Paramètres!$A$1:$I$89,3,0)*0.475*44/12</f>
        <v>1.1831466825400727E-10</v>
      </c>
      <c r="AC109" s="22">
        <f t="shared" si="57"/>
        <v>4.6825249593116771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285.77483300338548</v>
      </c>
      <c r="AO109" s="59">
        <f t="shared" si="90"/>
        <v>320.55212417690637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1.8522872818418465</v>
      </c>
      <c r="AV109" s="21">
        <f>EXP(-LN(2)/25)*AV108+(1-EXP(-LN(2)/25))/(LN(2)/25)*Calculateur!AQ109*Calculateur!AS109*VLOOKUP('Données projet'!$B$10,Paramètres!$A$1:$I$89,3,0)*0.475*44/12</f>
        <v>3.3884705889650846</v>
      </c>
      <c r="AW109" s="21">
        <f>EXP(-LN(2)/2)*AW108+(1-EXP(-LN(2)/2))/(LN(2)/2)*AQ109*AT109*VLOOKUP('Données projet'!$B$10,Paramètres!$A$1:$I$89,3,0)*0.475*44/12</f>
        <v>8.877101622387956E-11</v>
      </c>
      <c r="AX109" s="21">
        <f t="shared" si="60"/>
        <v>5.2407578708957017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7.9580786405131221E-13</v>
      </c>
      <c r="BE109" s="13">
        <f>BD109*VLOOKUP('Données projet'!$B$11,Paramètres!$A$1:$I$89,3,0)*VLOOKUP('Données projet'!$B$11,Paramètres!$A$1:$I$89,5,0)</f>
        <v>3.8278358260868117E-13</v>
      </c>
      <c r="BF109" s="13">
        <f t="shared" si="91"/>
        <v>4.9186917125089072E-12</v>
      </c>
      <c r="BG109" s="20">
        <f t="shared" si="61"/>
        <v>9.2334028056631319E-12</v>
      </c>
      <c r="BH109" s="59">
        <f t="shared" si="62"/>
        <v>293.33333333334252</v>
      </c>
      <c r="BI109" s="59">
        <f ca="1">AVERAGE(OFFSET($BH$3,0,0,'Données projet'!$E$11+1,1))-AVERAGE(OFFSET($H$3,0,0,'Données projet'!$E$11+1,1))</f>
        <v>327.58421465651799</v>
      </c>
      <c r="BJ109" s="59">
        <f t="shared" si="92"/>
        <v>296.73904998640018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1.4957954835508553</v>
      </c>
      <c r="BQ109" s="21">
        <f>EXP(-LN(2)/25)*BQ108+(1-EXP(-LN(2)/25))/(LN(2)/25)*Calculateur!BL109*Calculateur!BN109*VLOOKUP('Données projet'!$B$11,Paramètres!$A$1:$I$89,3,0)*0.475*44/12</f>
        <v>1.6320099480778421</v>
      </c>
      <c r="BR109" s="21">
        <f>EXP(-LN(2)/2)*BR108+(1-EXP(-LN(2)/2))/(LN(2)/2)*BL109*BO109*VLOOKUP('Données projet'!$B$11,Paramètres!$A$1:$I$89,3,0)*0.475*44/12</f>
        <v>7.6080262909209833E-11</v>
      </c>
      <c r="BS109" s="22">
        <f t="shared" si="63"/>
        <v>3.1278054317047781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-5.6843418860808015E-13</v>
      </c>
      <c r="O110" s="13">
        <f>N110*VLOOKUP('Données projet'!$B$9,Paramètres!$A$1:$I$89,3,0)*VLOOKUP('Données projet'!$B$9,Paramètres!$A$1:$I$89,5,0)</f>
        <v>-3.177547114319168E-13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356.67698551373468</v>
      </c>
      <c r="T110" s="59">
        <f t="shared" si="88"/>
        <v>353.21836615408171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0.99415679681427593</v>
      </c>
      <c r="AA110" s="21">
        <f>EXP(-LN(2)/25)*AA109+(1-EXP(-LN(2)/25))/(LN(2)/25)*Calculateur!V110*Calculateur!X110*VLOOKUP('Données projet'!$B$9,Paramètres!$A$1:$I$89,3,0)*0.475*44/12</f>
        <v>3.5681685542130057</v>
      </c>
      <c r="AB110" s="21">
        <f>EXP(-LN(2)/2)*AB109+(1-EXP(-LN(2)/2))/(LN(2)/2)*V110*Y110*VLOOKUP('Données projet'!$B$9,Paramètres!$A$1:$I$89,3,0)*0.475*44/12</f>
        <v>8.366110423624528E-11</v>
      </c>
      <c r="AC110" s="22">
        <f t="shared" si="57"/>
        <v>4.5623253511109425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285.77483300338548</v>
      </c>
      <c r="AO110" s="59">
        <f t="shared" si="90"/>
        <v>320.55212417690637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1.8159650580286131</v>
      </c>
      <c r="AV110" s="21">
        <f>EXP(-LN(2)/25)*AV109+(1-EXP(-LN(2)/25))/(LN(2)/25)*Calculateur!AQ110*Calculateur!AS110*VLOOKUP('Données projet'!$B$10,Paramètres!$A$1:$I$89,3,0)*0.475*44/12</f>
        <v>3.2958126825179104</v>
      </c>
      <c r="AW110" s="21">
        <f>EXP(-LN(2)/2)*AW109+(1-EXP(-LN(2)/2))/(LN(2)/2)*AQ110*AT110*VLOOKUP('Données projet'!$B$10,Paramètres!$A$1:$I$89,3,0)*0.475*44/12</f>
        <v>6.2770587544726263E-11</v>
      </c>
      <c r="AX110" s="21">
        <f t="shared" si="60"/>
        <v>5.1117777406092939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7.9580786405131221E-13</v>
      </c>
      <c r="BE110" s="13">
        <f>BD110*VLOOKUP('Données projet'!$B$11,Paramètres!$A$1:$I$89,3,0)*VLOOKUP('Données projet'!$B$11,Paramètres!$A$1:$I$89,5,0)</f>
        <v>3.8278358260868117E-13</v>
      </c>
      <c r="BF110" s="13">
        <f t="shared" si="91"/>
        <v>4.9186917125089072E-12</v>
      </c>
      <c r="BG110" s="20">
        <f t="shared" si="61"/>
        <v>9.2334028056631319E-12</v>
      </c>
      <c r="BH110" s="59">
        <f t="shared" si="62"/>
        <v>293.33333333334252</v>
      </c>
      <c r="BI110" s="59">
        <f ca="1">AVERAGE(OFFSET($BH$3,0,0,'Données projet'!$E$11+1,1))-AVERAGE(OFFSET($H$3,0,0,'Données projet'!$E$11+1,1))</f>
        <v>327.58421465651799</v>
      </c>
      <c r="BJ110" s="59">
        <f t="shared" si="92"/>
        <v>296.73904998640018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1.4664638464635815</v>
      </c>
      <c r="BQ110" s="21">
        <f>EXP(-LN(2)/25)*BQ109+(1-EXP(-LN(2)/25))/(LN(2)/25)*Calculateur!BL110*Calculateur!BN110*VLOOKUP('Données projet'!$B$11,Paramètres!$A$1:$I$89,3,0)*0.475*44/12</f>
        <v>1.5873825502239802</v>
      </c>
      <c r="BR110" s="21">
        <f>EXP(-LN(2)/2)*BR109+(1-EXP(-LN(2)/2))/(LN(2)/2)*BL110*BO110*VLOOKUP('Données projet'!$B$11,Paramètres!$A$1:$I$89,3,0)*0.475*44/12</f>
        <v>5.3796869817557645E-11</v>
      </c>
      <c r="BS110" s="22">
        <f t="shared" si="63"/>
        <v>3.0538463967413589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-5.6843418860808015E-13</v>
      </c>
      <c r="O111" s="13">
        <f>N111*VLOOKUP('Données projet'!$B$9,Paramètres!$A$1:$I$89,3,0)*VLOOKUP('Données projet'!$B$9,Paramètres!$A$1:$I$89,5,0)</f>
        <v>-3.177547114319168E-13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356.67698551373468</v>
      </c>
      <c r="T111" s="59">
        <f t="shared" si="88"/>
        <v>353.21836615408171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0.97466198840451945</v>
      </c>
      <c r="AA111" s="21">
        <f>EXP(-LN(2)/25)*AA110+(1-EXP(-LN(2)/25))/(LN(2)/25)*Calculateur!V111*Calculateur!X111*VLOOKUP('Données projet'!$B$9,Paramètres!$A$1:$I$89,3,0)*0.475*44/12</f>
        <v>3.470596797456222</v>
      </c>
      <c r="AB111" s="21">
        <f>EXP(-LN(2)/2)*AB110+(1-EXP(-LN(2)/2))/(LN(2)/2)*V111*Y111*VLOOKUP('Données projet'!$B$9,Paramètres!$A$1:$I$89,3,0)*0.475*44/12</f>
        <v>5.9157334127003636E-11</v>
      </c>
      <c r="AC111" s="22">
        <f t="shared" si="57"/>
        <v>4.4452587859198989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285.77483300338548</v>
      </c>
      <c r="AO111" s="59">
        <f t="shared" si="90"/>
        <v>320.55212417690637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1.7803550908699881</v>
      </c>
      <c r="AV111" s="21">
        <f>EXP(-LN(2)/25)*AV110+(1-EXP(-LN(2)/25))/(LN(2)/25)*Calculateur!AQ111*Calculateur!AS111*VLOOKUP('Données projet'!$B$10,Paramètres!$A$1:$I$89,3,0)*0.475*44/12</f>
        <v>3.2056885113952016</v>
      </c>
      <c r="AW111" s="21">
        <f>EXP(-LN(2)/2)*AW110+(1-EXP(-LN(2)/2))/(LN(2)/2)*AQ111*AT111*VLOOKUP('Données projet'!$B$10,Paramètres!$A$1:$I$89,3,0)*0.475*44/12</f>
        <v>4.438550811193978E-11</v>
      </c>
      <c r="AX111" s="21">
        <f t="shared" si="60"/>
        <v>4.9860436023095751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7.9580786405131221E-13</v>
      </c>
      <c r="BE111" s="13">
        <f>BD111*VLOOKUP('Données projet'!$B$11,Paramètres!$A$1:$I$89,3,0)*VLOOKUP('Données projet'!$B$11,Paramètres!$A$1:$I$89,5,0)</f>
        <v>3.8278358260868117E-13</v>
      </c>
      <c r="BF111" s="13">
        <f t="shared" si="91"/>
        <v>4.9186917125089072E-12</v>
      </c>
      <c r="BG111" s="20">
        <f t="shared" si="61"/>
        <v>9.2334028056631319E-12</v>
      </c>
      <c r="BH111" s="59">
        <f t="shared" si="62"/>
        <v>293.33333333334252</v>
      </c>
      <c r="BI111" s="59">
        <f ca="1">AVERAGE(OFFSET($BH$3,0,0,'Données projet'!$E$11+1,1))-AVERAGE(OFFSET($H$3,0,0,'Données projet'!$E$11+1,1))</f>
        <v>327.58421465651799</v>
      </c>
      <c r="BJ111" s="59">
        <f t="shared" si="92"/>
        <v>296.73904998640018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1.4377073848890569</v>
      </c>
      <c r="BQ111" s="21">
        <f>EXP(-LN(2)/25)*BQ110+(1-EXP(-LN(2)/25))/(LN(2)/25)*Calculateur!BL111*Calculateur!BN111*VLOOKUP('Données projet'!$B$11,Paramètres!$A$1:$I$89,3,0)*0.475*44/12</f>
        <v>1.5439754909112853</v>
      </c>
      <c r="BR111" s="21">
        <f>EXP(-LN(2)/2)*BR110+(1-EXP(-LN(2)/2))/(LN(2)/2)*BL111*BO111*VLOOKUP('Données projet'!$B$11,Paramètres!$A$1:$I$89,3,0)*0.475*44/12</f>
        <v>3.8040131454604916E-11</v>
      </c>
      <c r="BS111" s="22">
        <f t="shared" si="63"/>
        <v>2.9816828758383824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-5.6843418860808015E-13</v>
      </c>
      <c r="O112" s="13">
        <f>N112*VLOOKUP('Données projet'!$B$9,Paramètres!$A$1:$I$89,3,0)*VLOOKUP('Données projet'!$B$9,Paramètres!$A$1:$I$89,5,0)</f>
        <v>-3.177547114319168E-13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356.67698551373468</v>
      </c>
      <c r="T112" s="59">
        <f t="shared" si="88"/>
        <v>353.21836615408171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0.95554946129701923</v>
      </c>
      <c r="AA112" s="21">
        <f>EXP(-LN(2)/25)*AA111+(1-EXP(-LN(2)/25))/(LN(2)/25)*Calculateur!V112*Calculateur!X112*VLOOKUP('Données projet'!$B$9,Paramètres!$A$1:$I$89,3,0)*0.475*44/12</f>
        <v>3.375693145519028</v>
      </c>
      <c r="AB112" s="21">
        <f>EXP(-LN(2)/2)*AB111+(1-EXP(-LN(2)/2))/(LN(2)/2)*V112*Y112*VLOOKUP('Données projet'!$B$9,Paramètres!$A$1:$I$89,3,0)*0.475*44/12</f>
        <v>4.183055211812264E-11</v>
      </c>
      <c r="AC112" s="22">
        <f t="shared" si="57"/>
        <v>4.3312426068578782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285.77483300338548</v>
      </c>
      <c r="AO112" s="59">
        <f t="shared" si="90"/>
        <v>320.55212417690637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1.7454434134474084</v>
      </c>
      <c r="AV112" s="21">
        <f>EXP(-LN(2)/25)*AV111+(1-EXP(-LN(2)/25))/(LN(2)/25)*Calculateur!AQ112*Calculateur!AS112*VLOOKUP('Données projet'!$B$10,Paramètres!$A$1:$I$89,3,0)*0.475*44/12</f>
        <v>3.1180287904712678</v>
      </c>
      <c r="AW112" s="21">
        <f>EXP(-LN(2)/2)*AW111+(1-EXP(-LN(2)/2))/(LN(2)/2)*AQ112*AT112*VLOOKUP('Données projet'!$B$10,Paramètres!$A$1:$I$89,3,0)*0.475*44/12</f>
        <v>3.1385293772363132E-11</v>
      </c>
      <c r="AX112" s="21">
        <f t="shared" si="60"/>
        <v>4.863472203950062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7.9580786405131221E-13</v>
      </c>
      <c r="BE112" s="13">
        <f>BD112*VLOOKUP('Données projet'!$B$11,Paramètres!$A$1:$I$89,3,0)*VLOOKUP('Données projet'!$B$11,Paramètres!$A$1:$I$89,5,0)</f>
        <v>3.8278358260868117E-13</v>
      </c>
      <c r="BF112" s="13">
        <f t="shared" si="91"/>
        <v>4.9186917125089072E-12</v>
      </c>
      <c r="BG112" s="20">
        <f t="shared" si="61"/>
        <v>9.2334028056631319E-12</v>
      </c>
      <c r="BH112" s="59">
        <f t="shared" si="62"/>
        <v>293.33333333334252</v>
      </c>
      <c r="BI112" s="59">
        <f ca="1">AVERAGE(OFFSET($BH$3,0,0,'Données projet'!$E$11+1,1))-AVERAGE(OFFSET($H$3,0,0,'Données projet'!$E$11+1,1))</f>
        <v>327.58421465651799</v>
      </c>
      <c r="BJ112" s="59">
        <f t="shared" si="92"/>
        <v>296.73904998640018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1.4095148199862992</v>
      </c>
      <c r="BQ112" s="21">
        <f>EXP(-LN(2)/25)*BQ111+(1-EXP(-LN(2)/25))/(LN(2)/25)*Calculateur!BL112*Calculateur!BN112*VLOOKUP('Données projet'!$B$11,Paramètres!$A$1:$I$89,3,0)*0.475*44/12</f>
        <v>1.5017553999181739</v>
      </c>
      <c r="BR112" s="21">
        <f>EXP(-LN(2)/2)*BR111+(1-EXP(-LN(2)/2))/(LN(2)/2)*BL112*BO112*VLOOKUP('Données projet'!$B$11,Paramètres!$A$1:$I$89,3,0)*0.475*44/12</f>
        <v>2.6898434908778823E-11</v>
      </c>
      <c r="BS112" s="22">
        <f t="shared" si="63"/>
        <v>2.9112702199313718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-5.6843418860808015E-13</v>
      </c>
      <c r="O113" s="13">
        <f>N113*VLOOKUP('Données projet'!$B$9,Paramètres!$A$1:$I$89,3,0)*VLOOKUP('Données projet'!$B$9,Paramètres!$A$1:$I$89,5,0)</f>
        <v>-3.177547114319168E-13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356.67698551373468</v>
      </c>
      <c r="T113" s="59">
        <f t="shared" si="88"/>
        <v>353.21836615408171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0.93681171918860662</v>
      </c>
      <c r="AA113" s="21">
        <f>EXP(-LN(2)/25)*AA112+(1-EXP(-LN(2)/25))/(LN(2)/25)*Calculateur!V113*Calculateur!X113*VLOOKUP('Données projet'!$B$9,Paramètres!$A$1:$I$89,3,0)*0.475*44/12</f>
        <v>3.2833846389348227</v>
      </c>
      <c r="AB113" s="21">
        <f>EXP(-LN(2)/2)*AB112+(1-EXP(-LN(2)/2))/(LN(2)/2)*V113*Y113*VLOOKUP('Données projet'!$B$9,Paramètres!$A$1:$I$89,3,0)*0.475*44/12</f>
        <v>2.9578667063501818E-11</v>
      </c>
      <c r="AC113" s="22">
        <f t="shared" si="57"/>
        <v>4.2201963581530082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285.77483300338548</v>
      </c>
      <c r="AO113" s="59">
        <f t="shared" si="90"/>
        <v>320.55212417690637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1.7112163327250649</v>
      </c>
      <c r="AV113" s="21">
        <f>EXP(-LN(2)/25)*AV112+(1-EXP(-LN(2)/25))/(LN(2)/25)*Calculateur!AQ113*Calculateur!AS113*VLOOKUP('Données projet'!$B$10,Paramètres!$A$1:$I$89,3,0)*0.475*44/12</f>
        <v>3.0327661292258234</v>
      </c>
      <c r="AW113" s="21">
        <f>EXP(-LN(2)/2)*AW112+(1-EXP(-LN(2)/2))/(LN(2)/2)*AQ113*AT113*VLOOKUP('Données projet'!$B$10,Paramètres!$A$1:$I$89,3,0)*0.475*44/12</f>
        <v>2.219275405596989E-11</v>
      </c>
      <c r="AX113" s="21">
        <f t="shared" si="60"/>
        <v>4.743982461973081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7.9580786405131221E-13</v>
      </c>
      <c r="BE113" s="13">
        <f>BD113*VLOOKUP('Données projet'!$B$11,Paramètres!$A$1:$I$89,3,0)*VLOOKUP('Données projet'!$B$11,Paramètres!$A$1:$I$89,5,0)</f>
        <v>3.8278358260868117E-13</v>
      </c>
      <c r="BF113" s="13">
        <f t="shared" si="91"/>
        <v>4.9186917125089072E-12</v>
      </c>
      <c r="BG113" s="20">
        <f t="shared" si="61"/>
        <v>9.2334028056631319E-12</v>
      </c>
      <c r="BH113" s="59">
        <f t="shared" si="62"/>
        <v>293.33333333334252</v>
      </c>
      <c r="BI113" s="59">
        <f ca="1">AVERAGE(OFFSET($BH$3,0,0,'Données projet'!$E$11+1,1))-AVERAGE(OFFSET($H$3,0,0,'Données projet'!$E$11+1,1))</f>
        <v>327.58421465651799</v>
      </c>
      <c r="BJ113" s="59">
        <f t="shared" si="92"/>
        <v>296.73904998640018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1.3818750940855178</v>
      </c>
      <c r="BQ113" s="21">
        <f>EXP(-LN(2)/25)*BQ112+(1-EXP(-LN(2)/25))/(LN(2)/25)*Calculateur!BL113*Calculateur!BN113*VLOOKUP('Données projet'!$B$11,Paramètres!$A$1:$I$89,3,0)*0.475*44/12</f>
        <v>1.4606898195335272</v>
      </c>
      <c r="BR113" s="21">
        <f>EXP(-LN(2)/2)*BR112+(1-EXP(-LN(2)/2))/(LN(2)/2)*BL113*BO113*VLOOKUP('Données projet'!$B$11,Paramètres!$A$1:$I$89,3,0)*0.475*44/12</f>
        <v>1.9020065727302458E-11</v>
      </c>
      <c r="BS113" s="22">
        <f t="shared" si="63"/>
        <v>2.8425649136380646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-5.6843418860808015E-13</v>
      </c>
      <c r="O114" s="13">
        <f>N114*VLOOKUP('Données projet'!$B$9,Paramètres!$A$1:$I$89,3,0)*VLOOKUP('Données projet'!$B$9,Paramètres!$A$1:$I$89,5,0)</f>
        <v>-3.177547114319168E-13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356.67698551373468</v>
      </c>
      <c r="T114" s="59">
        <f t="shared" si="88"/>
        <v>353.21836615408171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0.91844141277404578</v>
      </c>
      <c r="AA114" s="21">
        <f>EXP(-LN(2)/25)*AA113+(1-EXP(-LN(2)/25))/(LN(2)/25)*Calculateur!V114*Calculateur!X114*VLOOKUP('Données projet'!$B$9,Paramètres!$A$1:$I$89,3,0)*0.475*44/12</f>
        <v>3.193600313317456</v>
      </c>
      <c r="AB114" s="21">
        <f>EXP(-LN(2)/2)*AB113+(1-EXP(-LN(2)/2))/(LN(2)/2)*V114*Y114*VLOOKUP('Données projet'!$B$9,Paramètres!$A$1:$I$89,3,0)*0.475*44/12</f>
        <v>2.091527605906132E-11</v>
      </c>
      <c r="AC114" s="22">
        <f t="shared" si="57"/>
        <v>4.1120417261124178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285.77483300338548</v>
      </c>
      <c r="AO114" s="59">
        <f t="shared" si="90"/>
        <v>320.55212417690637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1.6776604241792288</v>
      </c>
      <c r="AV114" s="21">
        <f>EXP(-LN(2)/25)*AV113+(1-EXP(-LN(2)/25))/(LN(2)/25)*Calculateur!AQ114*Calculateur!AS114*VLOOKUP('Données projet'!$B$10,Paramètres!$A$1:$I$89,3,0)*0.475*44/12</f>
        <v>2.949834979935904</v>
      </c>
      <c r="AW114" s="21">
        <f>EXP(-LN(2)/2)*AW113+(1-EXP(-LN(2)/2))/(LN(2)/2)*AQ114*AT114*VLOOKUP('Données projet'!$B$10,Paramètres!$A$1:$I$89,3,0)*0.475*44/12</f>
        <v>1.5692646886181566E-11</v>
      </c>
      <c r="AX114" s="21">
        <f t="shared" si="60"/>
        <v>4.6274954041308254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7.9580786405131221E-13</v>
      </c>
      <c r="BE114" s="13">
        <f>BD114*VLOOKUP('Données projet'!$B$11,Paramètres!$A$1:$I$89,3,0)*VLOOKUP('Données projet'!$B$11,Paramètres!$A$1:$I$89,5,0)</f>
        <v>3.8278358260868117E-13</v>
      </c>
      <c r="BF114" s="13">
        <f t="shared" si="91"/>
        <v>4.9186917125089072E-12</v>
      </c>
      <c r="BG114" s="20">
        <f t="shared" si="61"/>
        <v>9.2334028056631319E-12</v>
      </c>
      <c r="BH114" s="59">
        <f t="shared" si="62"/>
        <v>293.33333333334252</v>
      </c>
      <c r="BI114" s="59">
        <f ca="1">AVERAGE(OFFSET($BH$3,0,0,'Données projet'!$E$11+1,1))-AVERAGE(OFFSET($H$3,0,0,'Données projet'!$E$11+1,1))</f>
        <v>327.58421465651799</v>
      </c>
      <c r="BJ114" s="59">
        <f t="shared" si="92"/>
        <v>296.73904998640018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1.3547773663510827</v>
      </c>
      <c r="BQ114" s="21">
        <f>EXP(-LN(2)/25)*BQ113+(1-EXP(-LN(2)/25))/(LN(2)/25)*Calculateur!BL114*Calculateur!BN114*VLOOKUP('Données projet'!$B$11,Paramètres!$A$1:$I$89,3,0)*0.475*44/12</f>
        <v>1.4207471796040436</v>
      </c>
      <c r="BR114" s="21">
        <f>EXP(-LN(2)/2)*BR113+(1-EXP(-LN(2)/2))/(LN(2)/2)*BL114*BO114*VLOOKUP('Données projet'!$B$11,Paramètres!$A$1:$I$89,3,0)*0.475*44/12</f>
        <v>1.3449217454389411E-11</v>
      </c>
      <c r="BS114" s="22">
        <f t="shared" si="63"/>
        <v>2.7755245459685756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-5.6843418860808015E-13</v>
      </c>
      <c r="O115" s="13">
        <f>N115*VLOOKUP('Données projet'!$B$9,Paramètres!$A$1:$I$89,3,0)*VLOOKUP('Données projet'!$B$9,Paramètres!$A$1:$I$89,5,0)</f>
        <v>-3.177547114319168E-13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356.67698551373468</v>
      </c>
      <c r="T115" s="59">
        <f t="shared" si="88"/>
        <v>353.21836615408171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0.90043133686349397</v>
      </c>
      <c r="AA115" s="21">
        <f>EXP(-LN(2)/25)*AA114+(1-EXP(-LN(2)/25))/(LN(2)/25)*Calculateur!V115*Calculateur!X115*VLOOKUP('Données projet'!$B$9,Paramètres!$A$1:$I$89,3,0)*0.475*44/12</f>
        <v>3.1062711448056488</v>
      </c>
      <c r="AB115" s="21">
        <f>EXP(-LN(2)/2)*AB114+(1-EXP(-LN(2)/2))/(LN(2)/2)*V115*Y115*VLOOKUP('Données projet'!$B$9,Paramètres!$A$1:$I$89,3,0)*0.475*44/12</f>
        <v>1.4789333531750909E-11</v>
      </c>
      <c r="AC115" s="22">
        <f t="shared" si="57"/>
        <v>4.0067024816839316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285.77483300338548</v>
      </c>
      <c r="AO115" s="59">
        <f t="shared" si="90"/>
        <v>320.55212417690637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1.6447625265328931</v>
      </c>
      <c r="AV115" s="21">
        <f>EXP(-LN(2)/25)*AV114+(1-EXP(-LN(2)/25))/(LN(2)/25)*Calculateur!AQ115*Calculateur!AS115*VLOOKUP('Données projet'!$B$10,Paramètres!$A$1:$I$89,3,0)*0.475*44/12</f>
        <v>2.8691715872844772</v>
      </c>
      <c r="AW115" s="21">
        <f>EXP(-LN(2)/2)*AW114+(1-EXP(-LN(2)/2))/(LN(2)/2)*AQ115*AT115*VLOOKUP('Données projet'!$B$10,Paramètres!$A$1:$I$89,3,0)*0.475*44/12</f>
        <v>1.1096377027984945E-11</v>
      </c>
      <c r="AX115" s="21">
        <f t="shared" si="60"/>
        <v>4.5139341138284665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7.9580786405131221E-13</v>
      </c>
      <c r="BE115" s="13">
        <f>BD115*VLOOKUP('Données projet'!$B$11,Paramètres!$A$1:$I$89,3,0)*VLOOKUP('Données projet'!$B$11,Paramètres!$A$1:$I$89,5,0)</f>
        <v>3.8278358260868117E-13</v>
      </c>
      <c r="BF115" s="13">
        <f t="shared" si="91"/>
        <v>4.9186917125089072E-12</v>
      </c>
      <c r="BG115" s="20">
        <f t="shared" si="61"/>
        <v>9.2334028056631319E-12</v>
      </c>
      <c r="BH115" s="59">
        <f t="shared" si="62"/>
        <v>293.33333333334252</v>
      </c>
      <c r="BI115" s="59">
        <f ca="1">AVERAGE(OFFSET($BH$3,0,0,'Données projet'!$E$11+1,1))-AVERAGE(OFFSET($H$3,0,0,'Données projet'!$E$11+1,1))</f>
        <v>327.58421465651799</v>
      </c>
      <c r="BJ115" s="59">
        <f t="shared" si="92"/>
        <v>296.73904998640018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1.3282110085295378</v>
      </c>
      <c r="BQ115" s="21">
        <f>EXP(-LN(2)/25)*BQ114+(1-EXP(-LN(2)/25))/(LN(2)/25)*Calculateur!BL115*Calculateur!BN115*VLOOKUP('Données projet'!$B$11,Paramètres!$A$1:$I$89,3,0)*0.475*44/12</f>
        <v>1.381896773263924</v>
      </c>
      <c r="BR115" s="21">
        <f>EXP(-LN(2)/2)*BR114+(1-EXP(-LN(2)/2))/(LN(2)/2)*BL115*BO115*VLOOKUP('Données projet'!$B$11,Paramètres!$A$1:$I$89,3,0)*0.475*44/12</f>
        <v>9.5100328636512291E-12</v>
      </c>
      <c r="BS115" s="22">
        <f t="shared" si="63"/>
        <v>2.710107781802972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-5.6843418860808015E-13</v>
      </c>
      <c r="O116" s="13">
        <f>N116*VLOOKUP('Données projet'!$B$9,Paramètres!$A$1:$I$89,3,0)*VLOOKUP('Données projet'!$B$9,Paramètres!$A$1:$I$89,5,0)</f>
        <v>-3.177547114319168E-13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356.67698551373468</v>
      </c>
      <c r="T116" s="59">
        <f t="shared" si="88"/>
        <v>353.21836615408171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0.8827744275564865</v>
      </c>
      <c r="AA116" s="21">
        <f>EXP(-LN(2)/25)*AA115+(1-EXP(-LN(2)/25))/(LN(2)/25)*Calculateur!V116*Calculateur!X116*VLOOKUP('Données projet'!$B$9,Paramètres!$A$1:$I$89,3,0)*0.475*44/12</f>
        <v>3.0213299969992384</v>
      </c>
      <c r="AB116" s="21">
        <f>EXP(-LN(2)/2)*AB115+(1-EXP(-LN(2)/2))/(LN(2)/2)*V116*Y116*VLOOKUP('Données projet'!$B$9,Paramètres!$A$1:$I$89,3,0)*0.475*44/12</f>
        <v>1.045763802953066E-11</v>
      </c>
      <c r="AC116" s="22">
        <f t="shared" si="57"/>
        <v>3.9041044245661829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285.77483300338548</v>
      </c>
      <c r="AO116" s="59">
        <f t="shared" si="90"/>
        <v>320.55212417690637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1.6125097365936658</v>
      </c>
      <c r="AV116" s="21">
        <f>EXP(-LN(2)/25)*AV115+(1-EXP(-LN(2)/25))/(LN(2)/25)*Calculateur!AQ116*Calculateur!AS116*VLOOKUP('Données projet'!$B$10,Paramètres!$A$1:$I$89,3,0)*0.475*44/12</f>
        <v>2.7907139393470071</v>
      </c>
      <c r="AW116" s="21">
        <f>EXP(-LN(2)/2)*AW115+(1-EXP(-LN(2)/2))/(LN(2)/2)*AQ116*AT116*VLOOKUP('Données projet'!$B$10,Paramètres!$A$1:$I$89,3,0)*0.475*44/12</f>
        <v>7.8463234430907829E-12</v>
      </c>
      <c r="AX116" s="21">
        <f t="shared" si="60"/>
        <v>4.403223675948519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7.9580786405131221E-13</v>
      </c>
      <c r="BE116" s="13">
        <f>BD116*VLOOKUP('Données projet'!$B$11,Paramètres!$A$1:$I$89,3,0)*VLOOKUP('Données projet'!$B$11,Paramètres!$A$1:$I$89,5,0)</f>
        <v>3.8278358260868117E-13</v>
      </c>
      <c r="BF116" s="13">
        <f t="shared" si="91"/>
        <v>4.9186917125089072E-12</v>
      </c>
      <c r="BG116" s="20">
        <f t="shared" si="61"/>
        <v>9.2334028056631319E-12</v>
      </c>
      <c r="BH116" s="59">
        <f t="shared" si="62"/>
        <v>293.33333333334252</v>
      </c>
      <c r="BI116" s="59">
        <f ca="1">AVERAGE(OFFSET($BH$3,0,0,'Données projet'!$E$11+1,1))-AVERAGE(OFFSET($H$3,0,0,'Données projet'!$E$11+1,1))</f>
        <v>327.58421465651799</v>
      </c>
      <c r="BJ116" s="59">
        <f t="shared" si="92"/>
        <v>296.73904998640018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1.3021656007809952</v>
      </c>
      <c r="BQ116" s="21">
        <f>EXP(-LN(2)/25)*BQ115+(1-EXP(-LN(2)/25))/(LN(2)/25)*Calculateur!BL116*Calculateur!BN116*VLOOKUP('Données projet'!$B$11,Paramètres!$A$1:$I$89,3,0)*0.475*44/12</f>
        <v>1.3441087333282291</v>
      </c>
      <c r="BR116" s="21">
        <f>EXP(-LN(2)/2)*BR115+(1-EXP(-LN(2)/2))/(LN(2)/2)*BL116*BO116*VLOOKUP('Données projet'!$B$11,Paramètres!$A$1:$I$89,3,0)*0.475*44/12</f>
        <v>6.7246087271947057E-12</v>
      </c>
      <c r="BS116" s="22">
        <f t="shared" si="63"/>
        <v>2.6462743341159487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-5.6843418860808015E-13</v>
      </c>
      <c r="O117" s="13">
        <f>N117*VLOOKUP('Données projet'!$B$9,Paramètres!$A$1:$I$89,3,0)*VLOOKUP('Données projet'!$B$9,Paramètres!$A$1:$I$89,5,0)</f>
        <v>-3.177547114319168E-13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356.67698551373468</v>
      </c>
      <c r="T117" s="59">
        <f t="shared" si="88"/>
        <v>353.21836615408171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0.86546375947133813</v>
      </c>
      <c r="AA117" s="21">
        <f>EXP(-LN(2)/25)*AA116+(1-EXP(-LN(2)/25))/(LN(2)/25)*Calculateur!V117*Calculateur!X117*VLOOKUP('Données projet'!$B$9,Paramètres!$A$1:$I$89,3,0)*0.475*44/12</f>
        <v>2.9387115693464549</v>
      </c>
      <c r="AB117" s="21">
        <f>EXP(-LN(2)/2)*AB116+(1-EXP(-LN(2)/2))/(LN(2)/2)*V117*Y117*VLOOKUP('Données projet'!$B$9,Paramètres!$A$1:$I$89,3,0)*0.475*44/12</f>
        <v>7.3946667658754545E-12</v>
      </c>
      <c r="AC117" s="22">
        <f t="shared" si="57"/>
        <v>3.8041753288251878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285.77483300338548</v>
      </c>
      <c r="AO117" s="59">
        <f t="shared" si="90"/>
        <v>320.55212417690637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1.5808894041928874</v>
      </c>
      <c r="AV117" s="21">
        <f>EXP(-LN(2)/25)*AV116+(1-EXP(-LN(2)/25))/(LN(2)/25)*Calculateur!AQ117*Calculateur!AS117*VLOOKUP('Données projet'!$B$10,Paramètres!$A$1:$I$89,3,0)*0.475*44/12</f>
        <v>2.7144017199182953</v>
      </c>
      <c r="AW117" s="21">
        <f>EXP(-LN(2)/2)*AW116+(1-EXP(-LN(2)/2))/(LN(2)/2)*AQ117*AT117*VLOOKUP('Données projet'!$B$10,Paramètres!$A$1:$I$89,3,0)*0.475*44/12</f>
        <v>5.5481885139924725E-12</v>
      </c>
      <c r="AX117" s="21">
        <f t="shared" si="60"/>
        <v>4.2952911241167309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7.9580786405131221E-13</v>
      </c>
      <c r="BE117" s="13">
        <f>BD117*VLOOKUP('Données projet'!$B$11,Paramètres!$A$1:$I$89,3,0)*VLOOKUP('Données projet'!$B$11,Paramètres!$A$1:$I$89,5,0)</f>
        <v>3.8278358260868117E-13</v>
      </c>
      <c r="BF117" s="13">
        <f t="shared" si="91"/>
        <v>4.9186917125089072E-12</v>
      </c>
      <c r="BG117" s="20">
        <f t="shared" si="61"/>
        <v>9.2334028056631319E-12</v>
      </c>
      <c r="BH117" s="59">
        <f t="shared" si="62"/>
        <v>293.33333333334252</v>
      </c>
      <c r="BI117" s="59">
        <f ca="1">AVERAGE(OFFSET($BH$3,0,0,'Données projet'!$E$11+1,1))-AVERAGE(OFFSET($H$3,0,0,'Données projet'!$E$11+1,1))</f>
        <v>327.58421465651799</v>
      </c>
      <c r="BJ117" s="59">
        <f t="shared" si="92"/>
        <v>296.73904998640018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1.2766309275922714</v>
      </c>
      <c r="BQ117" s="21">
        <f>EXP(-LN(2)/25)*BQ116+(1-EXP(-LN(2)/25))/(LN(2)/25)*Calculateur!BL117*Calculateur!BN117*VLOOKUP('Données projet'!$B$11,Paramètres!$A$1:$I$89,3,0)*0.475*44/12</f>
        <v>1.3073540093317624</v>
      </c>
      <c r="BR117" s="21">
        <f>EXP(-LN(2)/2)*BR116+(1-EXP(-LN(2)/2))/(LN(2)/2)*BL117*BO117*VLOOKUP('Données projet'!$B$11,Paramètres!$A$1:$I$89,3,0)*0.475*44/12</f>
        <v>4.7550164318256145E-12</v>
      </c>
      <c r="BS117" s="22">
        <f t="shared" si="63"/>
        <v>2.5839849369287884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-5.6843418860808015E-13</v>
      </c>
      <c r="O118" s="13">
        <f>N118*VLOOKUP('Données projet'!$B$9,Paramètres!$A$1:$I$89,3,0)*VLOOKUP('Données projet'!$B$9,Paramètres!$A$1:$I$89,5,0)</f>
        <v>-3.177547114319168E-13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356.67698551373468</v>
      </c>
      <c r="T118" s="59">
        <f t="shared" si="88"/>
        <v>353.21836615408171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0.84849254302887456</v>
      </c>
      <c r="AA118" s="21">
        <f>EXP(-LN(2)/25)*AA117+(1-EXP(-LN(2)/25))/(LN(2)/25)*Calculateur!V118*Calculateur!X118*VLOOKUP('Données projet'!$B$9,Paramètres!$A$1:$I$89,3,0)*0.475*44/12</f>
        <v>2.8583523469425511</v>
      </c>
      <c r="AB118" s="21">
        <f>EXP(-LN(2)/2)*AB117+(1-EXP(-LN(2)/2))/(LN(2)/2)*V118*Y118*VLOOKUP('Données projet'!$B$9,Paramètres!$A$1:$I$89,3,0)*0.475*44/12</f>
        <v>5.22881901476533E-12</v>
      </c>
      <c r="AC118" s="22">
        <f t="shared" si="57"/>
        <v>3.7068448899766544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285.77483300338548</v>
      </c>
      <c r="AO118" s="59">
        <f t="shared" si="90"/>
        <v>320.55212417690637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1.5498891272239899</v>
      </c>
      <c r="AV118" s="21">
        <f>EXP(-LN(2)/25)*AV117+(1-EXP(-LN(2)/25))/(LN(2)/25)*Calculateur!AQ118*Calculateur!AS118*VLOOKUP('Données projet'!$B$10,Paramètres!$A$1:$I$89,3,0)*0.475*44/12</f>
        <v>2.6401762621429468</v>
      </c>
      <c r="AW118" s="21">
        <f>EXP(-LN(2)/2)*AW117+(1-EXP(-LN(2)/2))/(LN(2)/2)*AQ118*AT118*VLOOKUP('Données projet'!$B$10,Paramètres!$A$1:$I$89,3,0)*0.475*44/12</f>
        <v>3.9231617215453914E-12</v>
      </c>
      <c r="AX118" s="21">
        <f t="shared" si="60"/>
        <v>4.1900653893708597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7.9580786405131221E-13</v>
      </c>
      <c r="BE118" s="13">
        <f>BD118*VLOOKUP('Données projet'!$B$11,Paramètres!$A$1:$I$89,3,0)*VLOOKUP('Données projet'!$B$11,Paramètres!$A$1:$I$89,5,0)</f>
        <v>3.8278358260868117E-13</v>
      </c>
      <c r="BF118" s="13">
        <f t="shared" si="91"/>
        <v>4.9186917125089072E-12</v>
      </c>
      <c r="BG118" s="20">
        <f t="shared" si="61"/>
        <v>9.2334028056631319E-12</v>
      </c>
      <c r="BH118" s="59">
        <f t="shared" si="62"/>
        <v>293.33333333334252</v>
      </c>
      <c r="BI118" s="59">
        <f ca="1">AVERAGE(OFFSET($BH$3,0,0,'Données projet'!$E$11+1,1))-AVERAGE(OFFSET($H$3,0,0,'Données projet'!$E$11+1,1))</f>
        <v>327.58421465651799</v>
      </c>
      <c r="BJ118" s="59">
        <f t="shared" si="92"/>
        <v>296.73904998640018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1.2515969737701658</v>
      </c>
      <c r="BQ118" s="21">
        <f>EXP(-LN(2)/25)*BQ117+(1-EXP(-LN(2)/25))/(LN(2)/25)*Calculateur!BL118*Calculateur!BN118*VLOOKUP('Données projet'!$B$11,Paramètres!$A$1:$I$89,3,0)*0.475*44/12</f>
        <v>1.2716043451958259</v>
      </c>
      <c r="BR118" s="21">
        <f>EXP(-LN(2)/2)*BR117+(1-EXP(-LN(2)/2))/(LN(2)/2)*BL118*BO118*VLOOKUP('Données projet'!$B$11,Paramètres!$A$1:$I$89,3,0)*0.475*44/12</f>
        <v>3.3623043635973528E-12</v>
      </c>
      <c r="BS118" s="22">
        <f t="shared" si="63"/>
        <v>2.5232013189693538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-5.6843418860808015E-13</v>
      </c>
      <c r="O119" s="13">
        <f>N119*VLOOKUP('Données projet'!$B$9,Paramètres!$A$1:$I$89,3,0)*VLOOKUP('Données projet'!$B$9,Paramètres!$A$1:$I$89,5,0)</f>
        <v>-3.177547114319168E-13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356.67698551373468</v>
      </c>
      <c r="T119" s="59">
        <f t="shared" si="88"/>
        <v>353.21836615408171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0.83185412178942775</v>
      </c>
      <c r="AA119" s="21">
        <f>EXP(-LN(2)/25)*AA118+(1-EXP(-LN(2)/25))/(LN(2)/25)*Calculateur!V119*Calculateur!X119*VLOOKUP('Données projet'!$B$9,Paramètres!$A$1:$I$89,3,0)*0.475*44/12</f>
        <v>2.7801905517011898</v>
      </c>
      <c r="AB119" s="21">
        <f>EXP(-LN(2)/2)*AB118+(1-EXP(-LN(2)/2))/(LN(2)/2)*V119*Y119*VLOOKUP('Données projet'!$B$9,Paramètres!$A$1:$I$89,3,0)*0.475*44/12</f>
        <v>3.6973333829377272E-12</v>
      </c>
      <c r="AC119" s="22">
        <f t="shared" si="57"/>
        <v>3.612044673494315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285.77483300338548</v>
      </c>
      <c r="AO119" s="59">
        <f t="shared" si="90"/>
        <v>320.55212417690637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1.5194967467781506</v>
      </c>
      <c r="AV119" s="21">
        <f>EXP(-LN(2)/25)*AV118+(1-EXP(-LN(2)/25))/(LN(2)/25)*Calculateur!AQ119*Calculateur!AS119*VLOOKUP('Données projet'!$B$10,Paramètres!$A$1:$I$89,3,0)*0.475*44/12</f>
        <v>2.5679805034138123</v>
      </c>
      <c r="AW119" s="21">
        <f>EXP(-LN(2)/2)*AW118+(1-EXP(-LN(2)/2))/(LN(2)/2)*AQ119*AT119*VLOOKUP('Données projet'!$B$10,Paramètres!$A$1:$I$89,3,0)*0.475*44/12</f>
        <v>2.7740942569962362E-12</v>
      </c>
      <c r="AX119" s="21">
        <f t="shared" si="60"/>
        <v>4.0874772501947367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7.9580786405131221E-13</v>
      </c>
      <c r="BE119" s="13">
        <f>BD119*VLOOKUP('Données projet'!$B$11,Paramètres!$A$1:$I$89,3,0)*VLOOKUP('Données projet'!$B$11,Paramètres!$A$1:$I$89,5,0)</f>
        <v>3.8278358260868117E-13</v>
      </c>
      <c r="BF119" s="13">
        <f t="shared" si="91"/>
        <v>4.9186917125089072E-12</v>
      </c>
      <c r="BG119" s="20">
        <f t="shared" si="61"/>
        <v>9.2334028056631319E-12</v>
      </c>
      <c r="BH119" s="59">
        <f t="shared" si="62"/>
        <v>293.33333333334252</v>
      </c>
      <c r="BI119" s="59">
        <f ca="1">AVERAGE(OFFSET($BH$3,0,0,'Données projet'!$E$11+1,1))-AVERAGE(OFFSET($H$3,0,0,'Données projet'!$E$11+1,1))</f>
        <v>327.58421465651799</v>
      </c>
      <c r="BJ119" s="59">
        <f t="shared" si="92"/>
        <v>296.73904998640018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1.2270539205133075</v>
      </c>
      <c r="BQ119" s="21">
        <f>EXP(-LN(2)/25)*BQ118+(1-EXP(-LN(2)/25))/(LN(2)/25)*Calculateur!BL119*Calculateur!BN119*VLOOKUP('Données projet'!$B$11,Paramètres!$A$1:$I$89,3,0)*0.475*44/12</f>
        <v>1.2368322575056798</v>
      </c>
      <c r="BR119" s="21">
        <f>EXP(-LN(2)/2)*BR118+(1-EXP(-LN(2)/2))/(LN(2)/2)*BL119*BO119*VLOOKUP('Données projet'!$B$11,Paramètres!$A$1:$I$89,3,0)*0.475*44/12</f>
        <v>2.3775082159128073E-12</v>
      </c>
      <c r="BS119" s="22">
        <f t="shared" si="63"/>
        <v>2.4638861780213652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-5.6843418860808015E-13</v>
      </c>
      <c r="O120" s="13">
        <f>N120*VLOOKUP('Données projet'!$B$9,Paramètres!$A$1:$I$89,3,0)*VLOOKUP('Données projet'!$B$9,Paramètres!$A$1:$I$89,5,0)</f>
        <v>-3.177547114319168E-13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356.67698551373468</v>
      </c>
      <c r="T120" s="59">
        <f t="shared" si="88"/>
        <v>353.21836615408171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0.81554196984205163</v>
      </c>
      <c r="AA120" s="21">
        <f>EXP(-LN(2)/25)*AA119+(1-EXP(-LN(2)/25))/(LN(2)/25)*Calculateur!V120*Calculateur!X120*VLOOKUP('Données projet'!$B$9,Paramètres!$A$1:$I$89,3,0)*0.475*44/12</f>
        <v>2.704166094861054</v>
      </c>
      <c r="AB120" s="21">
        <f>EXP(-LN(2)/2)*AB119+(1-EXP(-LN(2)/2))/(LN(2)/2)*V120*Y120*VLOOKUP('Données projet'!$B$9,Paramètres!$A$1:$I$89,3,0)*0.475*44/12</f>
        <v>2.614409507382665E-12</v>
      </c>
      <c r="AC120" s="22">
        <f t="shared" si="57"/>
        <v>3.51970806470572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285.77483300338548</v>
      </c>
      <c r="AO120" s="59">
        <f t="shared" si="90"/>
        <v>320.55212417690637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1.4897003423753326</v>
      </c>
      <c r="AV120" s="21">
        <f>EXP(-LN(2)/25)*AV119+(1-EXP(-LN(2)/25))/(LN(2)/25)*Calculateur!AQ120*Calculateur!AS120*VLOOKUP('Données projet'!$B$10,Paramètres!$A$1:$I$89,3,0)*0.475*44/12</f>
        <v>2.497758941503736</v>
      </c>
      <c r="AW120" s="21">
        <f>EXP(-LN(2)/2)*AW119+(1-EXP(-LN(2)/2))/(LN(2)/2)*AQ120*AT120*VLOOKUP('Données projet'!$B$10,Paramètres!$A$1:$I$89,3,0)*0.475*44/12</f>
        <v>1.9615808607726957E-12</v>
      </c>
      <c r="AX120" s="21">
        <f t="shared" si="60"/>
        <v>3.9874592838810301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7.9580786405131221E-13</v>
      </c>
      <c r="BE120" s="13">
        <f>BD120*VLOOKUP('Données projet'!$B$11,Paramètres!$A$1:$I$89,3,0)*VLOOKUP('Données projet'!$B$11,Paramètres!$A$1:$I$89,5,0)</f>
        <v>3.8278358260868117E-13</v>
      </c>
      <c r="BF120" s="13">
        <f t="shared" si="91"/>
        <v>4.9186917125089072E-12</v>
      </c>
      <c r="BG120" s="20">
        <f t="shared" si="61"/>
        <v>9.2334028056631319E-12</v>
      </c>
      <c r="BH120" s="59">
        <f t="shared" si="62"/>
        <v>293.33333333334252</v>
      </c>
      <c r="BI120" s="59">
        <f ca="1">AVERAGE(OFFSET($BH$3,0,0,'Données projet'!$E$11+1,1))-AVERAGE(OFFSET($H$3,0,0,'Données projet'!$E$11+1,1))</f>
        <v>327.58421465651799</v>
      </c>
      <c r="BJ120" s="59">
        <f t="shared" si="92"/>
        <v>296.73904998640018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1.2029921415610318</v>
      </c>
      <c r="BQ120" s="21">
        <f>EXP(-LN(2)/25)*BQ119+(1-EXP(-LN(2)/25))/(LN(2)/25)*Calculateur!BL120*Calculateur!BN120*VLOOKUP('Données projet'!$B$11,Paramètres!$A$1:$I$89,3,0)*0.475*44/12</f>
        <v>1.2030110143820054</v>
      </c>
      <c r="BR120" s="21">
        <f>EXP(-LN(2)/2)*BR119+(1-EXP(-LN(2)/2))/(LN(2)/2)*BL120*BO120*VLOOKUP('Données projet'!$B$11,Paramètres!$A$1:$I$89,3,0)*0.475*44/12</f>
        <v>1.6811521817986764E-12</v>
      </c>
      <c r="BS120" s="22">
        <f t="shared" si="63"/>
        <v>2.4060031559447186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-5.6843418860808015E-13</v>
      </c>
      <c r="O121" s="13">
        <f>N121*VLOOKUP('Données projet'!$B$9,Paramètres!$A$1:$I$89,3,0)*VLOOKUP('Données projet'!$B$9,Paramètres!$A$1:$I$89,5,0)</f>
        <v>-3.177547114319168E-13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356.67698551373468</v>
      </c>
      <c r="T121" s="59">
        <f t="shared" si="88"/>
        <v>353.21836615408171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0.7995496892449333</v>
      </c>
      <c r="AA121" s="21">
        <f>EXP(-LN(2)/25)*AA120+(1-EXP(-LN(2)/25))/(LN(2)/25)*Calculateur!V121*Calculateur!X121*VLOOKUP('Données projet'!$B$9,Paramètres!$A$1:$I$89,3,0)*0.475*44/12</f>
        <v>2.6302205307911639</v>
      </c>
      <c r="AB121" s="21">
        <f>EXP(-LN(2)/2)*AB120+(1-EXP(-LN(2)/2))/(LN(2)/2)*V121*Y121*VLOOKUP('Données projet'!$B$9,Paramètres!$A$1:$I$89,3,0)*0.475*44/12</f>
        <v>1.8486666914688636E-12</v>
      </c>
      <c r="AC121" s="22">
        <f t="shared" si="57"/>
        <v>3.4297702200379461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285.77483300338548</v>
      </c>
      <c r="AO121" s="59">
        <f t="shared" si="90"/>
        <v>320.55212417690637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1.4604882272888415</v>
      </c>
      <c r="AV121" s="21">
        <f>EXP(-LN(2)/25)*AV120+(1-EXP(-LN(2)/25))/(LN(2)/25)*Calculateur!AQ121*Calculateur!AS121*VLOOKUP('Données projet'!$B$10,Paramètres!$A$1:$I$89,3,0)*0.475*44/12</f>
        <v>2.4294575918968824</v>
      </c>
      <c r="AW121" s="21">
        <f>EXP(-LN(2)/2)*AW120+(1-EXP(-LN(2)/2))/(LN(2)/2)*AQ121*AT121*VLOOKUP('Données projet'!$B$10,Paramètres!$A$1:$I$89,3,0)*0.475*44/12</f>
        <v>1.3870471284981181E-12</v>
      </c>
      <c r="AX121" s="21">
        <f t="shared" si="60"/>
        <v>3.8899458191871106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7.9580786405131221E-13</v>
      </c>
      <c r="BE121" s="13">
        <f>BD121*VLOOKUP('Données projet'!$B$11,Paramètres!$A$1:$I$89,3,0)*VLOOKUP('Données projet'!$B$11,Paramètres!$A$1:$I$89,5,0)</f>
        <v>3.8278358260868117E-13</v>
      </c>
      <c r="BF121" s="13">
        <f t="shared" si="91"/>
        <v>4.9186917125089072E-12</v>
      </c>
      <c r="BG121" s="20">
        <f t="shared" si="61"/>
        <v>9.2334028056631319E-12</v>
      </c>
      <c r="BH121" s="59">
        <f t="shared" si="62"/>
        <v>293.33333333334252</v>
      </c>
      <c r="BI121" s="59">
        <f ca="1">AVERAGE(OFFSET($BH$3,0,0,'Données projet'!$E$11+1,1))-AVERAGE(OFFSET($H$3,0,0,'Données projet'!$E$11+1,1))</f>
        <v>327.58421465651799</v>
      </c>
      <c r="BJ121" s="59">
        <f t="shared" si="92"/>
        <v>296.73904998640018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1.1794021994177744</v>
      </c>
      <c r="BQ121" s="21">
        <f>EXP(-LN(2)/25)*BQ120+(1-EXP(-LN(2)/25))/(LN(2)/25)*Calculateur!BL121*Calculateur!BN121*VLOOKUP('Données projet'!$B$11,Paramètres!$A$1:$I$89,3,0)*0.475*44/12</f>
        <v>1.1701146149301298</v>
      </c>
      <c r="BR121" s="21">
        <f>EXP(-LN(2)/2)*BR120+(1-EXP(-LN(2)/2))/(LN(2)/2)*BL121*BO121*VLOOKUP('Données projet'!$B$11,Paramètres!$A$1:$I$89,3,0)*0.475*44/12</f>
        <v>1.1887541079564036E-12</v>
      </c>
      <c r="BS121" s="22">
        <f t="shared" si="63"/>
        <v>2.349516814349093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-5.6843418860808015E-13</v>
      </c>
      <c r="O122" s="13">
        <f>N122*VLOOKUP('Données projet'!$B$9,Paramètres!$A$1:$I$89,3,0)*VLOOKUP('Données projet'!$B$9,Paramètres!$A$1:$I$89,5,0)</f>
        <v>-3.177547114319168E-13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356.67698551373468</v>
      </c>
      <c r="T122" s="59">
        <f t="shared" si="88"/>
        <v>353.21836615408171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0.78387100751599648</v>
      </c>
      <c r="AA122" s="21">
        <f>EXP(-LN(2)/25)*AA121+(1-EXP(-LN(2)/25))/(LN(2)/25)*Calculateur!V122*Calculateur!X122*VLOOKUP('Données projet'!$B$9,Paramètres!$A$1:$I$89,3,0)*0.475*44/12</f>
        <v>2.5582970120593931</v>
      </c>
      <c r="AB122" s="21">
        <f>EXP(-LN(2)/2)*AB121+(1-EXP(-LN(2)/2))/(LN(2)/2)*V122*Y122*VLOOKUP('Données projet'!$B$9,Paramètres!$A$1:$I$89,3,0)*0.475*44/12</f>
        <v>1.3072047536913325E-12</v>
      </c>
      <c r="AC122" s="22">
        <f t="shared" si="57"/>
        <v>3.3421680195766967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285.77483300338548</v>
      </c>
      <c r="AO122" s="59">
        <f t="shared" si="90"/>
        <v>320.55212417690637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1.4318489439615658</v>
      </c>
      <c r="AV122" s="21">
        <f>EXP(-LN(2)/25)*AV121+(1-EXP(-LN(2)/25))/(LN(2)/25)*Calculateur!AQ122*Calculateur!AS122*VLOOKUP('Données projet'!$B$10,Paramètres!$A$1:$I$89,3,0)*0.475*44/12</f>
        <v>2.3630239462868401</v>
      </c>
      <c r="AW122" s="21">
        <f>EXP(-LN(2)/2)*AW121+(1-EXP(-LN(2)/2))/(LN(2)/2)*AQ122*AT122*VLOOKUP('Données projet'!$B$10,Paramètres!$A$1:$I$89,3,0)*0.475*44/12</f>
        <v>9.8079043038634786E-13</v>
      </c>
      <c r="AX122" s="21">
        <f t="shared" si="60"/>
        <v>3.7948728902493869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7.9580786405131221E-13</v>
      </c>
      <c r="BE122" s="13">
        <f>BD122*VLOOKUP('Données projet'!$B$11,Paramètres!$A$1:$I$89,3,0)*VLOOKUP('Données projet'!$B$11,Paramètres!$A$1:$I$89,5,0)</f>
        <v>3.8278358260868117E-13</v>
      </c>
      <c r="BF122" s="13">
        <f t="shared" si="91"/>
        <v>4.9186917125089072E-12</v>
      </c>
      <c r="BG122" s="20">
        <f t="shared" si="61"/>
        <v>9.2334028056631319E-12</v>
      </c>
      <c r="BH122" s="59">
        <f t="shared" si="62"/>
        <v>293.33333333334252</v>
      </c>
      <c r="BI122" s="59">
        <f ca="1">AVERAGE(OFFSET($BH$3,0,0,'Données projet'!$E$11+1,1))-AVERAGE(OFFSET($H$3,0,0,'Données projet'!$E$11+1,1))</f>
        <v>327.58421465651799</v>
      </c>
      <c r="BJ122" s="59">
        <f t="shared" si="92"/>
        <v>296.73904998640018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1.1562748416515021</v>
      </c>
      <c r="BQ122" s="21">
        <f>EXP(-LN(2)/25)*BQ121+(1-EXP(-LN(2)/25))/(LN(2)/25)*Calculateur!BL122*Calculateur!BN122*VLOOKUP('Données projet'!$B$11,Paramètres!$A$1:$I$89,3,0)*0.475*44/12</f>
        <v>1.1381177692512121</v>
      </c>
      <c r="BR122" s="21">
        <f>EXP(-LN(2)/2)*BR121+(1-EXP(-LN(2)/2))/(LN(2)/2)*BL122*BO122*VLOOKUP('Données projet'!$B$11,Paramètres!$A$1:$I$89,3,0)*0.475*44/12</f>
        <v>8.4057609089933821E-13</v>
      </c>
      <c r="BS122" s="22">
        <f t="shared" si="63"/>
        <v>2.2943926109035551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-5.6843418860808015E-13</v>
      </c>
      <c r="O123" s="13">
        <f>N123*VLOOKUP('Données projet'!$B$9,Paramètres!$A$1:$I$89,3,0)*VLOOKUP('Données projet'!$B$9,Paramètres!$A$1:$I$89,5,0)</f>
        <v>-3.177547114319168E-13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356.67698551373468</v>
      </c>
      <c r="T123" s="59">
        <f t="shared" si="88"/>
        <v>353.21836615408171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0.76849977517271251</v>
      </c>
      <c r="AA123" s="21">
        <f>EXP(-LN(2)/25)*AA122+(1-EXP(-LN(2)/25))/(LN(2)/25)*Calculateur!V123*Calculateur!X123*VLOOKUP('Données projet'!$B$9,Paramètres!$A$1:$I$89,3,0)*0.475*44/12</f>
        <v>2.4883402457296362</v>
      </c>
      <c r="AB123" s="21">
        <f>EXP(-LN(2)/2)*AB122+(1-EXP(-LN(2)/2))/(LN(2)/2)*V123*Y123*VLOOKUP('Données projet'!$B$9,Paramètres!$A$1:$I$89,3,0)*0.475*44/12</f>
        <v>9.2433334573443181E-13</v>
      </c>
      <c r="AC123" s="22">
        <f t="shared" si="57"/>
        <v>3.2568400209032728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285.77483300338548</v>
      </c>
      <c r="AO123" s="59">
        <f t="shared" si="90"/>
        <v>320.55212417690637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1.4037712595120999</v>
      </c>
      <c r="AV123" s="21">
        <f>EXP(-LN(2)/25)*AV122+(1-EXP(-LN(2)/25))/(LN(2)/25)*Calculateur!AQ123*Calculateur!AS123*VLOOKUP('Données projet'!$B$10,Paramètres!$A$1:$I$89,3,0)*0.475*44/12</f>
        <v>2.2984069322095979</v>
      </c>
      <c r="AW123" s="21">
        <f>EXP(-LN(2)/2)*AW122+(1-EXP(-LN(2)/2))/(LN(2)/2)*AQ123*AT123*VLOOKUP('Données projet'!$B$10,Paramètres!$A$1:$I$89,3,0)*0.475*44/12</f>
        <v>6.9352356424905906E-13</v>
      </c>
      <c r="AX123" s="21">
        <f t="shared" si="60"/>
        <v>3.7021781917223917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7.9580786405131221E-13</v>
      </c>
      <c r="BE123" s="13">
        <f>BD123*VLOOKUP('Données projet'!$B$11,Paramètres!$A$1:$I$89,3,0)*VLOOKUP('Données projet'!$B$11,Paramètres!$A$1:$I$89,5,0)</f>
        <v>3.8278358260868117E-13</v>
      </c>
      <c r="BF123" s="13">
        <f t="shared" si="91"/>
        <v>4.9186917125089072E-12</v>
      </c>
      <c r="BG123" s="20">
        <f t="shared" si="61"/>
        <v>9.2334028056631319E-12</v>
      </c>
      <c r="BH123" s="59">
        <f t="shared" si="62"/>
        <v>293.33333333334252</v>
      </c>
      <c r="BI123" s="59">
        <f ca="1">AVERAGE(OFFSET($BH$3,0,0,'Données projet'!$E$11+1,1))-AVERAGE(OFFSET($H$3,0,0,'Données projet'!$E$11+1,1))</f>
        <v>327.58421465651799</v>
      </c>
      <c r="BJ123" s="59">
        <f t="shared" si="92"/>
        <v>296.73904998640018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1.1336009972647312</v>
      </c>
      <c r="BQ123" s="21">
        <f>EXP(-LN(2)/25)*BQ122+(1-EXP(-LN(2)/25))/(LN(2)/25)*Calculateur!BL123*Calculateur!BN123*VLOOKUP('Données projet'!$B$11,Paramètres!$A$1:$I$89,3,0)*0.475*44/12</f>
        <v>1.1069958790000254</v>
      </c>
      <c r="BR123" s="21">
        <f>EXP(-LN(2)/2)*BR122+(1-EXP(-LN(2)/2))/(LN(2)/2)*BL123*BO123*VLOOKUP('Données projet'!$B$11,Paramètres!$A$1:$I$89,3,0)*0.475*44/12</f>
        <v>5.9437705397820182E-13</v>
      </c>
      <c r="BS123" s="22">
        <f t="shared" si="63"/>
        <v>2.240596876265351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-5.6843418860808015E-13</v>
      </c>
      <c r="O124" s="13">
        <f>N124*VLOOKUP('Données projet'!$B$9,Paramètres!$A$1:$I$89,3,0)*VLOOKUP('Données projet'!$B$9,Paramètres!$A$1:$I$89,5,0)</f>
        <v>-3.177547114319168E-13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356.67698551373468</v>
      </c>
      <c r="T124" s="59">
        <f t="shared" si="88"/>
        <v>353.21836615408171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0.75342996332015433</v>
      </c>
      <c r="AA124" s="21">
        <f>EXP(-LN(2)/25)*AA123+(1-EXP(-LN(2)/25))/(LN(2)/25)*Calculateur!V124*Calculateur!X124*VLOOKUP('Données projet'!$B$9,Paramètres!$A$1:$I$89,3,0)*0.475*44/12</f>
        <v>2.4202964508540328</v>
      </c>
      <c r="AB124" s="21">
        <f>EXP(-LN(2)/2)*AB123+(1-EXP(-LN(2)/2))/(LN(2)/2)*V124*Y124*VLOOKUP('Données projet'!$B$9,Paramètres!$A$1:$I$89,3,0)*0.475*44/12</f>
        <v>6.5360237684566625E-13</v>
      </c>
      <c r="AC124" s="22">
        <f t="shared" si="57"/>
        <v>3.1737264141748409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285.77483300338548</v>
      </c>
      <c r="AO124" s="59">
        <f t="shared" si="90"/>
        <v>320.55212417690637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1.3762441613289917</v>
      </c>
      <c r="AV124" s="21">
        <f>EXP(-LN(2)/25)*AV123+(1-EXP(-LN(2)/25))/(LN(2)/25)*Calculateur!AQ124*Calculateur!AS124*VLOOKUP('Données projet'!$B$10,Paramètres!$A$1:$I$89,3,0)*0.475*44/12</f>
        <v>2.2355568737803591</v>
      </c>
      <c r="AW124" s="21">
        <f>EXP(-LN(2)/2)*AW123+(1-EXP(-LN(2)/2))/(LN(2)/2)*AQ124*AT124*VLOOKUP('Données projet'!$B$10,Paramètres!$A$1:$I$89,3,0)*0.475*44/12</f>
        <v>4.9039521519317393E-13</v>
      </c>
      <c r="AX124" s="21">
        <f t="shared" si="60"/>
        <v>3.6118010351098411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7.9580786405131221E-13</v>
      </c>
      <c r="BE124" s="13">
        <f>BD124*VLOOKUP('Données projet'!$B$11,Paramètres!$A$1:$I$89,3,0)*VLOOKUP('Données projet'!$B$11,Paramètres!$A$1:$I$89,5,0)</f>
        <v>3.8278358260868117E-13</v>
      </c>
      <c r="BF124" s="13">
        <f t="shared" si="91"/>
        <v>4.9186917125089072E-12</v>
      </c>
      <c r="BG124" s="20">
        <f t="shared" si="61"/>
        <v>9.2334028056631319E-12</v>
      </c>
      <c r="BH124" s="59">
        <f t="shared" si="62"/>
        <v>293.33333333334252</v>
      </c>
      <c r="BI124" s="59">
        <f ca="1">AVERAGE(OFFSET($BH$3,0,0,'Données projet'!$E$11+1,1))-AVERAGE(OFFSET($H$3,0,0,'Données projet'!$E$11+1,1))</f>
        <v>327.58421465651799</v>
      </c>
      <c r="BJ124" s="59">
        <f t="shared" si="92"/>
        <v>296.73904998640018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1.1113717731367052</v>
      </c>
      <c r="BQ124" s="21">
        <f>EXP(-LN(2)/25)*BQ123+(1-EXP(-LN(2)/25))/(LN(2)/25)*Calculateur!BL124*Calculateur!BN124*VLOOKUP('Données projet'!$B$11,Paramètres!$A$1:$I$89,3,0)*0.475*44/12</f>
        <v>1.0767250184743864</v>
      </c>
      <c r="BR124" s="21">
        <f>EXP(-LN(2)/2)*BR123+(1-EXP(-LN(2)/2))/(LN(2)/2)*BL124*BO124*VLOOKUP('Données projet'!$B$11,Paramètres!$A$1:$I$89,3,0)*0.475*44/12</f>
        <v>4.2028804544966911E-13</v>
      </c>
      <c r="BS124" s="22">
        <f t="shared" si="63"/>
        <v>2.1880967916115117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-5.6843418860808015E-13</v>
      </c>
      <c r="O125" s="13">
        <f>N125*VLOOKUP('Données projet'!$B$9,Paramètres!$A$1:$I$89,3,0)*VLOOKUP('Données projet'!$B$9,Paramètres!$A$1:$I$89,5,0)</f>
        <v>-3.177547114319168E-13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356.67698551373468</v>
      </c>
      <c r="T125" s="59">
        <f t="shared" si="88"/>
        <v>353.21836615408171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0.73865566128634719</v>
      </c>
      <c r="AA125" s="21">
        <f>EXP(-LN(2)/25)*AA124+(1-EXP(-LN(2)/25))/(LN(2)/25)*Calculateur!V125*Calculateur!X125*VLOOKUP('Données projet'!$B$9,Paramètres!$A$1:$I$89,3,0)*0.475*44/12</f>
        <v>2.3541133171275708</v>
      </c>
      <c r="AB125" s="21">
        <f>EXP(-LN(2)/2)*AB124+(1-EXP(-LN(2)/2))/(LN(2)/2)*V125*Y125*VLOOKUP('Données projet'!$B$9,Paramètres!$A$1:$I$89,3,0)*0.475*44/12</f>
        <v>4.621666728672159E-13</v>
      </c>
      <c r="AC125" s="22">
        <f t="shared" si="57"/>
        <v>3.0927689784143801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285.77483300338548</v>
      </c>
      <c r="AO125" s="59">
        <f t="shared" si="90"/>
        <v>320.55212417690637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1.3492568527513822</v>
      </c>
      <c r="AV125" s="21">
        <f>EXP(-LN(2)/25)*AV124+(1-EXP(-LN(2)/25))/(LN(2)/25)*Calculateur!AQ125*Calculateur!AS125*VLOOKUP('Données projet'!$B$10,Paramètres!$A$1:$I$89,3,0)*0.475*44/12</f>
        <v>2.1744254535040084</v>
      </c>
      <c r="AW125" s="21">
        <f>EXP(-LN(2)/2)*AW124+(1-EXP(-LN(2)/2))/(LN(2)/2)*AQ125*AT125*VLOOKUP('Données projet'!$B$10,Paramètres!$A$1:$I$89,3,0)*0.475*44/12</f>
        <v>3.4676178212452953E-13</v>
      </c>
      <c r="AX125" s="21">
        <f t="shared" si="60"/>
        <v>3.5236823062557376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7.9580786405131221E-13</v>
      </c>
      <c r="BE125" s="13">
        <f>BD125*VLOOKUP('Données projet'!$B$11,Paramètres!$A$1:$I$89,3,0)*VLOOKUP('Données projet'!$B$11,Paramètres!$A$1:$I$89,5,0)</f>
        <v>3.8278358260868117E-13</v>
      </c>
      <c r="BF125" s="13">
        <f t="shared" si="91"/>
        <v>4.9186917125089072E-12</v>
      </c>
      <c r="BG125" s="20">
        <f t="shared" si="61"/>
        <v>9.2334028056631319E-12</v>
      </c>
      <c r="BH125" s="59">
        <f t="shared" si="62"/>
        <v>293.33333333334252</v>
      </c>
      <c r="BI125" s="59">
        <f ca="1">AVERAGE(OFFSET($BH$3,0,0,'Données projet'!$E$11+1,1))-AVERAGE(OFFSET($H$3,0,0,'Données projet'!$E$11+1,1))</f>
        <v>327.58421465651799</v>
      </c>
      <c r="BJ125" s="59">
        <f t="shared" si="92"/>
        <v>296.73904998640018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1.0895784505353419</v>
      </c>
      <c r="BQ125" s="21">
        <f>EXP(-LN(2)/25)*BQ124+(1-EXP(-LN(2)/25))/(LN(2)/25)*Calculateur!BL125*Calculateur!BN125*VLOOKUP('Données projet'!$B$11,Paramètres!$A$1:$I$89,3,0)*0.475*44/12</f>
        <v>1.0472819162216964</v>
      </c>
      <c r="BR125" s="21">
        <f>EXP(-LN(2)/2)*BR124+(1-EXP(-LN(2)/2))/(LN(2)/2)*BL125*BO125*VLOOKUP('Données projet'!$B$11,Paramètres!$A$1:$I$89,3,0)*0.475*44/12</f>
        <v>2.9718852698910091E-13</v>
      </c>
      <c r="BS125" s="22">
        <f t="shared" si="63"/>
        <v>2.1368603667573356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-5.6843418860808015E-13</v>
      </c>
      <c r="O126" s="13">
        <f>N126*VLOOKUP('Données projet'!$B$9,Paramètres!$A$1:$I$89,3,0)*VLOOKUP('Données projet'!$B$9,Paramètres!$A$1:$I$89,5,0)</f>
        <v>-3.177547114319168E-13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356.67698551373468</v>
      </c>
      <c r="T126" s="59">
        <f t="shared" si="88"/>
        <v>353.21836615408171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0.72417107430398864</v>
      </c>
      <c r="AA126" s="21">
        <f>EXP(-LN(2)/25)*AA125+(1-EXP(-LN(2)/25))/(LN(2)/25)*Calculateur!V126*Calculateur!X126*VLOOKUP('Données projet'!$B$9,Paramètres!$A$1:$I$89,3,0)*0.475*44/12</f>
        <v>2.2897399646732786</v>
      </c>
      <c r="AB126" s="21">
        <f>EXP(-LN(2)/2)*AB125+(1-EXP(-LN(2)/2))/(LN(2)/2)*V126*Y126*VLOOKUP('Données projet'!$B$9,Paramètres!$A$1:$I$89,3,0)*0.475*44/12</f>
        <v>3.2680118842283312E-13</v>
      </c>
      <c r="AC126" s="22">
        <f t="shared" si="57"/>
        <v>3.0139110389775938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285.77483300338548</v>
      </c>
      <c r="AO126" s="59">
        <f t="shared" si="90"/>
        <v>320.55212417690637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1.3227987488343467</v>
      </c>
      <c r="AV126" s="21">
        <f>EXP(-LN(2)/25)*AV125+(1-EXP(-LN(2)/25))/(LN(2)/25)*Calculateur!AQ126*Calculateur!AS126*VLOOKUP('Données projet'!$B$10,Paramètres!$A$1:$I$89,3,0)*0.475*44/12</f>
        <v>2.1149656751298762</v>
      </c>
      <c r="AW126" s="21">
        <f>EXP(-LN(2)/2)*AW125+(1-EXP(-LN(2)/2))/(LN(2)/2)*AQ126*AT126*VLOOKUP('Données projet'!$B$10,Paramètres!$A$1:$I$89,3,0)*0.475*44/12</f>
        <v>2.4519760759658697E-13</v>
      </c>
      <c r="AX126" s="21">
        <f t="shared" si="60"/>
        <v>3.437764423964468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7.9580786405131221E-13</v>
      </c>
      <c r="BE126" s="13">
        <f>BD126*VLOOKUP('Données projet'!$B$11,Paramètres!$A$1:$I$89,3,0)*VLOOKUP('Données projet'!$B$11,Paramètres!$A$1:$I$89,5,0)</f>
        <v>3.8278358260868117E-13</v>
      </c>
      <c r="BF126" s="13">
        <f t="shared" si="91"/>
        <v>4.9186917125089072E-12</v>
      </c>
      <c r="BG126" s="20">
        <f t="shared" si="61"/>
        <v>9.2334028056631319E-12</v>
      </c>
      <c r="BH126" s="59">
        <f t="shared" si="62"/>
        <v>293.33333333334252</v>
      </c>
      <c r="BI126" s="59">
        <f ca="1">AVERAGE(OFFSET($BH$3,0,0,'Données projet'!$E$11+1,1))-AVERAGE(OFFSET($H$3,0,0,'Données projet'!$E$11+1,1))</f>
        <v>327.58421465651799</v>
      </c>
      <c r="BJ126" s="59">
        <f t="shared" si="92"/>
        <v>296.73904998640018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1.0682124816975771</v>
      </c>
      <c r="BQ126" s="21">
        <f>EXP(-LN(2)/25)*BQ125+(1-EXP(-LN(2)/25))/(LN(2)/25)*Calculateur!BL126*Calculateur!BN126*VLOOKUP('Données projet'!$B$11,Paramètres!$A$1:$I$89,3,0)*0.475*44/12</f>
        <v>1.0186439371484517</v>
      </c>
      <c r="BR126" s="21">
        <f>EXP(-LN(2)/2)*BR125+(1-EXP(-LN(2)/2))/(LN(2)/2)*BL126*BO126*VLOOKUP('Données projet'!$B$11,Paramètres!$A$1:$I$89,3,0)*0.475*44/12</f>
        <v>2.1014402272483455E-13</v>
      </c>
      <c r="BS126" s="22">
        <f t="shared" si="63"/>
        <v>2.0868564188462391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-5.6843418860808015E-13</v>
      </c>
      <c r="O127" s="13">
        <f>N127*VLOOKUP('Données projet'!$B$9,Paramètres!$A$1:$I$89,3,0)*VLOOKUP('Données projet'!$B$9,Paramètres!$A$1:$I$89,5,0)</f>
        <v>-3.177547114319168E-13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356.67698551373468</v>
      </c>
      <c r="T127" s="59">
        <f t="shared" si="88"/>
        <v>353.21836615408171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0.70997052123762838</v>
      </c>
      <c r="AA127" s="21">
        <f>EXP(-LN(2)/25)*AA126+(1-EXP(-LN(2)/25))/(LN(2)/25)*Calculateur!V127*Calculateur!X127*VLOOKUP('Données projet'!$B$9,Paramètres!$A$1:$I$89,3,0)*0.475*44/12</f>
        <v>2.2271269049270961</v>
      </c>
      <c r="AB127" s="21">
        <f>EXP(-LN(2)/2)*AB126+(1-EXP(-LN(2)/2))/(LN(2)/2)*V127*Y127*VLOOKUP('Données projet'!$B$9,Paramètres!$A$1:$I$89,3,0)*0.475*44/12</f>
        <v>2.3108333643360795E-13</v>
      </c>
      <c r="AC127" s="22">
        <f t="shared" si="57"/>
        <v>2.9370974261649554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285.77483300338548</v>
      </c>
      <c r="AO127" s="59">
        <f t="shared" si="90"/>
        <v>320.55212417690637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1.2968594721972744</v>
      </c>
      <c r="AV127" s="21">
        <f>EXP(-LN(2)/25)*AV126+(1-EXP(-LN(2)/25))/(LN(2)/25)*Calculateur!AQ127*Calculateur!AS127*VLOOKUP('Données projet'!$B$10,Paramètres!$A$1:$I$89,3,0)*0.475*44/12</f>
        <v>2.0571318275222388</v>
      </c>
      <c r="AW127" s="21">
        <f>EXP(-LN(2)/2)*AW126+(1-EXP(-LN(2)/2))/(LN(2)/2)*AQ127*AT127*VLOOKUP('Données projet'!$B$10,Paramètres!$A$1:$I$89,3,0)*0.475*44/12</f>
        <v>1.7338089106226477E-13</v>
      </c>
      <c r="AX127" s="21">
        <f t="shared" si="60"/>
        <v>3.3539912997196861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7.9580786405131221E-13</v>
      </c>
      <c r="BE127" s="13">
        <f>BD127*VLOOKUP('Données projet'!$B$11,Paramètres!$A$1:$I$89,3,0)*VLOOKUP('Données projet'!$B$11,Paramètres!$A$1:$I$89,5,0)</f>
        <v>3.8278358260868117E-13</v>
      </c>
      <c r="BF127" s="13">
        <f t="shared" si="91"/>
        <v>4.9186917125089072E-12</v>
      </c>
      <c r="BG127" s="20">
        <f t="shared" si="61"/>
        <v>9.2334028056631319E-12</v>
      </c>
      <c r="BH127" s="59">
        <f t="shared" si="62"/>
        <v>293.33333333334252</v>
      </c>
      <c r="BI127" s="59">
        <f ca="1">AVERAGE(OFFSET($BH$3,0,0,'Données projet'!$E$11+1,1))-AVERAGE(OFFSET($H$3,0,0,'Données projet'!$E$11+1,1))</f>
        <v>327.58421465651799</v>
      </c>
      <c r="BJ127" s="59">
        <f t="shared" si="92"/>
        <v>296.73904998640018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1.0472654864767668</v>
      </c>
      <c r="BQ127" s="21">
        <f>EXP(-LN(2)/25)*BQ126+(1-EXP(-LN(2)/25))/(LN(2)/25)*Calculateur!BL127*Calculateur!BN127*VLOOKUP('Données projet'!$B$11,Paramètres!$A$1:$I$89,3,0)*0.475*44/12</f>
        <v>0.9907890651189708</v>
      </c>
      <c r="BR127" s="21">
        <f>EXP(-LN(2)/2)*BR126+(1-EXP(-LN(2)/2))/(LN(2)/2)*BL127*BO127*VLOOKUP('Données projet'!$B$11,Paramètres!$A$1:$I$89,3,0)*0.475*44/12</f>
        <v>1.4859426349455045E-13</v>
      </c>
      <c r="BS127" s="22">
        <f t="shared" si="63"/>
        <v>2.0380545515958866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-5.6843418860808015E-13</v>
      </c>
      <c r="O128" s="13">
        <f>N128*VLOOKUP('Données projet'!$B$9,Paramètres!$A$1:$I$89,3,0)*VLOOKUP('Données projet'!$B$9,Paramètres!$A$1:$I$89,5,0)</f>
        <v>-3.177547114319168E-13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356.67698551373468</v>
      </c>
      <c r="T128" s="59">
        <f t="shared" si="88"/>
        <v>353.21836615408171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0.69604843235541736</v>
      </c>
      <c r="AA128" s="21">
        <f>EXP(-LN(2)/25)*AA127+(1-EXP(-LN(2)/25))/(LN(2)/25)*Calculateur!V128*Calculateur!X128*VLOOKUP('Données projet'!$B$9,Paramètres!$A$1:$I$89,3,0)*0.475*44/12</f>
        <v>2.1662260025923508</v>
      </c>
      <c r="AB128" s="21">
        <f>EXP(-LN(2)/2)*AB127+(1-EXP(-LN(2)/2))/(LN(2)/2)*V128*Y128*VLOOKUP('Données projet'!$B$9,Paramètres!$A$1:$I$89,3,0)*0.475*44/12</f>
        <v>1.6340059421141656E-13</v>
      </c>
      <c r="AC128" s="22">
        <f t="shared" si="57"/>
        <v>2.8622744349479317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285.77483300338548</v>
      </c>
      <c r="AO128" s="59">
        <f t="shared" si="90"/>
        <v>320.55212417690637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1.2714288489536585</v>
      </c>
      <c r="AV128" s="21">
        <f>EXP(-LN(2)/25)*AV127+(1-EXP(-LN(2)/25))/(LN(2)/25)*Calculateur!AQ128*Calculateur!AS128*VLOOKUP('Données projet'!$B$10,Paramètres!$A$1:$I$89,3,0)*0.475*44/12</f>
        <v>2.000879449518782</v>
      </c>
      <c r="AW128" s="21">
        <f>EXP(-LN(2)/2)*AW127+(1-EXP(-LN(2)/2))/(LN(2)/2)*AQ128*AT128*VLOOKUP('Données projet'!$B$10,Paramètres!$A$1:$I$89,3,0)*0.475*44/12</f>
        <v>1.2259880379829348E-13</v>
      </c>
      <c r="AX128" s="21">
        <f t="shared" si="60"/>
        <v>3.2723082984725629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7.9580786405131221E-13</v>
      </c>
      <c r="BE128" s="13">
        <f>BD128*VLOOKUP('Données projet'!$B$11,Paramètres!$A$1:$I$89,3,0)*VLOOKUP('Données projet'!$B$11,Paramètres!$A$1:$I$89,5,0)</f>
        <v>3.8278358260868117E-13</v>
      </c>
      <c r="BF128" s="13">
        <f t="shared" si="91"/>
        <v>4.9186917125089072E-12</v>
      </c>
      <c r="BG128" s="20">
        <f t="shared" si="61"/>
        <v>9.2334028056631319E-12</v>
      </c>
      <c r="BH128" s="59">
        <f t="shared" si="62"/>
        <v>293.33333333334252</v>
      </c>
      <c r="BI128" s="59">
        <f ca="1">AVERAGE(OFFSET($BH$3,0,0,'Données projet'!$E$11+1,1))-AVERAGE(OFFSET($H$3,0,0,'Données projet'!$E$11+1,1))</f>
        <v>327.58421465651799</v>
      </c>
      <c r="BJ128" s="59">
        <f t="shared" si="92"/>
        <v>296.73904998640018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1.0267292490558309</v>
      </c>
      <c r="BQ128" s="21">
        <f>EXP(-LN(2)/25)*BQ127+(1-EXP(-LN(2)/25))/(LN(2)/25)*Calculateur!BL128*Calculateur!BN128*VLOOKUP('Données projet'!$B$11,Paramètres!$A$1:$I$89,3,0)*0.475*44/12</f>
        <v>0.96369588602996004</v>
      </c>
      <c r="BR128" s="21">
        <f>EXP(-LN(2)/2)*BR127+(1-EXP(-LN(2)/2))/(LN(2)/2)*BL128*BO128*VLOOKUP('Données projet'!$B$11,Paramètres!$A$1:$I$89,3,0)*0.475*44/12</f>
        <v>1.0507201136241728E-13</v>
      </c>
      <c r="BS128" s="22">
        <f t="shared" si="63"/>
        <v>1.9904251350858959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-5.6843418860808015E-13</v>
      </c>
      <c r="O129" s="13">
        <f>N129*VLOOKUP('Données projet'!$B$9,Paramètres!$A$1:$I$89,3,0)*VLOOKUP('Données projet'!$B$9,Paramètres!$A$1:$I$89,5,0)</f>
        <v>-3.177547114319168E-13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356.67698551373468</v>
      </c>
      <c r="T129" s="59">
        <f t="shared" si="88"/>
        <v>353.21836615408171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0.68239934714455075</v>
      </c>
      <c r="AA129" s="21">
        <f>EXP(-LN(2)/25)*AA128+(1-EXP(-LN(2)/25))/(LN(2)/25)*Calculateur!V129*Calculateur!X129*VLOOKUP('Données projet'!$B$9,Paramètres!$A$1:$I$89,3,0)*0.475*44/12</f>
        <v>2.1069904386345883</v>
      </c>
      <c r="AB129" s="21">
        <f>EXP(-LN(2)/2)*AB128+(1-EXP(-LN(2)/2))/(LN(2)/2)*V129*Y129*VLOOKUP('Données projet'!$B$9,Paramètres!$A$1:$I$89,3,0)*0.475*44/12</f>
        <v>1.1554166821680398E-13</v>
      </c>
      <c r="AC129" s="22">
        <f t="shared" si="57"/>
        <v>2.7893897857792544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285.77483300338548</v>
      </c>
      <c r="AO129" s="59">
        <f t="shared" si="90"/>
        <v>320.55212417690637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1.2464969047207013</v>
      </c>
      <c r="AV129" s="21">
        <f>EXP(-LN(2)/25)*AV128+(1-EXP(-LN(2)/25))/(LN(2)/25)*Calculateur!AQ129*Calculateur!AS129*VLOOKUP('Données projet'!$B$10,Paramètres!$A$1:$I$89,3,0)*0.475*44/12</f>
        <v>1.9461652957500137</v>
      </c>
      <c r="AW129" s="21">
        <f>EXP(-LN(2)/2)*AW128+(1-EXP(-LN(2)/2))/(LN(2)/2)*AQ129*AT129*VLOOKUP('Données projet'!$B$10,Paramètres!$A$1:$I$89,3,0)*0.475*44/12</f>
        <v>8.6690445531132383E-14</v>
      </c>
      <c r="AX129" s="21">
        <f t="shared" si="60"/>
        <v>3.1926622004708016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7.9580786405131221E-13</v>
      </c>
      <c r="BE129" s="13">
        <f>BD129*VLOOKUP('Données projet'!$B$11,Paramètres!$A$1:$I$89,3,0)*VLOOKUP('Données projet'!$B$11,Paramètres!$A$1:$I$89,5,0)</f>
        <v>3.8278358260868117E-13</v>
      </c>
      <c r="BF129" s="13">
        <f t="shared" si="91"/>
        <v>4.9186917125089072E-12</v>
      </c>
      <c r="BG129" s="20">
        <f t="shared" si="61"/>
        <v>9.2334028056631319E-12</v>
      </c>
      <c r="BH129" s="59">
        <f t="shared" si="62"/>
        <v>293.33333333334252</v>
      </c>
      <c r="BI129" s="59">
        <f ca="1">AVERAGE(OFFSET($BH$3,0,0,'Données projet'!$E$11+1,1))-AVERAGE(OFFSET($H$3,0,0,'Données projet'!$E$11+1,1))</f>
        <v>327.58421465651799</v>
      </c>
      <c r="BJ129" s="59">
        <f t="shared" si="92"/>
        <v>296.73904998640018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1.0065957147248517</v>
      </c>
      <c r="BQ129" s="21">
        <f>EXP(-LN(2)/25)*BQ128+(1-EXP(-LN(2)/25))/(LN(2)/25)*Calculateur!BL129*Calculateur!BN129*VLOOKUP('Données projet'!$B$11,Paramètres!$A$1:$I$89,3,0)*0.475*44/12</f>
        <v>0.93734357134790669</v>
      </c>
      <c r="BR129" s="21">
        <f>EXP(-LN(2)/2)*BR128+(1-EXP(-LN(2)/2))/(LN(2)/2)*BL129*BO129*VLOOKUP('Données projet'!$B$11,Paramètres!$A$1:$I$89,3,0)*0.475*44/12</f>
        <v>7.4297131747275227E-14</v>
      </c>
      <c r="BS129" s="22">
        <f t="shared" si="63"/>
        <v>1.9439392860728326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-5.6843418860808015E-13</v>
      </c>
      <c r="O130" s="13">
        <f>N130*VLOOKUP('Données projet'!$B$9,Paramètres!$A$1:$I$89,3,0)*VLOOKUP('Données projet'!$B$9,Paramètres!$A$1:$I$89,5,0)</f>
        <v>-3.177547114319168E-13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356.67698551373468</v>
      </c>
      <c r="T130" s="59">
        <f t="shared" si="88"/>
        <v>353.21836615408171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0.66901791216954931</v>
      </c>
      <c r="AA130" s="21">
        <f>EXP(-LN(2)/25)*AA129+(1-EXP(-LN(2)/25))/(LN(2)/25)*Calculateur!V130*Calculateur!X130*VLOOKUP('Données projet'!$B$9,Paramètres!$A$1:$I$89,3,0)*0.475*44/12</f>
        <v>2.0493746742883139</v>
      </c>
      <c r="AB130" s="21">
        <f>EXP(-LN(2)/2)*AB129+(1-EXP(-LN(2)/2))/(LN(2)/2)*V130*Y130*VLOOKUP('Données projet'!$B$9,Paramètres!$A$1:$I$89,3,0)*0.475*44/12</f>
        <v>8.1700297105708281E-14</v>
      </c>
      <c r="AC130" s="22">
        <f t="shared" si="57"/>
        <v>2.718392586457945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285.77483300338548</v>
      </c>
      <c r="AO130" s="59">
        <f t="shared" si="90"/>
        <v>320.55212417690637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1.222053860707168</v>
      </c>
      <c r="AV130" s="21">
        <f>EXP(-LN(2)/25)*AV129+(1-EXP(-LN(2)/25))/(LN(2)/25)*Calculateur!AQ130*Calculateur!AS130*VLOOKUP('Données projet'!$B$10,Paramètres!$A$1:$I$89,3,0)*0.475*44/12</f>
        <v>1.8929473033933448</v>
      </c>
      <c r="AW130" s="21">
        <f>EXP(-LN(2)/2)*AW129+(1-EXP(-LN(2)/2))/(LN(2)/2)*AQ130*AT130*VLOOKUP('Données projet'!$B$10,Paramètres!$A$1:$I$89,3,0)*0.475*44/12</f>
        <v>6.1299401899146741E-14</v>
      </c>
      <c r="AX130" s="21">
        <f t="shared" si="60"/>
        <v>3.1150011641005744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7.9580786405131221E-13</v>
      </c>
      <c r="BE130" s="13">
        <f>BD130*VLOOKUP('Données projet'!$B$11,Paramètres!$A$1:$I$89,3,0)*VLOOKUP('Données projet'!$B$11,Paramètres!$A$1:$I$89,5,0)</f>
        <v>3.8278358260868117E-13</v>
      </c>
      <c r="BF130" s="13">
        <f t="shared" si="91"/>
        <v>4.9186917125089072E-12</v>
      </c>
      <c r="BG130" s="20">
        <f t="shared" si="61"/>
        <v>9.2334028056631319E-12</v>
      </c>
      <c r="BH130" s="59">
        <f t="shared" si="62"/>
        <v>293.33333333334252</v>
      </c>
      <c r="BI130" s="59">
        <f ca="1">AVERAGE(OFFSET($BH$3,0,0,'Données projet'!$E$11+1,1))-AVERAGE(OFFSET($H$3,0,0,'Données projet'!$E$11+1,1))</f>
        <v>327.58421465651799</v>
      </c>
      <c r="BJ130" s="59">
        <f t="shared" si="92"/>
        <v>296.73904998640018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0.98685698672185951</v>
      </c>
      <c r="BQ130" s="21">
        <f>EXP(-LN(2)/25)*BQ129+(1-EXP(-LN(2)/25))/(LN(2)/25)*Calculateur!BL130*Calculateur!BN130*VLOOKUP('Données projet'!$B$11,Paramètres!$A$1:$I$89,3,0)*0.475*44/12</f>
        <v>0.91171186209664212</v>
      </c>
      <c r="BR130" s="21">
        <f>EXP(-LN(2)/2)*BR129+(1-EXP(-LN(2)/2))/(LN(2)/2)*BL130*BO130*VLOOKUP('Données projet'!$B$11,Paramètres!$A$1:$I$89,3,0)*0.475*44/12</f>
        <v>5.2536005681208638E-14</v>
      </c>
      <c r="BS130" s="22">
        <f t="shared" si="63"/>
        <v>1.8985688488185544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-5.6843418860808015E-13</v>
      </c>
      <c r="O131" s="13">
        <f>N131*VLOOKUP('Données projet'!$B$9,Paramètres!$A$1:$I$89,3,0)*VLOOKUP('Données projet'!$B$9,Paramètres!$A$1:$I$89,5,0)</f>
        <v>-3.177547114319168E-13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356.67698551373468</v>
      </c>
      <c r="T131" s="59">
        <f t="shared" si="88"/>
        <v>353.21836615408171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0.65589887897253818</v>
      </c>
      <c r="AA131" s="21">
        <f>EXP(-LN(2)/25)*AA130+(1-EXP(-LN(2)/25))/(LN(2)/25)*Calculateur!V131*Calculateur!X131*VLOOKUP('Données projet'!$B$9,Paramètres!$A$1:$I$89,3,0)*0.475*44/12</f>
        <v>1.9933344160479698</v>
      </c>
      <c r="AB131" s="21">
        <f>EXP(-LN(2)/2)*AB130+(1-EXP(-LN(2)/2))/(LN(2)/2)*V131*Y131*VLOOKUP('Données projet'!$B$9,Paramètres!$A$1:$I$89,3,0)*0.475*44/12</f>
        <v>5.7770834108401988E-14</v>
      </c>
      <c r="AC131" s="22">
        <f t="shared" si="57"/>
        <v>2.6492332950205659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285.77483300338548</v>
      </c>
      <c r="AO131" s="59">
        <f t="shared" si="90"/>
        <v>320.55212417690637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1.1980901298779554</v>
      </c>
      <c r="AV131" s="21">
        <f>EXP(-LN(2)/25)*AV130+(1-EXP(-LN(2)/25))/(LN(2)/25)*Calculateur!AQ131*Calculateur!AS131*VLOOKUP('Données projet'!$B$10,Paramètres!$A$1:$I$89,3,0)*0.475*44/12</f>
        <v>1.8411845598362815</v>
      </c>
      <c r="AW131" s="21">
        <f>EXP(-LN(2)/2)*AW130+(1-EXP(-LN(2)/2))/(LN(2)/2)*AQ131*AT131*VLOOKUP('Données projet'!$B$10,Paramètres!$A$1:$I$89,3,0)*0.475*44/12</f>
        <v>4.3345222765566191E-14</v>
      </c>
      <c r="AX131" s="21">
        <f t="shared" si="60"/>
        <v>3.0392746897142802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7.9580786405131221E-13</v>
      </c>
      <c r="BE131" s="13">
        <f>BD131*VLOOKUP('Données projet'!$B$11,Paramètres!$A$1:$I$89,3,0)*VLOOKUP('Données projet'!$B$11,Paramètres!$A$1:$I$89,5,0)</f>
        <v>3.8278358260868117E-13</v>
      </c>
      <c r="BF131" s="13">
        <f t="shared" si="91"/>
        <v>4.9186917125089072E-12</v>
      </c>
      <c r="BG131" s="20">
        <f t="shared" si="61"/>
        <v>9.2334028056631319E-12</v>
      </c>
      <c r="BH131" s="59">
        <f t="shared" si="62"/>
        <v>293.33333333334252</v>
      </c>
      <c r="BI131" s="59">
        <f ca="1">AVERAGE(OFFSET($BH$3,0,0,'Données projet'!$E$11+1,1))-AVERAGE(OFFSET($H$3,0,0,'Données projet'!$E$11+1,1))</f>
        <v>327.58421465651799</v>
      </c>
      <c r="BJ131" s="59">
        <f t="shared" si="92"/>
        <v>296.73904998640018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0.9675053231355708</v>
      </c>
      <c r="BQ131" s="21">
        <f>EXP(-LN(2)/25)*BQ130+(1-EXP(-LN(2)/25))/(LN(2)/25)*Calculateur!BL131*Calculateur!BN131*VLOOKUP('Données projet'!$B$11,Paramètres!$A$1:$I$89,3,0)*0.475*44/12</f>
        <v>0.88678105328276635</v>
      </c>
      <c r="BR131" s="21">
        <f>EXP(-LN(2)/2)*BR130+(1-EXP(-LN(2)/2))/(LN(2)/2)*BL131*BO131*VLOOKUP('Données projet'!$B$11,Paramètres!$A$1:$I$89,3,0)*0.475*44/12</f>
        <v>3.7148565873637614E-14</v>
      </c>
      <c r="BS131" s="22">
        <f t="shared" si="63"/>
        <v>1.8542863764183741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-5.6843418860808015E-13</v>
      </c>
      <c r="O132" s="13">
        <f>N132*VLOOKUP('Données projet'!$B$9,Paramètres!$A$1:$I$89,3,0)*VLOOKUP('Données projet'!$B$9,Paramètres!$A$1:$I$89,5,0)</f>
        <v>-3.177547114319168E-13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356.67698551373468</v>
      </c>
      <c r="T132" s="59">
        <f t="shared" si="88"/>
        <v>353.21836615408171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0.64303710201470032</v>
      </c>
      <c r="AA132" s="21">
        <f>EXP(-LN(2)/25)*AA131+(1-EXP(-LN(2)/25))/(LN(2)/25)*Calculateur!V132*Calculateur!X132*VLOOKUP('Données projet'!$B$9,Paramètres!$A$1:$I$89,3,0)*0.475*44/12</f>
        <v>1.9388265816162369</v>
      </c>
      <c r="AB132" s="21">
        <f>EXP(-LN(2)/2)*AB131+(1-EXP(-LN(2)/2))/(LN(2)/2)*V132*Y132*VLOOKUP('Données projet'!$B$9,Paramètres!$A$1:$I$89,3,0)*0.475*44/12</f>
        <v>4.0850148552854141E-14</v>
      </c>
      <c r="AC132" s="22">
        <f t="shared" ref="AC132:AC153" si="111">SUM(Z132:AB132)</f>
        <v>2.5818636836309778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285.77483300338548</v>
      </c>
      <c r="AO132" s="59">
        <f t="shared" si="90"/>
        <v>320.55212417690637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1.174596313193871</v>
      </c>
      <c r="AV132" s="21">
        <f>EXP(-LN(2)/25)*AV131+(1-EXP(-LN(2)/25))/(LN(2)/25)*Calculateur!AQ132*Calculateur!AS132*VLOOKUP('Données projet'!$B$10,Paramètres!$A$1:$I$89,3,0)*0.475*44/12</f>
        <v>1.7908372712238705</v>
      </c>
      <c r="AW132" s="21">
        <f>EXP(-LN(2)/2)*AW131+(1-EXP(-LN(2)/2))/(LN(2)/2)*AQ132*AT132*VLOOKUP('Données projet'!$B$10,Paramètres!$A$1:$I$89,3,0)*0.475*44/12</f>
        <v>3.0649700949573371E-14</v>
      </c>
      <c r="AX132" s="21">
        <f t="shared" ref="AX132:AX153" si="114">SUM(AU132:AW132)</f>
        <v>2.9654335844177724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7.9580786405131221E-13</v>
      </c>
      <c r="BE132" s="13">
        <f>BD132*VLOOKUP('Données projet'!$B$11,Paramètres!$A$1:$I$89,3,0)*VLOOKUP('Données projet'!$B$11,Paramètres!$A$1:$I$89,5,0)</f>
        <v>3.8278358260868117E-13</v>
      </c>
      <c r="BF132" s="13">
        <f t="shared" si="91"/>
        <v>4.9186917125089072E-12</v>
      </c>
      <c r="BG132" s="20">
        <f t="shared" ref="BG132:BG153" si="115">(BE132+BF132)*0.475*44/12</f>
        <v>9.2334028056631319E-12</v>
      </c>
      <c r="BH132" s="59">
        <f t="shared" ref="BH132:BH195" si="116">BG132+(AY132+AZ132)*44/12</f>
        <v>293.33333333334252</v>
      </c>
      <c r="BI132" s="59">
        <f ca="1">AVERAGE(OFFSET($BH$3,0,0,'Données projet'!$E$11+1,1))-AVERAGE(OFFSET($H$3,0,0,'Données projet'!$E$11+1,1))</f>
        <v>327.58421465651799</v>
      </c>
      <c r="BJ132" s="59">
        <f t="shared" si="92"/>
        <v>296.73904998640018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0.94853313386885985</v>
      </c>
      <c r="BQ132" s="21">
        <f>EXP(-LN(2)/25)*BQ131+(1-EXP(-LN(2)/25))/(LN(2)/25)*Calculateur!BL132*Calculateur!BN132*VLOOKUP('Données projet'!$B$11,Paramètres!$A$1:$I$89,3,0)*0.475*44/12</f>
        <v>0.8625319787469603</v>
      </c>
      <c r="BR132" s="21">
        <f>EXP(-LN(2)/2)*BR131+(1-EXP(-LN(2)/2))/(LN(2)/2)*BL132*BO132*VLOOKUP('Données projet'!$B$11,Paramètres!$A$1:$I$89,3,0)*0.475*44/12</f>
        <v>2.6268002840604319E-14</v>
      </c>
      <c r="BS132" s="22">
        <f t="shared" ref="BS132:BS153" si="117">SUM(BP132:BR132)</f>
        <v>1.8110651126158464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-5.6843418860808015E-13</v>
      </c>
      <c r="O133" s="13">
        <f>N133*VLOOKUP('Données projet'!$B$9,Paramètres!$A$1:$I$89,3,0)*VLOOKUP('Données projet'!$B$9,Paramètres!$A$1:$I$89,5,0)</f>
        <v>-3.177547114319168E-13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356.67698551373468</v>
      </c>
      <c r="T133" s="59">
        <f t="shared" ref="T133:T196" si="142">$T$3</f>
        <v>353.21836615408171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0.63042753665809637</v>
      </c>
      <c r="AA133" s="21">
        <f>EXP(-LN(2)/25)*AA132+(1-EXP(-LN(2)/25))/(LN(2)/25)*Calculateur!V133*Calculateur!X133*VLOOKUP('Données projet'!$B$9,Paramètres!$A$1:$I$89,3,0)*0.475*44/12</f>
        <v>1.8858092667834823</v>
      </c>
      <c r="AB133" s="21">
        <f>EXP(-LN(2)/2)*AB132+(1-EXP(-LN(2)/2))/(LN(2)/2)*V133*Y133*VLOOKUP('Données projet'!$B$9,Paramètres!$A$1:$I$89,3,0)*0.475*44/12</f>
        <v>2.8885417054200994E-14</v>
      </c>
      <c r="AC133" s="22">
        <f t="shared" si="111"/>
        <v>2.5162368034416076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285.77483300338548</v>
      </c>
      <c r="AO133" s="59">
        <f t="shared" ref="AO133:AO196" si="144">$AO$3</f>
        <v>320.55212417690637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1.1515631959251484</v>
      </c>
      <c r="AV133" s="21">
        <f>EXP(-LN(2)/25)*AV132+(1-EXP(-LN(2)/25))/(LN(2)/25)*Calculateur!AQ133*Calculateur!AS133*VLOOKUP('Données projet'!$B$10,Paramètres!$A$1:$I$89,3,0)*0.475*44/12</f>
        <v>1.7418667318662147</v>
      </c>
      <c r="AW133" s="21">
        <f>EXP(-LN(2)/2)*AW132+(1-EXP(-LN(2)/2))/(LN(2)/2)*AQ133*AT133*VLOOKUP('Données projet'!$B$10,Paramètres!$A$1:$I$89,3,0)*0.475*44/12</f>
        <v>2.1672611382783096E-14</v>
      </c>
      <c r="AX133" s="21">
        <f t="shared" si="114"/>
        <v>2.8934299277913849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7.9580786405131221E-13</v>
      </c>
      <c r="BE133" s="13">
        <f>BD133*VLOOKUP('Données projet'!$B$11,Paramètres!$A$1:$I$89,3,0)*VLOOKUP('Données projet'!$B$11,Paramètres!$A$1:$I$89,5,0)</f>
        <v>3.8278358260868117E-13</v>
      </c>
      <c r="BF133" s="13">
        <f t="shared" ref="BF133:BF153" si="145">EXP(-1.0587+0.8836*LN(BE133)+0.284)</f>
        <v>4.9186917125089072E-12</v>
      </c>
      <c r="BG133" s="20">
        <f t="shared" si="115"/>
        <v>9.2334028056631319E-12</v>
      </c>
      <c r="BH133" s="59">
        <f t="shared" si="116"/>
        <v>293.33333333334252</v>
      </c>
      <c r="BI133" s="59">
        <f ca="1">AVERAGE(OFFSET($BH$3,0,0,'Données projet'!$E$11+1,1))-AVERAGE(OFFSET($H$3,0,0,'Données projet'!$E$11+1,1))</f>
        <v>327.58421465651799</v>
      </c>
      <c r="BJ133" s="59">
        <f t="shared" ref="BJ133:BJ196" si="146">$BJ$3</f>
        <v>296.73904998640018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0.92993297766177629</v>
      </c>
      <c r="BQ133" s="21">
        <f>EXP(-LN(2)/25)*BQ132+(1-EXP(-LN(2)/25))/(LN(2)/25)*Calculateur!BL133*Calculateur!BN133*VLOOKUP('Données projet'!$B$11,Paramètres!$A$1:$I$89,3,0)*0.475*44/12</f>
        <v>0.83894599642953926</v>
      </c>
      <c r="BR133" s="21">
        <f>EXP(-LN(2)/2)*BR132+(1-EXP(-LN(2)/2))/(LN(2)/2)*BL133*BO133*VLOOKUP('Données projet'!$B$11,Paramètres!$A$1:$I$89,3,0)*0.475*44/12</f>
        <v>1.8574282936818807E-14</v>
      </c>
      <c r="BS133" s="22">
        <f t="shared" si="117"/>
        <v>1.7688789740913342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-5.6843418860808015E-13</v>
      </c>
      <c r="O134" s="13">
        <f>N134*VLOOKUP('Données projet'!$B$9,Paramètres!$A$1:$I$89,3,0)*VLOOKUP('Données projet'!$B$9,Paramètres!$A$1:$I$89,5,0)</f>
        <v>-3.177547114319168E-13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356.67698551373468</v>
      </c>
      <c r="T134" s="59">
        <f t="shared" si="142"/>
        <v>353.21836615408171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0.61806523718705997</v>
      </c>
      <c r="AA134" s="21">
        <f>EXP(-LN(2)/25)*AA133+(1-EXP(-LN(2)/25))/(LN(2)/25)*Calculateur!V134*Calculateur!X134*VLOOKUP('Données projet'!$B$9,Paramètres!$A$1:$I$89,3,0)*0.475*44/12</f>
        <v>1.8342417132128888</v>
      </c>
      <c r="AB134" s="21">
        <f>EXP(-LN(2)/2)*AB133+(1-EXP(-LN(2)/2))/(LN(2)/2)*V134*Y134*VLOOKUP('Données projet'!$B$9,Paramètres!$A$1:$I$89,3,0)*0.475*44/12</f>
        <v>2.042507427642707E-14</v>
      </c>
      <c r="AC134" s="22">
        <f t="shared" si="111"/>
        <v>2.452306950399969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285.77483300338548</v>
      </c>
      <c r="AO134" s="59">
        <f t="shared" si="144"/>
        <v>320.55212417690637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1.1289817440372512</v>
      </c>
      <c r="AV134" s="21">
        <f>EXP(-LN(2)/25)*AV133+(1-EXP(-LN(2)/25))/(LN(2)/25)*Calculateur!AQ134*Calculateur!AS134*VLOOKUP('Données projet'!$B$10,Paramètres!$A$1:$I$89,3,0)*0.475*44/12</f>
        <v>1.6942352944825427</v>
      </c>
      <c r="AW134" s="21">
        <f>EXP(-LN(2)/2)*AW133+(1-EXP(-LN(2)/2))/(LN(2)/2)*AQ134*AT134*VLOOKUP('Données projet'!$B$10,Paramètres!$A$1:$I$89,3,0)*0.475*44/12</f>
        <v>1.5324850474786685E-14</v>
      </c>
      <c r="AX134" s="21">
        <f t="shared" si="114"/>
        <v>2.8232170385198097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7.9580786405131221E-13</v>
      </c>
      <c r="BE134" s="13">
        <f>BD134*VLOOKUP('Données projet'!$B$11,Paramètres!$A$1:$I$89,3,0)*VLOOKUP('Données projet'!$B$11,Paramètres!$A$1:$I$89,5,0)</f>
        <v>3.8278358260868117E-13</v>
      </c>
      <c r="BF134" s="13">
        <f t="shared" si="145"/>
        <v>4.9186917125089072E-12</v>
      </c>
      <c r="BG134" s="20">
        <f t="shared" si="115"/>
        <v>9.2334028056631319E-12</v>
      </c>
      <c r="BH134" s="59">
        <f t="shared" si="116"/>
        <v>293.33333333334252</v>
      </c>
      <c r="BI134" s="59">
        <f ca="1">AVERAGE(OFFSET($BH$3,0,0,'Données projet'!$E$11+1,1))-AVERAGE(OFFSET($H$3,0,0,'Données projet'!$E$11+1,1))</f>
        <v>327.58421465651799</v>
      </c>
      <c r="BJ134" s="59">
        <f t="shared" si="146"/>
        <v>296.73904998640018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0.9116975591729386</v>
      </c>
      <c r="BQ134" s="21">
        <f>EXP(-LN(2)/25)*BQ133+(1-EXP(-LN(2)/25))/(LN(2)/25)*Calculateur!BL134*Calculateur!BN134*VLOOKUP('Données projet'!$B$11,Paramètres!$A$1:$I$89,3,0)*0.475*44/12</f>
        <v>0.81600497403892103</v>
      </c>
      <c r="BR134" s="21">
        <f>EXP(-LN(2)/2)*BR133+(1-EXP(-LN(2)/2))/(LN(2)/2)*BL134*BO134*VLOOKUP('Données projet'!$B$11,Paramètres!$A$1:$I$89,3,0)*0.475*44/12</f>
        <v>1.313400142030216E-14</v>
      </c>
      <c r="BS134" s="22">
        <f t="shared" si="117"/>
        <v>1.7277025332118727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-5.6843418860808015E-13</v>
      </c>
      <c r="O135" s="13">
        <f>N135*VLOOKUP('Données projet'!$B$9,Paramètres!$A$1:$I$89,3,0)*VLOOKUP('Données projet'!$B$9,Paramètres!$A$1:$I$89,5,0)</f>
        <v>-3.177547114319168E-13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356.67698551373468</v>
      </c>
      <c r="T135" s="59">
        <f t="shared" si="142"/>
        <v>353.21836615408171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0.60594535486839252</v>
      </c>
      <c r="AA135" s="21">
        <f>EXP(-LN(2)/25)*AA134+(1-EXP(-LN(2)/25))/(LN(2)/25)*Calculateur!V135*Calculateur!X135*VLOOKUP('Données projet'!$B$9,Paramètres!$A$1:$I$89,3,0)*0.475*44/12</f>
        <v>1.7840842771065029</v>
      </c>
      <c r="AB135" s="21">
        <f>EXP(-LN(2)/2)*AB134+(1-EXP(-LN(2)/2))/(LN(2)/2)*V135*Y135*VLOOKUP('Données projet'!$B$9,Paramètres!$A$1:$I$89,3,0)*0.475*44/12</f>
        <v>1.4442708527100497E-14</v>
      </c>
      <c r="AC135" s="22">
        <f t="shared" si="111"/>
        <v>2.3900296319749099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285.77483300338548</v>
      </c>
      <c r="AO135" s="59">
        <f t="shared" si="144"/>
        <v>320.55212417690637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1.1068431006475499</v>
      </c>
      <c r="AV135" s="21">
        <f>EXP(-LN(2)/25)*AV134+(1-EXP(-LN(2)/25))/(LN(2)/25)*Calculateur!AQ135*Calculateur!AS135*VLOOKUP('Données projet'!$B$10,Paramètres!$A$1:$I$89,3,0)*0.475*44/12</f>
        <v>1.6479063412589556</v>
      </c>
      <c r="AW135" s="21">
        <f>EXP(-LN(2)/2)*AW134+(1-EXP(-LN(2)/2))/(LN(2)/2)*AQ135*AT135*VLOOKUP('Données projet'!$B$10,Paramètres!$A$1:$I$89,3,0)*0.475*44/12</f>
        <v>1.0836305691391548E-14</v>
      </c>
      <c r="AX135" s="21">
        <f t="shared" si="114"/>
        <v>2.7547494419065162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7.9580786405131221E-13</v>
      </c>
      <c r="BE135" s="13">
        <f>BD135*VLOOKUP('Données projet'!$B$11,Paramètres!$A$1:$I$89,3,0)*VLOOKUP('Données projet'!$B$11,Paramètres!$A$1:$I$89,5,0)</f>
        <v>3.8278358260868117E-13</v>
      </c>
      <c r="BF135" s="13">
        <f t="shared" si="145"/>
        <v>4.9186917125089072E-12</v>
      </c>
      <c r="BG135" s="20">
        <f t="shared" si="115"/>
        <v>9.2334028056631319E-12</v>
      </c>
      <c r="BH135" s="59">
        <f t="shared" si="116"/>
        <v>293.33333333334252</v>
      </c>
      <c r="BI135" s="59">
        <f ca="1">AVERAGE(OFFSET($BH$3,0,0,'Données projet'!$E$11+1,1))-AVERAGE(OFFSET($H$3,0,0,'Données projet'!$E$11+1,1))</f>
        <v>327.58421465651799</v>
      </c>
      <c r="BJ135" s="59">
        <f t="shared" si="146"/>
        <v>296.73904998640018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0.89381972611815996</v>
      </c>
      <c r="BQ135" s="21">
        <f>EXP(-LN(2)/25)*BQ134+(1-EXP(-LN(2)/25))/(LN(2)/25)*Calculateur!BL135*Calculateur!BN135*VLOOKUP('Données projet'!$B$11,Paramètres!$A$1:$I$89,3,0)*0.475*44/12</f>
        <v>0.79369127511199011</v>
      </c>
      <c r="BR135" s="21">
        <f>EXP(-LN(2)/2)*BR134+(1-EXP(-LN(2)/2))/(LN(2)/2)*BL135*BO135*VLOOKUP('Données projet'!$B$11,Paramètres!$A$1:$I$89,3,0)*0.475*44/12</f>
        <v>9.2871414684094034E-15</v>
      </c>
      <c r="BS135" s="22">
        <f t="shared" si="117"/>
        <v>1.6875110012301593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-5.6843418860808015E-13</v>
      </c>
      <c r="O136" s="13">
        <f>N136*VLOOKUP('Données projet'!$B$9,Paramètres!$A$1:$I$89,3,0)*VLOOKUP('Données projet'!$B$9,Paramètres!$A$1:$I$89,5,0)</f>
        <v>-3.177547114319168E-13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356.67698551373468</v>
      </c>
      <c r="T136" s="59">
        <f t="shared" si="142"/>
        <v>353.21836615408171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0.59406313604959582</v>
      </c>
      <c r="AA136" s="21">
        <f>EXP(-LN(2)/25)*AA135+(1-EXP(-LN(2)/25))/(LN(2)/25)*Calculateur!V136*Calculateur!X136*VLOOKUP('Données projet'!$B$9,Paramètres!$A$1:$I$89,3,0)*0.475*44/12</f>
        <v>1.735298398728111</v>
      </c>
      <c r="AB136" s="21">
        <f>EXP(-LN(2)/2)*AB135+(1-EXP(-LN(2)/2))/(LN(2)/2)*V136*Y136*VLOOKUP('Données projet'!$B$9,Paramètres!$A$1:$I$89,3,0)*0.475*44/12</f>
        <v>1.0212537138213535E-14</v>
      </c>
      <c r="AC136" s="22">
        <f t="shared" si="111"/>
        <v>2.3293615347777172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285.77483300338548</v>
      </c>
      <c r="AO136" s="59">
        <f t="shared" si="144"/>
        <v>320.55212417690637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1.0851385825514814</v>
      </c>
      <c r="AV136" s="21">
        <f>EXP(-LN(2)/25)*AV135+(1-EXP(-LN(2)/25))/(LN(2)/25)*Calculateur!AQ136*Calculateur!AS136*VLOOKUP('Données projet'!$B$10,Paramètres!$A$1:$I$89,3,0)*0.475*44/12</f>
        <v>1.6028442556976013</v>
      </c>
      <c r="AW136" s="21">
        <f>EXP(-LN(2)/2)*AW135+(1-EXP(-LN(2)/2))/(LN(2)/2)*AQ136*AT136*VLOOKUP('Données projet'!$B$10,Paramètres!$A$1:$I$89,3,0)*0.475*44/12</f>
        <v>7.6624252373933427E-15</v>
      </c>
      <c r="AX136" s="21">
        <f t="shared" si="114"/>
        <v>2.68798283824909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7.9580786405131221E-13</v>
      </c>
      <c r="BE136" s="13">
        <f>BD136*VLOOKUP('Données projet'!$B$11,Paramètres!$A$1:$I$89,3,0)*VLOOKUP('Données projet'!$B$11,Paramètres!$A$1:$I$89,5,0)</f>
        <v>3.8278358260868117E-13</v>
      </c>
      <c r="BF136" s="13">
        <f t="shared" si="145"/>
        <v>4.9186917125089072E-12</v>
      </c>
      <c r="BG136" s="20">
        <f t="shared" si="115"/>
        <v>9.2334028056631319E-12</v>
      </c>
      <c r="BH136" s="59">
        <f t="shared" si="116"/>
        <v>293.33333333334252</v>
      </c>
      <c r="BI136" s="59">
        <f ca="1">AVERAGE(OFFSET($BH$3,0,0,'Données projet'!$E$11+1,1))-AVERAGE(OFFSET($H$3,0,0,'Données projet'!$E$11+1,1))</f>
        <v>327.58421465651799</v>
      </c>
      <c r="BJ136" s="59">
        <f t="shared" si="146"/>
        <v>296.73904998640018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0.87629246646518411</v>
      </c>
      <c r="BQ136" s="21">
        <f>EXP(-LN(2)/25)*BQ135+(1-EXP(-LN(2)/25))/(LN(2)/25)*Calculateur!BL136*Calculateur!BN136*VLOOKUP('Données projet'!$B$11,Paramètres!$A$1:$I$89,3,0)*0.475*44/12</f>
        <v>0.77198774545564264</v>
      </c>
      <c r="BR136" s="21">
        <f>EXP(-LN(2)/2)*BR135+(1-EXP(-LN(2)/2))/(LN(2)/2)*BL136*BO136*VLOOKUP('Données projet'!$B$11,Paramètres!$A$1:$I$89,3,0)*0.475*44/12</f>
        <v>6.5670007101510798E-15</v>
      </c>
      <c r="BS136" s="22">
        <f t="shared" si="117"/>
        <v>1.6482802119208335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-5.6843418860808015E-13</v>
      </c>
      <c r="O137" s="13">
        <f>N137*VLOOKUP('Données projet'!$B$9,Paramètres!$A$1:$I$89,3,0)*VLOOKUP('Données projet'!$B$9,Paramètres!$A$1:$I$89,5,0)</f>
        <v>-3.177547114319168E-13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356.67698551373468</v>
      </c>
      <c r="T137" s="59">
        <f t="shared" si="142"/>
        <v>353.21836615408171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0.58241392029439787</v>
      </c>
      <c r="AA137" s="21">
        <f>EXP(-LN(2)/25)*AA136+(1-EXP(-LN(2)/25))/(LN(2)/25)*Calculateur!V137*Calculateur!X137*VLOOKUP('Données projet'!$B$9,Paramètres!$A$1:$I$89,3,0)*0.475*44/12</f>
        <v>1.687846572759514</v>
      </c>
      <c r="AB137" s="21">
        <f>EXP(-LN(2)/2)*AB136+(1-EXP(-LN(2)/2))/(LN(2)/2)*V137*Y137*VLOOKUP('Données projet'!$B$9,Paramètres!$A$1:$I$89,3,0)*0.475*44/12</f>
        <v>7.2213542635502485E-15</v>
      </c>
      <c r="AC137" s="22">
        <f t="shared" si="111"/>
        <v>2.270260493053919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285.77483300338548</v>
      </c>
      <c r="AO137" s="59">
        <f t="shared" si="144"/>
        <v>320.55212417690637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1.063859676816828</v>
      </c>
      <c r="AV137" s="21">
        <f>EXP(-LN(2)/25)*AV136+(1-EXP(-LN(2)/25))/(LN(2)/25)*Calculateur!AQ137*Calculateur!AS137*VLOOKUP('Données projet'!$B$10,Paramètres!$A$1:$I$89,3,0)*0.475*44/12</f>
        <v>1.5590143952356343</v>
      </c>
      <c r="AW137" s="21">
        <f>EXP(-LN(2)/2)*AW136+(1-EXP(-LN(2)/2))/(LN(2)/2)*AQ137*AT137*VLOOKUP('Données projet'!$B$10,Paramètres!$A$1:$I$89,3,0)*0.475*44/12</f>
        <v>5.4181528456957739E-15</v>
      </c>
      <c r="AX137" s="21">
        <f t="shared" si="114"/>
        <v>2.6228740720524675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7.9580786405131221E-13</v>
      </c>
      <c r="BE137" s="13">
        <f>BD137*VLOOKUP('Données projet'!$B$11,Paramètres!$A$1:$I$89,3,0)*VLOOKUP('Données projet'!$B$11,Paramètres!$A$1:$I$89,5,0)</f>
        <v>3.8278358260868117E-13</v>
      </c>
      <c r="BF137" s="13">
        <f t="shared" si="145"/>
        <v>4.9186917125089072E-12</v>
      </c>
      <c r="BG137" s="20">
        <f t="shared" si="115"/>
        <v>9.2334028056631319E-12</v>
      </c>
      <c r="BH137" s="59">
        <f t="shared" si="116"/>
        <v>293.33333333334252</v>
      </c>
      <c r="BI137" s="59">
        <f ca="1">AVERAGE(OFFSET($BH$3,0,0,'Données projet'!$E$11+1,1))-AVERAGE(OFFSET($H$3,0,0,'Données projet'!$E$11+1,1))</f>
        <v>327.58421465651799</v>
      </c>
      <c r="BJ137" s="59">
        <f t="shared" si="146"/>
        <v>296.73904998640018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0.85910890568343035</v>
      </c>
      <c r="BQ137" s="21">
        <f>EXP(-LN(2)/25)*BQ136+(1-EXP(-LN(2)/25))/(LN(2)/25)*Calculateur!BL137*Calculateur!BN137*VLOOKUP('Données projet'!$B$11,Paramètres!$A$1:$I$89,3,0)*0.475*44/12</f>
        <v>0.75087769995908693</v>
      </c>
      <c r="BR137" s="21">
        <f>EXP(-LN(2)/2)*BR136+(1-EXP(-LN(2)/2))/(LN(2)/2)*BL137*BO137*VLOOKUP('Données projet'!$B$11,Paramètres!$A$1:$I$89,3,0)*0.475*44/12</f>
        <v>4.6435707342047017E-15</v>
      </c>
      <c r="BS137" s="22">
        <f t="shared" si="117"/>
        <v>1.6099866056425218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-5.6843418860808015E-13</v>
      </c>
      <c r="O138" s="13">
        <f>N138*VLOOKUP('Données projet'!$B$9,Paramètres!$A$1:$I$89,3,0)*VLOOKUP('Données projet'!$B$9,Paramètres!$A$1:$I$89,5,0)</f>
        <v>-3.177547114319168E-13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356.67698551373468</v>
      </c>
      <c r="T138" s="59">
        <f t="shared" si="142"/>
        <v>353.21836615408171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0.57099313855483935</v>
      </c>
      <c r="AA138" s="21">
        <f>EXP(-LN(2)/25)*AA137+(1-EXP(-LN(2)/25))/(LN(2)/25)*Calculateur!V138*Calculateur!X138*VLOOKUP('Données projet'!$B$9,Paramètres!$A$1:$I$89,3,0)*0.475*44/12</f>
        <v>1.6416923194674113</v>
      </c>
      <c r="AB138" s="21">
        <f>EXP(-LN(2)/2)*AB137+(1-EXP(-LN(2)/2))/(LN(2)/2)*V138*Y138*VLOOKUP('Données projet'!$B$9,Paramètres!$A$1:$I$89,3,0)*0.475*44/12</f>
        <v>5.1062685691067676E-15</v>
      </c>
      <c r="AC138" s="22">
        <f t="shared" si="111"/>
        <v>2.2126854580222557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285.77483300338548</v>
      </c>
      <c r="AO138" s="59">
        <f t="shared" si="144"/>
        <v>320.55212417690637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1.0429980374447803</v>
      </c>
      <c r="AV138" s="21">
        <f>EXP(-LN(2)/25)*AV137+(1-EXP(-LN(2)/25))/(LN(2)/25)*Calculateur!AQ138*Calculateur!AS138*VLOOKUP('Données projet'!$B$10,Paramètres!$A$1:$I$89,3,0)*0.475*44/12</f>
        <v>1.5163830646129119</v>
      </c>
      <c r="AW138" s="21">
        <f>EXP(-LN(2)/2)*AW137+(1-EXP(-LN(2)/2))/(LN(2)/2)*AQ138*AT138*VLOOKUP('Données projet'!$B$10,Paramètres!$A$1:$I$89,3,0)*0.475*44/12</f>
        <v>3.8312126186966713E-15</v>
      </c>
      <c r="AX138" s="21">
        <f t="shared" si="114"/>
        <v>2.5593811020576962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7.9580786405131221E-13</v>
      </c>
      <c r="BE138" s="13">
        <f>BD138*VLOOKUP('Données projet'!$B$11,Paramètres!$A$1:$I$89,3,0)*VLOOKUP('Données projet'!$B$11,Paramètres!$A$1:$I$89,5,0)</f>
        <v>3.8278358260868117E-13</v>
      </c>
      <c r="BF138" s="13">
        <f t="shared" si="145"/>
        <v>4.9186917125089072E-12</v>
      </c>
      <c r="BG138" s="20">
        <f t="shared" si="115"/>
        <v>9.2334028056631319E-12</v>
      </c>
      <c r="BH138" s="59">
        <f t="shared" si="116"/>
        <v>293.33333333334252</v>
      </c>
      <c r="BI138" s="59">
        <f ca="1">AVERAGE(OFFSET($BH$3,0,0,'Données projet'!$E$11+1,1))-AVERAGE(OFFSET($H$3,0,0,'Données projet'!$E$11+1,1))</f>
        <v>327.58421465651799</v>
      </c>
      <c r="BJ138" s="59">
        <f t="shared" si="146"/>
        <v>296.73904998640018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0.84226230404766955</v>
      </c>
      <c r="BQ138" s="21">
        <f>EXP(-LN(2)/25)*BQ137+(1-EXP(-LN(2)/25))/(LN(2)/25)*Calculateur!BL138*Calculateur!BN138*VLOOKUP('Données projet'!$B$11,Paramètres!$A$1:$I$89,3,0)*0.475*44/12</f>
        <v>0.73034490976676358</v>
      </c>
      <c r="BR138" s="21">
        <f>EXP(-LN(2)/2)*BR137+(1-EXP(-LN(2)/2))/(LN(2)/2)*BL138*BO138*VLOOKUP('Données projet'!$B$11,Paramètres!$A$1:$I$89,3,0)*0.475*44/12</f>
        <v>3.2835003550755399E-15</v>
      </c>
      <c r="BS138" s="22">
        <f t="shared" si="117"/>
        <v>1.5726072138144365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-5.6843418860808015E-13</v>
      </c>
      <c r="O139" s="13">
        <f>N139*VLOOKUP('Données projet'!$B$9,Paramètres!$A$1:$I$89,3,0)*VLOOKUP('Données projet'!$B$9,Paramètres!$A$1:$I$89,5,0)</f>
        <v>-3.177547114319168E-13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356.67698551373468</v>
      </c>
      <c r="T139" s="59">
        <f t="shared" si="142"/>
        <v>353.21836615408171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0.55979631137920449</v>
      </c>
      <c r="AA139" s="21">
        <f>EXP(-LN(2)/25)*AA138+(1-EXP(-LN(2)/25))/(LN(2)/25)*Calculateur!V139*Calculateur!X139*VLOOKUP('Données projet'!$B$9,Paramètres!$A$1:$I$89,3,0)*0.475*44/12</f>
        <v>1.596800156658728</v>
      </c>
      <c r="AB139" s="21">
        <f>EXP(-LN(2)/2)*AB138+(1-EXP(-LN(2)/2))/(LN(2)/2)*V139*Y139*VLOOKUP('Données projet'!$B$9,Paramètres!$A$1:$I$89,3,0)*0.475*44/12</f>
        <v>3.6106771317751242E-15</v>
      </c>
      <c r="AC139" s="22">
        <f t="shared" si="111"/>
        <v>2.1565964680379359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285.77483300338548</v>
      </c>
      <c r="AO139" s="59">
        <f t="shared" si="144"/>
        <v>320.55212417690637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1.0225454820964748</v>
      </c>
      <c r="AV139" s="21">
        <f>EXP(-LN(2)/25)*AV138+(1-EXP(-LN(2)/25))/(LN(2)/25)*Calculateur!AQ139*Calculateur!AS139*VLOOKUP('Données projet'!$B$10,Paramètres!$A$1:$I$89,3,0)*0.475*44/12</f>
        <v>1.4749174899679522</v>
      </c>
      <c r="AW139" s="21">
        <f>EXP(-LN(2)/2)*AW138+(1-EXP(-LN(2)/2))/(LN(2)/2)*AQ139*AT139*VLOOKUP('Données projet'!$B$10,Paramètres!$A$1:$I$89,3,0)*0.475*44/12</f>
        <v>2.709076422847887E-15</v>
      </c>
      <c r="AX139" s="21">
        <f t="shared" si="114"/>
        <v>2.4974629720644295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7.9580786405131221E-13</v>
      </c>
      <c r="BE139" s="13">
        <f>BD139*VLOOKUP('Données projet'!$B$11,Paramètres!$A$1:$I$89,3,0)*VLOOKUP('Données projet'!$B$11,Paramètres!$A$1:$I$89,5,0)</f>
        <v>3.8278358260868117E-13</v>
      </c>
      <c r="BF139" s="13">
        <f t="shared" si="145"/>
        <v>4.9186917125089072E-12</v>
      </c>
      <c r="BG139" s="20">
        <f t="shared" si="115"/>
        <v>9.2334028056631319E-12</v>
      </c>
      <c r="BH139" s="59">
        <f t="shared" si="116"/>
        <v>293.33333333334252</v>
      </c>
      <c r="BI139" s="59">
        <f ca="1">AVERAGE(OFFSET($BH$3,0,0,'Données projet'!$E$11+1,1))-AVERAGE(OFFSET($H$3,0,0,'Données projet'!$E$11+1,1))</f>
        <v>327.58421465651799</v>
      </c>
      <c r="BJ139" s="59">
        <f t="shared" si="146"/>
        <v>296.73904998640018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0.82574605399457368</v>
      </c>
      <c r="BQ139" s="21">
        <f>EXP(-LN(2)/25)*BQ138+(1-EXP(-LN(2)/25))/(LN(2)/25)*Calculateur!BL139*Calculateur!BN139*VLOOKUP('Données projet'!$B$11,Paramètres!$A$1:$I$89,3,0)*0.475*44/12</f>
        <v>0.71037358980202181</v>
      </c>
      <c r="BR139" s="21">
        <f>EXP(-LN(2)/2)*BR138+(1-EXP(-LN(2)/2))/(LN(2)/2)*BL139*BO139*VLOOKUP('Données projet'!$B$11,Paramètres!$A$1:$I$89,3,0)*0.475*44/12</f>
        <v>2.3217853671023508E-15</v>
      </c>
      <c r="BS139" s="22">
        <f t="shared" si="117"/>
        <v>1.5361196437965976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-5.6843418860808015E-13</v>
      </c>
      <c r="O140" s="13">
        <f>N140*VLOOKUP('Données projet'!$B$9,Paramètres!$A$1:$I$89,3,0)*VLOOKUP('Données projet'!$B$9,Paramètres!$A$1:$I$89,5,0)</f>
        <v>-3.177547114319168E-13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356.67698551373468</v>
      </c>
      <c r="T140" s="59">
        <f t="shared" si="142"/>
        <v>353.21836615408171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0.54881904715509366</v>
      </c>
      <c r="AA140" s="21">
        <f>EXP(-LN(2)/25)*AA139+(1-EXP(-LN(2)/25))/(LN(2)/25)*Calculateur!V140*Calculateur!X140*VLOOKUP('Données projet'!$B$9,Paramètres!$A$1:$I$89,3,0)*0.475*44/12</f>
        <v>1.5531355724028244</v>
      </c>
      <c r="AB140" s="21">
        <f>EXP(-LN(2)/2)*AB139+(1-EXP(-LN(2)/2))/(LN(2)/2)*V140*Y140*VLOOKUP('Données projet'!$B$9,Paramètres!$A$1:$I$89,3,0)*0.475*44/12</f>
        <v>2.5531342845533838E-15</v>
      </c>
      <c r="AC140" s="22">
        <f t="shared" si="111"/>
        <v>2.1019546195579206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285.77483300338548</v>
      </c>
      <c r="AO140" s="59">
        <f t="shared" si="144"/>
        <v>320.55212417690637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1.0024939888837225</v>
      </c>
      <c r="AV140" s="21">
        <f>EXP(-LN(2)/25)*AV139+(1-EXP(-LN(2)/25))/(LN(2)/25)*Calculateur!AQ140*Calculateur!AS140*VLOOKUP('Données projet'!$B$10,Paramètres!$A$1:$I$89,3,0)*0.475*44/12</f>
        <v>1.4345857936422388</v>
      </c>
      <c r="AW140" s="21">
        <f>EXP(-LN(2)/2)*AW139+(1-EXP(-LN(2)/2))/(LN(2)/2)*AQ140*AT140*VLOOKUP('Données projet'!$B$10,Paramètres!$A$1:$I$89,3,0)*0.475*44/12</f>
        <v>1.9156063093483357E-15</v>
      </c>
      <c r="AX140" s="21">
        <f t="shared" si="114"/>
        <v>2.4370797825259629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7.9580786405131221E-13</v>
      </c>
      <c r="BE140" s="13">
        <f>BD140*VLOOKUP('Données projet'!$B$11,Paramètres!$A$1:$I$89,3,0)*VLOOKUP('Données projet'!$B$11,Paramètres!$A$1:$I$89,5,0)</f>
        <v>3.8278358260868117E-13</v>
      </c>
      <c r="BF140" s="13">
        <f t="shared" si="145"/>
        <v>4.9186917125089072E-12</v>
      </c>
      <c r="BG140" s="20">
        <f t="shared" si="115"/>
        <v>9.2334028056631319E-12</v>
      </c>
      <c r="BH140" s="59">
        <f t="shared" si="116"/>
        <v>293.33333333334252</v>
      </c>
      <c r="BI140" s="59">
        <f ca="1">AVERAGE(OFFSET($BH$3,0,0,'Données projet'!$E$11+1,1))-AVERAGE(OFFSET($H$3,0,0,'Données projet'!$E$11+1,1))</f>
        <v>327.58421465651799</v>
      </c>
      <c r="BJ140" s="59">
        <f t="shared" si="146"/>
        <v>296.73904998640018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0.80955367753110119</v>
      </c>
      <c r="BQ140" s="21">
        <f>EXP(-LN(2)/25)*BQ139+(1-EXP(-LN(2)/25))/(LN(2)/25)*Calculateur!BL140*Calculateur!BN140*VLOOKUP('Données projet'!$B$11,Paramètres!$A$1:$I$89,3,0)*0.475*44/12</f>
        <v>0.69094838663196201</v>
      </c>
      <c r="BR140" s="21">
        <f>EXP(-LN(2)/2)*BR139+(1-EXP(-LN(2)/2))/(LN(2)/2)*BL140*BO140*VLOOKUP('Données projet'!$B$11,Paramètres!$A$1:$I$89,3,0)*0.475*44/12</f>
        <v>1.6417501775377699E-15</v>
      </c>
      <c r="BS140" s="22">
        <f t="shared" si="117"/>
        <v>1.5005020641630649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-5.6843418860808015E-13</v>
      </c>
      <c r="O141" s="13">
        <f>N141*VLOOKUP('Données projet'!$B$9,Paramètres!$A$1:$I$89,3,0)*VLOOKUP('Données projet'!$B$9,Paramètres!$A$1:$I$89,5,0)</f>
        <v>-3.177547114319168E-13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356.67698551373468</v>
      </c>
      <c r="T141" s="59">
        <f t="shared" si="142"/>
        <v>353.21836615408171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0.53805704038694757</v>
      </c>
      <c r="AA141" s="21">
        <f>EXP(-LN(2)/25)*AA140+(1-EXP(-LN(2)/25))/(LN(2)/25)*Calculateur!V141*Calculateur!X141*VLOOKUP('Données projet'!$B$9,Paramètres!$A$1:$I$89,3,0)*0.475*44/12</f>
        <v>1.5106649984996192</v>
      </c>
      <c r="AB141" s="21">
        <f>EXP(-LN(2)/2)*AB140+(1-EXP(-LN(2)/2))/(LN(2)/2)*V141*Y141*VLOOKUP('Données projet'!$B$9,Paramètres!$A$1:$I$89,3,0)*0.475*44/12</f>
        <v>1.8053385658875621E-15</v>
      </c>
      <c r="AC141" s="22">
        <f t="shared" si="111"/>
        <v>2.0487220388865683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285.77483300338548</v>
      </c>
      <c r="AO141" s="59">
        <f t="shared" si="144"/>
        <v>320.55212417690637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0.98283569322266917</v>
      </c>
      <c r="AV141" s="21">
        <f>EXP(-LN(2)/25)*AV140+(1-EXP(-LN(2)/25))/(LN(2)/25)*Calculateur!AQ141*Calculateur!AS141*VLOOKUP('Données projet'!$B$10,Paramètres!$A$1:$I$89,3,0)*0.475*44/12</f>
        <v>1.3953569696735038</v>
      </c>
      <c r="AW141" s="21">
        <f>EXP(-LN(2)/2)*AW140+(1-EXP(-LN(2)/2))/(LN(2)/2)*AQ141*AT141*VLOOKUP('Données projet'!$B$10,Paramètres!$A$1:$I$89,3,0)*0.475*44/12</f>
        <v>1.3545382114239435E-15</v>
      </c>
      <c r="AX141" s="21">
        <f t="shared" si="114"/>
        <v>2.3781926628961743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7.9580786405131221E-13</v>
      </c>
      <c r="BE141" s="13">
        <f>BD141*VLOOKUP('Données projet'!$B$11,Paramètres!$A$1:$I$89,3,0)*VLOOKUP('Données projet'!$B$11,Paramètres!$A$1:$I$89,5,0)</f>
        <v>3.8278358260868117E-13</v>
      </c>
      <c r="BF141" s="13">
        <f t="shared" si="145"/>
        <v>4.9186917125089072E-12</v>
      </c>
      <c r="BG141" s="20">
        <f t="shared" si="115"/>
        <v>9.2334028056631319E-12</v>
      </c>
      <c r="BH141" s="59">
        <f t="shared" si="116"/>
        <v>293.33333333334252</v>
      </c>
      <c r="BI141" s="59">
        <f ca="1">AVERAGE(OFFSET($BH$3,0,0,'Données projet'!$E$11+1,1))-AVERAGE(OFFSET($H$3,0,0,'Données projet'!$E$11+1,1))</f>
        <v>327.58421465651799</v>
      </c>
      <c r="BJ141" s="59">
        <f t="shared" si="146"/>
        <v>296.73904998640018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0.79367882369370302</v>
      </c>
      <c r="BQ141" s="21">
        <f>EXP(-LN(2)/25)*BQ140+(1-EXP(-LN(2)/25))/(LN(2)/25)*Calculateur!BL141*Calculateur!BN141*VLOOKUP('Données projet'!$B$11,Paramètres!$A$1:$I$89,3,0)*0.475*44/12</f>
        <v>0.67205436666411456</v>
      </c>
      <c r="BR141" s="21">
        <f>EXP(-LN(2)/2)*BR140+(1-EXP(-LN(2)/2))/(LN(2)/2)*BL141*BO141*VLOOKUP('Données projet'!$B$11,Paramètres!$A$1:$I$89,3,0)*0.475*44/12</f>
        <v>1.1608926835511754E-15</v>
      </c>
      <c r="BS141" s="22">
        <f t="shared" si="117"/>
        <v>1.4657331903578188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-5.6843418860808015E-13</v>
      </c>
      <c r="O142" s="13">
        <f>N142*VLOOKUP('Données projet'!$B$9,Paramètres!$A$1:$I$89,3,0)*VLOOKUP('Données projet'!$B$9,Paramètres!$A$1:$I$89,5,0)</f>
        <v>-3.177547114319168E-13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356.67698551373468</v>
      </c>
      <c r="T142" s="59">
        <f t="shared" si="142"/>
        <v>353.21836615408171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0.52750607000734884</v>
      </c>
      <c r="AA142" s="21">
        <f>EXP(-LN(2)/25)*AA141+(1-EXP(-LN(2)/25))/(LN(2)/25)*Calculateur!V142*Calculateur!X142*VLOOKUP('Données projet'!$B$9,Paramètres!$A$1:$I$89,3,0)*0.475*44/12</f>
        <v>1.4693557846732275</v>
      </c>
      <c r="AB142" s="21">
        <f>EXP(-LN(2)/2)*AB141+(1-EXP(-LN(2)/2))/(LN(2)/2)*V142*Y142*VLOOKUP('Données projet'!$B$9,Paramètres!$A$1:$I$89,3,0)*0.475*44/12</f>
        <v>1.2765671422766919E-15</v>
      </c>
      <c r="AC142" s="22">
        <f t="shared" si="111"/>
        <v>1.9968618546805776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285.77483300338548</v>
      </c>
      <c r="AO142" s="59">
        <f t="shared" si="144"/>
        <v>320.55212417690637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0.96356288474915264</v>
      </c>
      <c r="AV142" s="21">
        <f>EXP(-LN(2)/25)*AV141+(1-EXP(-LN(2)/25))/(LN(2)/25)*Calculateur!AQ142*Calculateur!AS142*VLOOKUP('Données projet'!$B$10,Paramètres!$A$1:$I$89,3,0)*0.475*44/12</f>
        <v>1.3572008599591479</v>
      </c>
      <c r="AW142" s="21">
        <f>EXP(-LN(2)/2)*AW141+(1-EXP(-LN(2)/2))/(LN(2)/2)*AQ142*AT142*VLOOKUP('Données projet'!$B$10,Paramètres!$A$1:$I$89,3,0)*0.475*44/12</f>
        <v>9.5780315467416783E-16</v>
      </c>
      <c r="AX142" s="21">
        <f t="shared" si="114"/>
        <v>2.3207637447083016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7.9580786405131221E-13</v>
      </c>
      <c r="BE142" s="13">
        <f>BD142*VLOOKUP('Données projet'!$B$11,Paramètres!$A$1:$I$89,3,0)*VLOOKUP('Données projet'!$B$11,Paramètres!$A$1:$I$89,5,0)</f>
        <v>3.8278358260868117E-13</v>
      </c>
      <c r="BF142" s="13">
        <f t="shared" si="145"/>
        <v>4.9186917125089072E-12</v>
      </c>
      <c r="BG142" s="20">
        <f t="shared" si="115"/>
        <v>9.2334028056631319E-12</v>
      </c>
      <c r="BH142" s="59">
        <f t="shared" si="116"/>
        <v>293.33333333334252</v>
      </c>
      <c r="BI142" s="59">
        <f ca="1">AVERAGE(OFFSET($BH$3,0,0,'Données projet'!$E$11+1,1))-AVERAGE(OFFSET($H$3,0,0,'Données projet'!$E$11+1,1))</f>
        <v>327.58421465651799</v>
      </c>
      <c r="BJ142" s="59">
        <f t="shared" si="146"/>
        <v>296.73904998640018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0.77811526605735137</v>
      </c>
      <c r="BQ142" s="21">
        <f>EXP(-LN(2)/25)*BQ141+(1-EXP(-LN(2)/25))/(LN(2)/25)*Calculateur!BL142*Calculateur!BN142*VLOOKUP('Données projet'!$B$11,Paramètres!$A$1:$I$89,3,0)*0.475*44/12</f>
        <v>0.65367700466588119</v>
      </c>
      <c r="BR142" s="21">
        <f>EXP(-LN(2)/2)*BR141+(1-EXP(-LN(2)/2))/(LN(2)/2)*BL142*BO142*VLOOKUP('Données projet'!$B$11,Paramètres!$A$1:$I$89,3,0)*0.475*44/12</f>
        <v>8.2087508876888497E-16</v>
      </c>
      <c r="BS142" s="22">
        <f t="shared" si="117"/>
        <v>1.4317922707232333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-5.6843418860808015E-13</v>
      </c>
      <c r="O143" s="13">
        <f>N143*VLOOKUP('Données projet'!$B$9,Paramètres!$A$1:$I$89,3,0)*VLOOKUP('Données projet'!$B$9,Paramètres!$A$1:$I$89,5,0)</f>
        <v>-3.177547114319168E-13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356.67698551373468</v>
      </c>
      <c r="T143" s="59">
        <f t="shared" si="142"/>
        <v>353.21836615408171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0.51716199772143756</v>
      </c>
      <c r="AA143" s="21">
        <f>EXP(-LN(2)/25)*AA142+(1-EXP(-LN(2)/25))/(LN(2)/25)*Calculateur!V143*Calculateur!X143*VLOOKUP('Données projet'!$B$9,Paramètres!$A$1:$I$89,3,0)*0.475*44/12</f>
        <v>1.4291761734712756</v>
      </c>
      <c r="AB143" s="21">
        <f>EXP(-LN(2)/2)*AB142+(1-EXP(-LN(2)/2))/(LN(2)/2)*V143*Y143*VLOOKUP('Données projet'!$B$9,Paramètres!$A$1:$I$89,3,0)*0.475*44/12</f>
        <v>9.0266928294378106E-16</v>
      </c>
      <c r="AC143" s="22">
        <f t="shared" si="111"/>
        <v>1.9463381711927141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285.77483300338548</v>
      </c>
      <c r="AO143" s="59">
        <f t="shared" si="144"/>
        <v>320.55212417690637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0.94466800429454933</v>
      </c>
      <c r="AV143" s="21">
        <f>EXP(-LN(2)/25)*AV142+(1-EXP(-LN(2)/25))/(LN(2)/25)*Calculateur!AQ143*Calculateur!AS143*VLOOKUP('Données projet'!$B$10,Paramètres!$A$1:$I$89,3,0)*0.475*44/12</f>
        <v>1.3200881310714736</v>
      </c>
      <c r="AW143" s="21">
        <f>EXP(-LN(2)/2)*AW142+(1-EXP(-LN(2)/2))/(LN(2)/2)*AQ143*AT143*VLOOKUP('Données projet'!$B$10,Paramètres!$A$1:$I$89,3,0)*0.475*44/12</f>
        <v>6.7726910571197174E-16</v>
      </c>
      <c r="AX143" s="21">
        <f t="shared" si="114"/>
        <v>2.2647561353660239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7.9580786405131221E-13</v>
      </c>
      <c r="BE143" s="13">
        <f>BD143*VLOOKUP('Données projet'!$B$11,Paramètres!$A$1:$I$89,3,0)*VLOOKUP('Données projet'!$B$11,Paramètres!$A$1:$I$89,5,0)</f>
        <v>3.8278358260868117E-13</v>
      </c>
      <c r="BF143" s="13">
        <f t="shared" si="145"/>
        <v>4.9186917125089072E-12</v>
      </c>
      <c r="BG143" s="20">
        <f t="shared" si="115"/>
        <v>9.2334028056631319E-12</v>
      </c>
      <c r="BH143" s="59">
        <f t="shared" si="116"/>
        <v>293.33333333334252</v>
      </c>
      <c r="BI143" s="59">
        <f ca="1">AVERAGE(OFFSET($BH$3,0,0,'Données projet'!$E$11+1,1))-AVERAGE(OFFSET($H$3,0,0,'Données projet'!$E$11+1,1))</f>
        <v>327.58421465651799</v>
      </c>
      <c r="BJ143" s="59">
        <f t="shared" si="146"/>
        <v>296.73904998640018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0.7628569002934158</v>
      </c>
      <c r="BQ143" s="21">
        <f>EXP(-LN(2)/25)*BQ142+(1-EXP(-LN(2)/25))/(LN(2)/25)*Calculateur!BL143*Calculateur!BN143*VLOOKUP('Données projet'!$B$11,Paramètres!$A$1:$I$89,3,0)*0.475*44/12</f>
        <v>0.63580217259791294</v>
      </c>
      <c r="BR143" s="21">
        <f>EXP(-LN(2)/2)*BR142+(1-EXP(-LN(2)/2))/(LN(2)/2)*BL143*BO143*VLOOKUP('Données projet'!$B$11,Paramètres!$A$1:$I$89,3,0)*0.475*44/12</f>
        <v>5.8044634177558771E-16</v>
      </c>
      <c r="BS143" s="22">
        <f t="shared" si="117"/>
        <v>1.3986590728913295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-5.6843418860808015E-13</v>
      </c>
      <c r="O144" s="13">
        <f>N144*VLOOKUP('Données projet'!$B$9,Paramètres!$A$1:$I$89,3,0)*VLOOKUP('Données projet'!$B$9,Paramètres!$A$1:$I$89,5,0)</f>
        <v>-3.177547114319168E-13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356.67698551373468</v>
      </c>
      <c r="T144" s="59">
        <f t="shared" si="142"/>
        <v>353.21836615408171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0.5070207663837919</v>
      </c>
      <c r="AA144" s="21">
        <f>EXP(-LN(2)/25)*AA143+(1-EXP(-LN(2)/25))/(LN(2)/25)*Calculateur!V144*Calculateur!X144*VLOOKUP('Données projet'!$B$9,Paramètres!$A$1:$I$89,3,0)*0.475*44/12</f>
        <v>1.3900952758505949</v>
      </c>
      <c r="AB144" s="21">
        <f>EXP(-LN(2)/2)*AB143+(1-EXP(-LN(2)/2))/(LN(2)/2)*V144*Y144*VLOOKUP('Données projet'!$B$9,Paramètres!$A$1:$I$89,3,0)*0.475*44/12</f>
        <v>6.3828357113834595E-16</v>
      </c>
      <c r="AC144" s="22">
        <f t="shared" si="111"/>
        <v>1.8971160422343873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285.77483300338548</v>
      </c>
      <c r="AO144" s="59">
        <f t="shared" si="144"/>
        <v>320.55212417690637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0.92614364092092172</v>
      </c>
      <c r="AV144" s="21">
        <f>EXP(-LN(2)/25)*AV143+(1-EXP(-LN(2)/25))/(LN(2)/25)*Calculateur!AQ144*Calculateur!AS144*VLOOKUP('Données projet'!$B$10,Paramètres!$A$1:$I$89,3,0)*0.475*44/12</f>
        <v>1.2839902517069064</v>
      </c>
      <c r="AW144" s="21">
        <f>EXP(-LN(2)/2)*AW143+(1-EXP(-LN(2)/2))/(LN(2)/2)*AQ144*AT144*VLOOKUP('Données projet'!$B$10,Paramètres!$A$1:$I$89,3,0)*0.475*44/12</f>
        <v>4.7890157733708392E-16</v>
      </c>
      <c r="AX144" s="21">
        <f t="shared" si="114"/>
        <v>2.2101338926278284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7.9580786405131221E-13</v>
      </c>
      <c r="BE144" s="13">
        <f>BD144*VLOOKUP('Données projet'!$B$11,Paramètres!$A$1:$I$89,3,0)*VLOOKUP('Données projet'!$B$11,Paramètres!$A$1:$I$89,5,0)</f>
        <v>3.8278358260868117E-13</v>
      </c>
      <c r="BF144" s="13">
        <f t="shared" si="145"/>
        <v>4.9186917125089072E-12</v>
      </c>
      <c r="BG144" s="20">
        <f t="shared" si="115"/>
        <v>9.2334028056631319E-12</v>
      </c>
      <c r="BH144" s="59">
        <f t="shared" si="116"/>
        <v>293.33333333334252</v>
      </c>
      <c r="BI144" s="59">
        <f ca="1">AVERAGE(OFFSET($BH$3,0,0,'Données projet'!$E$11+1,1))-AVERAGE(OFFSET($H$3,0,0,'Données projet'!$E$11+1,1))</f>
        <v>327.58421465651799</v>
      </c>
      <c r="BJ144" s="59">
        <f t="shared" si="146"/>
        <v>296.73904998640018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0.74789774177542689</v>
      </c>
      <c r="BQ144" s="21">
        <f>EXP(-LN(2)/25)*BQ143+(1-EXP(-LN(2)/25))/(LN(2)/25)*Calculateur!BL144*Calculateur!BN144*VLOOKUP('Données projet'!$B$11,Paramètres!$A$1:$I$89,3,0)*0.475*44/12</f>
        <v>0.61841612875283991</v>
      </c>
      <c r="BR144" s="21">
        <f>EXP(-LN(2)/2)*BR143+(1-EXP(-LN(2)/2))/(LN(2)/2)*BL144*BO144*VLOOKUP('Données projet'!$B$11,Paramètres!$A$1:$I$89,3,0)*0.475*44/12</f>
        <v>4.1043754438444249E-16</v>
      </c>
      <c r="BS144" s="22">
        <f t="shared" si="117"/>
        <v>1.3663138705282671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-5.6843418860808015E-13</v>
      </c>
      <c r="O145" s="13">
        <f>N145*VLOOKUP('Données projet'!$B$9,Paramètres!$A$1:$I$89,3,0)*VLOOKUP('Données projet'!$B$9,Paramètres!$A$1:$I$89,5,0)</f>
        <v>-3.177547114319168E-13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356.67698551373468</v>
      </c>
      <c r="T145" s="59">
        <f t="shared" si="142"/>
        <v>353.21836615408171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0.49707839840713713</v>
      </c>
      <c r="AA145" s="21">
        <f>EXP(-LN(2)/25)*AA144+(1-EXP(-LN(2)/25))/(LN(2)/25)*Calculateur!V145*Calculateur!X145*VLOOKUP('Données projet'!$B$9,Paramètres!$A$1:$I$89,3,0)*0.475*44/12</f>
        <v>1.352083047430527</v>
      </c>
      <c r="AB145" s="21">
        <f>EXP(-LN(2)/2)*AB144+(1-EXP(-LN(2)/2))/(LN(2)/2)*V145*Y145*VLOOKUP('Données projet'!$B$9,Paramètres!$A$1:$I$89,3,0)*0.475*44/12</f>
        <v>4.5133464147189053E-16</v>
      </c>
      <c r="AC145" s="22">
        <f t="shared" si="111"/>
        <v>1.8491614458376646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285.77483300338548</v>
      </c>
      <c r="AO145" s="59">
        <f t="shared" si="144"/>
        <v>320.55212417690637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0.90798252901430498</v>
      </c>
      <c r="AV145" s="21">
        <f>EXP(-LN(2)/25)*AV144+(1-EXP(-LN(2)/25))/(LN(2)/25)*Calculateur!AQ145*Calculateur!AS145*VLOOKUP('Données projet'!$B$10,Paramètres!$A$1:$I$89,3,0)*0.475*44/12</f>
        <v>1.2488794707518682</v>
      </c>
      <c r="AW145" s="21">
        <f>EXP(-LN(2)/2)*AW144+(1-EXP(-LN(2)/2))/(LN(2)/2)*AQ145*AT145*VLOOKUP('Données projet'!$B$10,Paramètres!$A$1:$I$89,3,0)*0.475*44/12</f>
        <v>3.3863455285598587E-16</v>
      </c>
      <c r="AX145" s="21">
        <f t="shared" si="114"/>
        <v>2.1568619997661735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7.9580786405131221E-13</v>
      </c>
      <c r="BE145" s="13">
        <f>BD145*VLOOKUP('Données projet'!$B$11,Paramètres!$A$1:$I$89,3,0)*VLOOKUP('Données projet'!$B$11,Paramètres!$A$1:$I$89,5,0)</f>
        <v>3.8278358260868117E-13</v>
      </c>
      <c r="BF145" s="13">
        <f t="shared" si="145"/>
        <v>4.9186917125089072E-12</v>
      </c>
      <c r="BG145" s="20">
        <f t="shared" si="115"/>
        <v>9.2334028056631319E-12</v>
      </c>
      <c r="BH145" s="59">
        <f t="shared" si="116"/>
        <v>293.33333333334252</v>
      </c>
      <c r="BI145" s="59">
        <f ca="1">AVERAGE(OFFSET($BH$3,0,0,'Données projet'!$E$11+1,1))-AVERAGE(OFFSET($H$3,0,0,'Données projet'!$E$11+1,1))</f>
        <v>327.58421465651799</v>
      </c>
      <c r="BJ145" s="59">
        <f t="shared" si="146"/>
        <v>296.73904998640018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0.73323192323178998</v>
      </c>
      <c r="BQ145" s="21">
        <f>EXP(-LN(2)/25)*BQ144+(1-EXP(-LN(2)/25))/(LN(2)/25)*Calculateur!BL145*Calculateur!BN145*VLOOKUP('Données projet'!$B$11,Paramètres!$A$1:$I$89,3,0)*0.475*44/12</f>
        <v>0.60150550719100271</v>
      </c>
      <c r="BR145" s="21">
        <f>EXP(-LN(2)/2)*BR144+(1-EXP(-LN(2)/2))/(LN(2)/2)*BL145*BO145*VLOOKUP('Données projet'!$B$11,Paramètres!$A$1:$I$89,3,0)*0.475*44/12</f>
        <v>2.9022317088779386E-16</v>
      </c>
      <c r="BS145" s="22">
        <f t="shared" si="117"/>
        <v>1.3347374304227928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-5.6843418860808015E-13</v>
      </c>
      <c r="O146" s="13">
        <f>N146*VLOOKUP('Données projet'!$B$9,Paramètres!$A$1:$I$89,3,0)*VLOOKUP('Données projet'!$B$9,Paramètres!$A$1:$I$89,5,0)</f>
        <v>-3.177547114319168E-13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356.67698551373468</v>
      </c>
      <c r="T146" s="59">
        <f t="shared" si="142"/>
        <v>353.21836615408171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0.48733099420225889</v>
      </c>
      <c r="AA146" s="21">
        <f>EXP(-LN(2)/25)*AA145+(1-EXP(-LN(2)/25))/(LN(2)/25)*Calculateur!V146*Calculateur!X146*VLOOKUP('Données projet'!$B$9,Paramètres!$A$1:$I$89,3,0)*0.475*44/12</f>
        <v>1.315110265395582</v>
      </c>
      <c r="AB146" s="21">
        <f>EXP(-LN(2)/2)*AB145+(1-EXP(-LN(2)/2))/(LN(2)/2)*V146*Y146*VLOOKUP('Données projet'!$B$9,Paramètres!$A$1:$I$89,3,0)*0.475*44/12</f>
        <v>3.1914178556917297E-16</v>
      </c>
      <c r="AC146" s="22">
        <f t="shared" si="111"/>
        <v>1.8024412595978412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285.77483300338548</v>
      </c>
      <c r="AO146" s="59">
        <f t="shared" si="144"/>
        <v>320.55212417690637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0.8901775454349925</v>
      </c>
      <c r="AV146" s="21">
        <f>EXP(-LN(2)/25)*AV145+(1-EXP(-LN(2)/25))/(LN(2)/25)*Calculateur!AQ146*Calculateur!AS146*VLOOKUP('Données projet'!$B$10,Paramètres!$A$1:$I$89,3,0)*0.475*44/12</f>
        <v>1.2147287959484414</v>
      </c>
      <c r="AW146" s="21">
        <f>EXP(-LN(2)/2)*AW145+(1-EXP(-LN(2)/2))/(LN(2)/2)*AQ146*AT146*VLOOKUP('Données projet'!$B$10,Paramètres!$A$1:$I$89,3,0)*0.475*44/12</f>
        <v>2.3945078866854196E-16</v>
      </c>
      <c r="AX146" s="21">
        <f t="shared" si="114"/>
        <v>2.1049063413834346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7.9580786405131221E-13</v>
      </c>
      <c r="BE146" s="13">
        <f>BD146*VLOOKUP('Données projet'!$B$11,Paramètres!$A$1:$I$89,3,0)*VLOOKUP('Données projet'!$B$11,Paramètres!$A$1:$I$89,5,0)</f>
        <v>3.8278358260868117E-13</v>
      </c>
      <c r="BF146" s="13">
        <f t="shared" si="145"/>
        <v>4.9186917125089072E-12</v>
      </c>
      <c r="BG146" s="20">
        <f t="shared" si="115"/>
        <v>9.2334028056631319E-12</v>
      </c>
      <c r="BH146" s="59">
        <f t="shared" si="116"/>
        <v>293.33333333334252</v>
      </c>
      <c r="BI146" s="59">
        <f ca="1">AVERAGE(OFFSET($BH$3,0,0,'Données projet'!$E$11+1,1))-AVERAGE(OFFSET($H$3,0,0,'Données projet'!$E$11+1,1))</f>
        <v>327.58421465651799</v>
      </c>
      <c r="BJ146" s="59">
        <f t="shared" si="146"/>
        <v>296.73904998640018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0.71885369244452768</v>
      </c>
      <c r="BQ146" s="21">
        <f>EXP(-LN(2)/25)*BQ145+(1-EXP(-LN(2)/25))/(LN(2)/25)*Calculateur!BL146*Calculateur!BN146*VLOOKUP('Données projet'!$B$11,Paramètres!$A$1:$I$89,3,0)*0.475*44/12</f>
        <v>0.5850573074650649</v>
      </c>
      <c r="BR146" s="21">
        <f>EXP(-LN(2)/2)*BR145+(1-EXP(-LN(2)/2))/(LN(2)/2)*BL146*BO146*VLOOKUP('Données projet'!$B$11,Paramètres!$A$1:$I$89,3,0)*0.475*44/12</f>
        <v>2.0521877219222124E-16</v>
      </c>
      <c r="BS146" s="22">
        <f t="shared" si="117"/>
        <v>1.3039109999095928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-5.6843418860808015E-13</v>
      </c>
      <c r="O147" s="13">
        <f>N147*VLOOKUP('Données projet'!$B$9,Paramètres!$A$1:$I$89,3,0)*VLOOKUP('Données projet'!$B$9,Paramètres!$A$1:$I$89,5,0)</f>
        <v>-3.177547114319168E-13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356.67698551373468</v>
      </c>
      <c r="T147" s="59">
        <f t="shared" si="142"/>
        <v>353.21836615408171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0.47777473064850878</v>
      </c>
      <c r="AA147" s="21">
        <f>EXP(-LN(2)/25)*AA146+(1-EXP(-LN(2)/25))/(LN(2)/25)*Calculateur!V147*Calculateur!X147*VLOOKUP('Données projet'!$B$9,Paramètres!$A$1:$I$89,3,0)*0.475*44/12</f>
        <v>1.2791485060296965</v>
      </c>
      <c r="AB147" s="21">
        <f>EXP(-LN(2)/2)*AB146+(1-EXP(-LN(2)/2))/(LN(2)/2)*V147*Y147*VLOOKUP('Données projet'!$B$9,Paramètres!$A$1:$I$89,3,0)*0.475*44/12</f>
        <v>2.2566732073594527E-16</v>
      </c>
      <c r="AC147" s="22">
        <f t="shared" si="111"/>
        <v>1.7569232366782055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285.77483300338548</v>
      </c>
      <c r="AO147" s="59">
        <f t="shared" si="144"/>
        <v>320.55212417690637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0.87272170672370264</v>
      </c>
      <c r="AV147" s="21">
        <f>EXP(-LN(2)/25)*AV146+(1-EXP(-LN(2)/25))/(LN(2)/25)*Calculateur!AQ147*Calculateur!AS147*VLOOKUP('Données projet'!$B$10,Paramètres!$A$1:$I$89,3,0)*0.475*44/12</f>
        <v>1.1815119731434203</v>
      </c>
      <c r="AW147" s="21">
        <f>EXP(-LN(2)/2)*AW146+(1-EXP(-LN(2)/2))/(LN(2)/2)*AQ147*AT147*VLOOKUP('Données projet'!$B$10,Paramètres!$A$1:$I$89,3,0)*0.475*44/12</f>
        <v>1.6931727642799293E-16</v>
      </c>
      <c r="AX147" s="21">
        <f t="shared" si="114"/>
        <v>2.054233679867123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7.9580786405131221E-13</v>
      </c>
      <c r="BE147" s="13">
        <f>BD147*VLOOKUP('Données projet'!$B$11,Paramètres!$A$1:$I$89,3,0)*VLOOKUP('Données projet'!$B$11,Paramètres!$A$1:$I$89,5,0)</f>
        <v>3.8278358260868117E-13</v>
      </c>
      <c r="BF147" s="13">
        <f t="shared" si="145"/>
        <v>4.9186917125089072E-12</v>
      </c>
      <c r="BG147" s="20">
        <f t="shared" si="115"/>
        <v>9.2334028056631319E-12</v>
      </c>
      <c r="BH147" s="59">
        <f t="shared" si="116"/>
        <v>293.33333333334252</v>
      </c>
      <c r="BI147" s="59">
        <f ca="1">AVERAGE(OFFSET($BH$3,0,0,'Données projet'!$E$11+1,1))-AVERAGE(OFFSET($H$3,0,0,'Données projet'!$E$11+1,1))</f>
        <v>327.58421465651799</v>
      </c>
      <c r="BJ147" s="59">
        <f t="shared" si="146"/>
        <v>296.73904998640018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0.70475740999314884</v>
      </c>
      <c r="BQ147" s="21">
        <f>EXP(-LN(2)/25)*BQ146+(1-EXP(-LN(2)/25))/(LN(2)/25)*Calculateur!BL147*Calculateur!BN147*VLOOKUP('Données projet'!$B$11,Paramètres!$A$1:$I$89,3,0)*0.475*44/12</f>
        <v>0.56905888462560605</v>
      </c>
      <c r="BR147" s="21">
        <f>EXP(-LN(2)/2)*BR146+(1-EXP(-LN(2)/2))/(LN(2)/2)*BL147*BO147*VLOOKUP('Données projet'!$B$11,Paramètres!$A$1:$I$89,3,0)*0.475*44/12</f>
        <v>1.4511158544389693E-16</v>
      </c>
      <c r="BS147" s="22">
        <f t="shared" si="117"/>
        <v>1.273816294618755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-5.6843418860808015E-13</v>
      </c>
      <c r="O148" s="13">
        <f>N148*VLOOKUP('Données projet'!$B$9,Paramètres!$A$1:$I$89,3,0)*VLOOKUP('Données projet'!$B$9,Paramètres!$A$1:$I$89,5,0)</f>
        <v>-3.177547114319168E-13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356.67698551373468</v>
      </c>
      <c r="T148" s="59">
        <f t="shared" si="142"/>
        <v>353.21836615408171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0.46840585959430248</v>
      </c>
      <c r="AA148" s="21">
        <f>EXP(-LN(2)/25)*AA147+(1-EXP(-LN(2)/25))/(LN(2)/25)*Calculateur!V148*Calculateur!X148*VLOOKUP('Données projet'!$B$9,Paramètres!$A$1:$I$89,3,0)*0.475*44/12</f>
        <v>1.2441701228648181</v>
      </c>
      <c r="AB148" s="21">
        <f>EXP(-LN(2)/2)*AB147+(1-EXP(-LN(2)/2))/(LN(2)/2)*V148*Y148*VLOOKUP('Données projet'!$B$9,Paramètres!$A$1:$I$89,3,0)*0.475*44/12</f>
        <v>1.5957089278458649E-16</v>
      </c>
      <c r="AC148" s="22">
        <f t="shared" si="111"/>
        <v>1.7125759824591207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285.77483300338548</v>
      </c>
      <c r="AO148" s="59">
        <f t="shared" si="144"/>
        <v>320.55212417690637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0.8556081663625309</v>
      </c>
      <c r="AV148" s="21">
        <f>EXP(-LN(2)/25)*AV147+(1-EXP(-LN(2)/25))/(LN(2)/25)*Calculateur!AQ148*Calculateur!AS148*VLOOKUP('Données projet'!$B$10,Paramètres!$A$1:$I$89,3,0)*0.475*44/12</f>
        <v>1.1492034661047992</v>
      </c>
      <c r="AW148" s="21">
        <f>EXP(-LN(2)/2)*AW147+(1-EXP(-LN(2)/2))/(LN(2)/2)*AQ148*AT148*VLOOKUP('Données projet'!$B$10,Paramètres!$A$1:$I$89,3,0)*0.475*44/12</f>
        <v>1.1972539433427098E-16</v>
      </c>
      <c r="AX148" s="21">
        <f t="shared" si="114"/>
        <v>2.0048116324673302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7.9580786405131221E-13</v>
      </c>
      <c r="BE148" s="13">
        <f>BD148*VLOOKUP('Données projet'!$B$11,Paramètres!$A$1:$I$89,3,0)*VLOOKUP('Données projet'!$B$11,Paramètres!$A$1:$I$89,5,0)</f>
        <v>3.8278358260868117E-13</v>
      </c>
      <c r="BF148" s="13">
        <f t="shared" si="145"/>
        <v>4.9186917125089072E-12</v>
      </c>
      <c r="BG148" s="20">
        <f t="shared" si="115"/>
        <v>9.2334028056631319E-12</v>
      </c>
      <c r="BH148" s="59">
        <f t="shared" si="116"/>
        <v>293.33333333334252</v>
      </c>
      <c r="BI148" s="59">
        <f ca="1">AVERAGE(OFFSET($BH$3,0,0,'Données projet'!$E$11+1,1))-AVERAGE(OFFSET($H$3,0,0,'Données projet'!$E$11+1,1))</f>
        <v>327.58421465651799</v>
      </c>
      <c r="BJ148" s="59">
        <f t="shared" si="146"/>
        <v>296.73904998640018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0.69093754704275823</v>
      </c>
      <c r="BQ148" s="21">
        <f>EXP(-LN(2)/25)*BQ147+(1-EXP(-LN(2)/25))/(LN(2)/25)*Calculateur!BL148*Calculateur!BN148*VLOOKUP('Données projet'!$B$11,Paramètres!$A$1:$I$89,3,0)*0.475*44/12</f>
        <v>0.55349793950001269</v>
      </c>
      <c r="BR148" s="21">
        <f>EXP(-LN(2)/2)*BR147+(1-EXP(-LN(2)/2))/(LN(2)/2)*BL148*BO148*VLOOKUP('Données projet'!$B$11,Paramètres!$A$1:$I$89,3,0)*0.475*44/12</f>
        <v>1.0260938609611062E-16</v>
      </c>
      <c r="BS148" s="22">
        <f t="shared" si="117"/>
        <v>1.2444354865427709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-5.6843418860808015E-13</v>
      </c>
      <c r="O149" s="13">
        <f>N149*VLOOKUP('Données projet'!$B$9,Paramètres!$A$1:$I$89,3,0)*VLOOKUP('Données projet'!$B$9,Paramètres!$A$1:$I$89,5,0)</f>
        <v>-3.177547114319168E-13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356.67698551373468</v>
      </c>
      <c r="T149" s="59">
        <f t="shared" si="142"/>
        <v>353.21836615408171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0.45922070638702212</v>
      </c>
      <c r="AA149" s="21">
        <f>EXP(-LN(2)/25)*AA148+(1-EXP(-LN(2)/25))/(LN(2)/25)*Calculateur!V149*Calculateur!X149*VLOOKUP('Données projet'!$B$9,Paramètres!$A$1:$I$89,3,0)*0.475*44/12</f>
        <v>1.2101482254270164</v>
      </c>
      <c r="AB149" s="21">
        <f>EXP(-LN(2)/2)*AB148+(1-EXP(-LN(2)/2))/(LN(2)/2)*V149*Y149*VLOOKUP('Données projet'!$B$9,Paramètres!$A$1:$I$89,3,0)*0.475*44/12</f>
        <v>1.1283366036797263E-16</v>
      </c>
      <c r="AC149" s="22">
        <f t="shared" si="111"/>
        <v>1.6693689318140388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285.77483300338548</v>
      </c>
      <c r="AO149" s="59">
        <f t="shared" si="144"/>
        <v>320.55212417690637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0.83883021208961284</v>
      </c>
      <c r="AV149" s="21">
        <f>EXP(-LN(2)/25)*AV148+(1-EXP(-LN(2)/25))/(LN(2)/25)*Calculateur!AQ149*Calculateur!AS149*VLOOKUP('Données projet'!$B$10,Paramètres!$A$1:$I$89,3,0)*0.475*44/12</f>
        <v>1.1177784368901797</v>
      </c>
      <c r="AW149" s="21">
        <f>EXP(-LN(2)/2)*AW148+(1-EXP(-LN(2)/2))/(LN(2)/2)*AQ149*AT149*VLOOKUP('Données projet'!$B$10,Paramètres!$A$1:$I$89,3,0)*0.475*44/12</f>
        <v>8.4658638213996467E-17</v>
      </c>
      <c r="AX149" s="21">
        <f t="shared" si="114"/>
        <v>1.9566086489797927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7.9580786405131221E-13</v>
      </c>
      <c r="BE149" s="13">
        <f>BD149*VLOOKUP('Données projet'!$B$11,Paramètres!$A$1:$I$89,3,0)*VLOOKUP('Données projet'!$B$11,Paramètres!$A$1:$I$89,5,0)</f>
        <v>3.8278358260868117E-13</v>
      </c>
      <c r="BF149" s="13">
        <f t="shared" si="145"/>
        <v>4.9186917125089072E-12</v>
      </c>
      <c r="BG149" s="20">
        <f t="shared" si="115"/>
        <v>9.2334028056631319E-12</v>
      </c>
      <c r="BH149" s="59">
        <f t="shared" si="116"/>
        <v>293.33333333334252</v>
      </c>
      <c r="BI149" s="59">
        <f ca="1">AVERAGE(OFFSET($BH$3,0,0,'Données projet'!$E$11+1,1))-AVERAGE(OFFSET($H$3,0,0,'Données projet'!$E$11+1,1))</f>
        <v>327.58421465651799</v>
      </c>
      <c r="BJ149" s="59">
        <f t="shared" si="146"/>
        <v>296.73904998640018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0.67738868317554068</v>
      </c>
      <c r="BQ149" s="21">
        <f>EXP(-LN(2)/25)*BQ148+(1-EXP(-LN(2)/25))/(LN(2)/25)*Calculateur!BL149*Calculateur!BN149*VLOOKUP('Données projet'!$B$11,Paramètres!$A$1:$I$89,3,0)*0.475*44/12</f>
        <v>0.5383625092371932</v>
      </c>
      <c r="BR149" s="21">
        <f>EXP(-LN(2)/2)*BR148+(1-EXP(-LN(2)/2))/(LN(2)/2)*BL149*BO149*VLOOKUP('Données projet'!$B$11,Paramètres!$A$1:$I$89,3,0)*0.475*44/12</f>
        <v>7.2555792721948464E-17</v>
      </c>
      <c r="BS149" s="22">
        <f t="shared" si="117"/>
        <v>1.2157511924127338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-5.6843418860808015E-13</v>
      </c>
      <c r="O150" s="13">
        <f>N150*VLOOKUP('Données projet'!$B$9,Paramètres!$A$1:$I$89,3,0)*VLOOKUP('Données projet'!$B$9,Paramètres!$A$1:$I$89,5,0)</f>
        <v>-3.177547114319168E-13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356.67698551373468</v>
      </c>
      <c r="T150" s="59">
        <f t="shared" si="142"/>
        <v>353.21836615408171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0.45021566843174621</v>
      </c>
      <c r="AA150" s="21">
        <f>EXP(-LN(2)/25)*AA149+(1-EXP(-LN(2)/25))/(LN(2)/25)*Calculateur!V150*Calculateur!X150*VLOOKUP('Données projet'!$B$9,Paramètres!$A$1:$I$89,3,0)*0.475*44/12</f>
        <v>1.1770566585637854</v>
      </c>
      <c r="AB150" s="21">
        <f>EXP(-LN(2)/2)*AB149+(1-EXP(-LN(2)/2))/(LN(2)/2)*V150*Y150*VLOOKUP('Données projet'!$B$9,Paramètres!$A$1:$I$89,3,0)*0.475*44/12</f>
        <v>7.9785446392293243E-17</v>
      </c>
      <c r="AC150" s="22">
        <f t="shared" si="111"/>
        <v>1.6272723269955316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285.77483300338548</v>
      </c>
      <c r="AO150" s="59">
        <f t="shared" si="144"/>
        <v>320.55212417690637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0.82238126326644501</v>
      </c>
      <c r="AV150" s="21">
        <f>EXP(-LN(2)/25)*AV149+(1-EXP(-LN(2)/25))/(LN(2)/25)*Calculateur!AQ150*Calculateur!AS150*VLOOKUP('Données projet'!$B$10,Paramètres!$A$1:$I$89,3,0)*0.475*44/12</f>
        <v>1.0872127267520044</v>
      </c>
      <c r="AW150" s="21">
        <f>EXP(-LN(2)/2)*AW149+(1-EXP(-LN(2)/2))/(LN(2)/2)*AQ150*AT150*VLOOKUP('Données projet'!$B$10,Paramètres!$A$1:$I$89,3,0)*0.475*44/12</f>
        <v>5.986269716713549E-17</v>
      </c>
      <c r="AX150" s="21">
        <f t="shared" si="114"/>
        <v>1.9095939900184495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7.9580786405131221E-13</v>
      </c>
      <c r="BE150" s="13">
        <f>BD150*VLOOKUP('Données projet'!$B$11,Paramètres!$A$1:$I$89,3,0)*VLOOKUP('Données projet'!$B$11,Paramètres!$A$1:$I$89,5,0)</f>
        <v>3.8278358260868117E-13</v>
      </c>
      <c r="BF150" s="13">
        <f t="shared" si="145"/>
        <v>4.9186917125089072E-12</v>
      </c>
      <c r="BG150" s="20">
        <f t="shared" si="115"/>
        <v>9.2334028056631319E-12</v>
      </c>
      <c r="BH150" s="59">
        <f t="shared" si="116"/>
        <v>293.33333333334252</v>
      </c>
      <c r="BI150" s="59">
        <f ca="1">AVERAGE(OFFSET($BH$3,0,0,'Données projet'!$E$11+1,1))-AVERAGE(OFFSET($H$3,0,0,'Données projet'!$E$11+1,1))</f>
        <v>327.58421465651799</v>
      </c>
      <c r="BJ150" s="59">
        <f t="shared" si="146"/>
        <v>296.73904998640018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0.66410550426476833</v>
      </c>
      <c r="BQ150" s="21">
        <f>EXP(-LN(2)/25)*BQ149+(1-EXP(-LN(2)/25))/(LN(2)/25)*Calculateur!BL150*Calculateur!BN150*VLOOKUP('Données projet'!$B$11,Paramètres!$A$1:$I$89,3,0)*0.475*44/12</f>
        <v>0.52364095811084821</v>
      </c>
      <c r="BR150" s="21">
        <f>EXP(-LN(2)/2)*BR149+(1-EXP(-LN(2)/2))/(LN(2)/2)*BL150*BO150*VLOOKUP('Données projet'!$B$11,Paramètres!$A$1:$I$89,3,0)*0.475*44/12</f>
        <v>5.1304693048055311E-17</v>
      </c>
      <c r="BS150" s="22">
        <f t="shared" si="117"/>
        <v>1.1877464623756167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-5.6843418860808015E-13</v>
      </c>
      <c r="O151" s="13">
        <f>N151*VLOOKUP('Données projet'!$B$9,Paramètres!$A$1:$I$89,3,0)*VLOOKUP('Données projet'!$B$9,Paramètres!$A$1:$I$89,5,0)</f>
        <v>-3.177547114319168E-13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356.67698551373468</v>
      </c>
      <c r="T151" s="59">
        <f t="shared" si="142"/>
        <v>353.21836615408171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0.44138721377824247</v>
      </c>
      <c r="AA151" s="21">
        <f>EXP(-LN(2)/25)*AA150+(1-EXP(-LN(2)/25))/(LN(2)/25)*Calculateur!V151*Calculateur!X151*VLOOKUP('Données projet'!$B$9,Paramètres!$A$1:$I$89,3,0)*0.475*44/12</f>
        <v>1.1448699823366393</v>
      </c>
      <c r="AB151" s="21">
        <f>EXP(-LN(2)/2)*AB150+(1-EXP(-LN(2)/2))/(LN(2)/2)*V151*Y151*VLOOKUP('Données projet'!$B$9,Paramètres!$A$1:$I$89,3,0)*0.475*44/12</f>
        <v>5.6416830183986316E-17</v>
      </c>
      <c r="AC151" s="22">
        <f t="shared" si="111"/>
        <v>1.5862571961148817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285.77483300338548</v>
      </c>
      <c r="AO151" s="59">
        <f t="shared" si="144"/>
        <v>320.55212417690637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0.80625486829683146</v>
      </c>
      <c r="AV151" s="21">
        <f>EXP(-LN(2)/25)*AV150+(1-EXP(-LN(2)/25))/(LN(2)/25)*Calculateur!AQ151*Calculateur!AS151*VLOOKUP('Données projet'!$B$10,Paramètres!$A$1:$I$89,3,0)*0.475*44/12</f>
        <v>1.0574828375649383</v>
      </c>
      <c r="AW151" s="21">
        <f>EXP(-LN(2)/2)*AW150+(1-EXP(-LN(2)/2))/(LN(2)/2)*AQ151*AT151*VLOOKUP('Données projet'!$B$10,Paramètres!$A$1:$I$89,3,0)*0.475*44/12</f>
        <v>4.2329319106998234E-17</v>
      </c>
      <c r="AX151" s="21">
        <f t="shared" si="114"/>
        <v>1.8637377058617699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7.9580786405131221E-13</v>
      </c>
      <c r="BE151" s="13">
        <f>BD151*VLOOKUP('Données projet'!$B$11,Paramètres!$A$1:$I$89,3,0)*VLOOKUP('Données projet'!$B$11,Paramètres!$A$1:$I$89,5,0)</f>
        <v>3.8278358260868117E-13</v>
      </c>
      <c r="BF151" s="13">
        <f t="shared" si="145"/>
        <v>4.9186917125089072E-12</v>
      </c>
      <c r="BG151" s="20">
        <f t="shared" si="115"/>
        <v>9.2334028056631319E-12</v>
      </c>
      <c r="BH151" s="59">
        <f t="shared" si="116"/>
        <v>293.33333333334252</v>
      </c>
      <c r="BI151" s="59">
        <f ca="1">AVERAGE(OFFSET($BH$3,0,0,'Données projet'!$E$11+1,1))-AVERAGE(OFFSET($H$3,0,0,'Données projet'!$E$11+1,1))</f>
        <v>327.58421465651799</v>
      </c>
      <c r="BJ151" s="59">
        <f t="shared" si="146"/>
        <v>296.73904998640018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0.65108280039049704</v>
      </c>
      <c r="BQ151" s="21">
        <f>EXP(-LN(2)/25)*BQ150+(1-EXP(-LN(2)/25))/(LN(2)/25)*Calculateur!BL151*Calculateur!BN151*VLOOKUP('Données projet'!$B$11,Paramètres!$A$1:$I$89,3,0)*0.475*44/12</f>
        <v>0.50932196857422585</v>
      </c>
      <c r="BR151" s="21">
        <f>EXP(-LN(2)/2)*BR150+(1-EXP(-LN(2)/2))/(LN(2)/2)*BL151*BO151*VLOOKUP('Données projet'!$B$11,Paramètres!$A$1:$I$89,3,0)*0.475*44/12</f>
        <v>3.6277896360974232E-17</v>
      </c>
      <c r="BS151" s="22">
        <f t="shared" si="117"/>
        <v>1.1604047689647228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-5.6843418860808015E-13</v>
      </c>
      <c r="O152" s="13">
        <f>N152*VLOOKUP('Données projet'!$B$9,Paramètres!$A$1:$I$89,3,0)*VLOOKUP('Données projet'!$B$9,Paramètres!$A$1:$I$89,5,0)</f>
        <v>-3.177547114319168E-13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356.67698551373468</v>
      </c>
      <c r="T152" s="59">
        <f t="shared" si="142"/>
        <v>353.21836615408171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0.43273187973566829</v>
      </c>
      <c r="AA152" s="21">
        <f>EXP(-LN(2)/25)*AA151+(1-EXP(-LN(2)/25))/(LN(2)/25)*Calculateur!V152*Calculateur!X152*VLOOKUP('Données projet'!$B$9,Paramètres!$A$1:$I$89,3,0)*0.475*44/12</f>
        <v>1.113563452463548</v>
      </c>
      <c r="AB152" s="21">
        <f>EXP(-LN(2)/2)*AB151+(1-EXP(-LN(2)/2))/(LN(2)/2)*V152*Y152*VLOOKUP('Données projet'!$B$9,Paramètres!$A$1:$I$89,3,0)*0.475*44/12</f>
        <v>3.9892723196146622E-17</v>
      </c>
      <c r="AC152" s="22">
        <f t="shared" si="111"/>
        <v>1.5462953321992163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285.77483300338548</v>
      </c>
      <c r="AO152" s="59">
        <f t="shared" si="144"/>
        <v>320.55212417690637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0.79044470209644235</v>
      </c>
      <c r="AV152" s="21">
        <f>EXP(-LN(2)/25)*AV151+(1-EXP(-LN(2)/25))/(LN(2)/25)*Calculateur!AQ152*Calculateur!AS152*VLOOKUP('Données projet'!$B$10,Paramètres!$A$1:$I$89,3,0)*0.475*44/12</f>
        <v>1.0285659137611196</v>
      </c>
      <c r="AW152" s="21">
        <f>EXP(-LN(2)/2)*AW151+(1-EXP(-LN(2)/2))/(LN(2)/2)*AQ152*AT152*VLOOKUP('Données projet'!$B$10,Paramètres!$A$1:$I$89,3,0)*0.475*44/12</f>
        <v>2.9931348583567745E-17</v>
      </c>
      <c r="AX152" s="21">
        <f t="shared" si="114"/>
        <v>1.8190106158575619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7.9580786405131221E-13</v>
      </c>
      <c r="BE152" s="13">
        <f>BD152*VLOOKUP('Données projet'!$B$11,Paramètres!$A$1:$I$89,3,0)*VLOOKUP('Données projet'!$B$11,Paramètres!$A$1:$I$89,5,0)</f>
        <v>3.8278358260868117E-13</v>
      </c>
      <c r="BF152" s="13">
        <f t="shared" si="145"/>
        <v>4.9186917125089072E-12</v>
      </c>
      <c r="BG152" s="20">
        <f t="shared" si="115"/>
        <v>9.2334028056631319E-12</v>
      </c>
      <c r="BH152" s="59">
        <f t="shared" si="116"/>
        <v>293.33333333334252</v>
      </c>
      <c r="BI152" s="59">
        <f ca="1">AVERAGE(OFFSET($BH$3,0,0,'Données projet'!$E$11+1,1))-AVERAGE(OFFSET($H$3,0,0,'Données projet'!$E$11+1,1))</f>
        <v>327.58421465651799</v>
      </c>
      <c r="BJ152" s="59">
        <f t="shared" si="146"/>
        <v>296.73904998640018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0.63831546379613513</v>
      </c>
      <c r="BQ152" s="21">
        <f>EXP(-LN(2)/25)*BQ151+(1-EXP(-LN(2)/25))/(LN(2)/25)*Calculateur!BL152*Calculateur!BN152*VLOOKUP('Données projet'!$B$11,Paramètres!$A$1:$I$89,3,0)*0.475*44/12</f>
        <v>0.4953945325594854</v>
      </c>
      <c r="BR152" s="21">
        <f>EXP(-LN(2)/2)*BR151+(1-EXP(-LN(2)/2))/(LN(2)/2)*BL152*BO152*VLOOKUP('Données projet'!$B$11,Paramètres!$A$1:$I$89,3,0)*0.475*44/12</f>
        <v>2.5652346524027655E-17</v>
      </c>
      <c r="BS152" s="22">
        <f t="shared" si="117"/>
        <v>1.1337099963556205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-5.6843418860808015E-13</v>
      </c>
      <c r="O153" s="13">
        <f>N153*VLOOKUP('Données projet'!$B$9,Paramètres!$A$1:$I$89,3,0)*VLOOKUP('Données projet'!$B$9,Paramètres!$A$1:$I$89,5,0)</f>
        <v>-3.177547114319168E-13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356.67698551373468</v>
      </c>
      <c r="T153" s="59">
        <f t="shared" si="142"/>
        <v>353.21836615408171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0.4242462715144365</v>
      </c>
      <c r="AA153" s="21">
        <f>EXP(-LN(2)/25)*AA152+(1-EXP(-LN(2)/25))/(LN(2)/25)*Calculateur!V153*Calculateur!X153*VLOOKUP('Données projet'!$B$9,Paramètres!$A$1:$I$89,3,0)*0.475*44/12</f>
        <v>1.0831130012961754</v>
      </c>
      <c r="AB153" s="21">
        <f>EXP(-LN(2)/2)*AB152+(1-EXP(-LN(2)/2))/(LN(2)/2)*V153*Y153*VLOOKUP('Données projet'!$B$9,Paramètres!$A$1:$I$89,3,0)*0.475*44/12</f>
        <v>2.8208415091993158E-17</v>
      </c>
      <c r="AC153" s="22">
        <f t="shared" si="111"/>
        <v>1.507359272810612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285.77483300338548</v>
      </c>
      <c r="AO153" s="59">
        <f t="shared" si="144"/>
        <v>320.55212417690637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0.7749445636119936</v>
      </c>
      <c r="AV153" s="21">
        <f>EXP(-LN(2)/25)*AV152+(1-EXP(-LN(2)/25))/(LN(2)/25)*Calculateur!AQ153*Calculateur!AS153*VLOOKUP('Données projet'!$B$10,Paramètres!$A$1:$I$89,3,0)*0.475*44/12</f>
        <v>1.0004397247593912</v>
      </c>
      <c r="AW153" s="21">
        <f>EXP(-LN(2)/2)*AW152+(1-EXP(-LN(2)/2))/(LN(2)/2)*AQ153*AT153*VLOOKUP('Données projet'!$B$10,Paramètres!$A$1:$I$89,3,0)*0.475*44/12</f>
        <v>2.1164659553499117E-17</v>
      </c>
      <c r="AX153" s="21">
        <f t="shared" si="114"/>
        <v>1.7753842883713848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7.9580786405131221E-13</v>
      </c>
      <c r="BE153" s="13">
        <f>BD153*VLOOKUP('Données projet'!$B$11,Paramètres!$A$1:$I$89,3,0)*VLOOKUP('Données projet'!$B$11,Paramètres!$A$1:$I$89,5,0)</f>
        <v>3.8278358260868117E-13</v>
      </c>
      <c r="BF153" s="13">
        <f t="shared" si="145"/>
        <v>4.9186917125089072E-12</v>
      </c>
      <c r="BG153" s="20">
        <f t="shared" si="115"/>
        <v>9.2334028056631319E-12</v>
      </c>
      <c r="BH153" s="59">
        <f t="shared" si="116"/>
        <v>293.33333333334252</v>
      </c>
      <c r="BI153" s="59">
        <f ca="1">AVERAGE(OFFSET($BH$3,0,0,'Données projet'!$E$11+1,1))-AVERAGE(OFFSET($H$3,0,0,'Données projet'!$E$11+1,1))</f>
        <v>327.58421465651799</v>
      </c>
      <c r="BJ153" s="59">
        <f t="shared" si="146"/>
        <v>296.73904998640018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0.62579848688508233</v>
      </c>
      <c r="BQ153" s="21">
        <f>EXP(-LN(2)/25)*BQ152+(1-EXP(-LN(2)/25))/(LN(2)/25)*Calculateur!BL153*Calculateur!BN153*VLOOKUP('Données projet'!$B$11,Paramètres!$A$1:$I$89,3,0)*0.475*44/12</f>
        <v>0.48184794301498002</v>
      </c>
      <c r="BR153" s="21">
        <f>EXP(-LN(2)/2)*BR152+(1-EXP(-LN(2)/2))/(LN(2)/2)*BL153*BO153*VLOOKUP('Données projet'!$B$11,Paramètres!$A$1:$I$89,3,0)*0.475*44/12</f>
        <v>1.8138948180487116E-17</v>
      </c>
      <c r="BS153" s="22">
        <f t="shared" si="117"/>
        <v>1.1076464299000623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-5.6843418860808015E-13</v>
      </c>
      <c r="O154" s="13">
        <f>N154*VLOOKUP('Données projet'!$B$9,Paramètres!$A$1:$I$89,3,0)*VLOOKUP('Données projet'!$B$9,Paramètres!$A$1:$I$89,5,0)</f>
        <v>-3.177547114319168E-13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356.67698551373468</v>
      </c>
      <c r="T154" s="59">
        <f t="shared" si="142"/>
        <v>353.21836615408171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0.41592706089471315</v>
      </c>
      <c r="AA154" s="21">
        <f>EXP(-LN(2)/25)*AA153+(1-EXP(-LN(2)/25))/(LN(2)/25)*Calculateur!V154*Calculateur!X154*VLOOKUP('Données projet'!$B$9,Paramètres!$A$1:$I$89,3,0)*0.475*44/12</f>
        <v>1.0534952193172942</v>
      </c>
      <c r="AB154" s="21">
        <f>EXP(-LN(2)/2)*AB153+(1-EXP(-LN(2)/2))/(LN(2)/2)*V154*Y154*VLOOKUP('Données projet'!$B$9,Paramètres!$A$1:$I$89,3,0)*0.475*44/12</f>
        <v>1.9946361598073311E-17</v>
      </c>
      <c r="AC154" s="22">
        <f t="shared" ref="AC154:AC203" si="163">SUM(Z154:AB154)</f>
        <v>1.4694222802120074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285.77483300338548</v>
      </c>
      <c r="AO154" s="59">
        <f t="shared" si="144"/>
        <v>320.55212417690637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0.75974837338907397</v>
      </c>
      <c r="AV154" s="21">
        <f>EXP(-LN(2)/25)*AV153+(1-EXP(-LN(2)/25))/(LN(2)/25)*Calculateur!AQ154*Calculateur!AS154*VLOOKUP('Données projet'!$B$10,Paramètres!$A$1:$I$89,3,0)*0.475*44/12</f>
        <v>0.97308264787500709</v>
      </c>
      <c r="AW154" s="21">
        <f>EXP(-LN(2)/2)*AW153+(1-EXP(-LN(2)/2))/(LN(2)/2)*AQ154*AT154*VLOOKUP('Données projet'!$B$10,Paramètres!$A$1:$I$89,3,0)*0.475*44/12</f>
        <v>1.4965674291783872E-17</v>
      </c>
      <c r="AX154" s="21">
        <f t="shared" ref="AX154:AX203" si="166">SUM(AU154:AW154)</f>
        <v>1.7328310212640812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7.9580786405131221E-13</v>
      </c>
      <c r="BE154" s="13">
        <f>BD154*VLOOKUP('Données projet'!$B$11,Paramètres!$A$1:$I$89,3,0)*VLOOKUP('Données projet'!$B$11,Paramètres!$A$1:$I$89,5,0)</f>
        <v>3.8278358260868117E-13</v>
      </c>
      <c r="BF154" s="13">
        <f t="shared" ref="BF154:BF203" si="167">EXP(-1.0587+0.8836*LN(BE154)+0.284)</f>
        <v>4.9186917125089072E-12</v>
      </c>
      <c r="BG154" s="20">
        <f t="shared" ref="BG154:BG203" si="168">(BE154+BF154)*0.475*44/12</f>
        <v>9.2334028056631319E-12</v>
      </c>
      <c r="BH154" s="59">
        <f t="shared" si="116"/>
        <v>293.33333333334252</v>
      </c>
      <c r="BI154" s="59">
        <f ca="1">AVERAGE(OFFSET($BH$3,0,0,'Données projet'!$E$11+1,1))-AVERAGE(OFFSET($H$3,0,0,'Données projet'!$E$11+1,1))</f>
        <v>327.58421465651799</v>
      </c>
      <c r="BJ154" s="59">
        <f t="shared" si="146"/>
        <v>296.73904998640018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0.61352696025665321</v>
      </c>
      <c r="BQ154" s="21">
        <f>EXP(-LN(2)/25)*BQ153+(1-EXP(-LN(2)/25))/(LN(2)/25)*Calculateur!BL154*Calculateur!BN154*VLOOKUP('Données projet'!$B$11,Paramètres!$A$1:$I$89,3,0)*0.475*44/12</f>
        <v>0.46867178567395334</v>
      </c>
      <c r="BR154" s="21">
        <f>EXP(-LN(2)/2)*BR153+(1-EXP(-LN(2)/2))/(LN(2)/2)*BL154*BO154*VLOOKUP('Données projet'!$B$11,Paramètres!$A$1:$I$89,3,0)*0.475*44/12</f>
        <v>1.2826173262013828E-17</v>
      </c>
      <c r="BS154" s="22">
        <f t="shared" ref="BS154:BS203" si="169">SUM(BP154:BR154)</f>
        <v>1.0821987459306066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-5.6843418860808015E-13</v>
      </c>
      <c r="O155" s="13">
        <f>N155*VLOOKUP('Données projet'!$B$9,Paramètres!$A$1:$I$89,3,0)*VLOOKUP('Données projet'!$B$9,Paramètres!$A$1:$I$89,5,0)</f>
        <v>-3.177547114319168E-13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356.67698551373468</v>
      </c>
      <c r="T155" s="59">
        <f t="shared" si="142"/>
        <v>353.21836615408171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0.40777098492102515</v>
      </c>
      <c r="AA155" s="21">
        <f>EXP(-LN(2)/25)*AA154+(1-EXP(-LN(2)/25))/(LN(2)/25)*Calculateur!V155*Calculateur!X155*VLOOKUP('Données projet'!$B$9,Paramètres!$A$1:$I$89,3,0)*0.475*44/12</f>
        <v>1.0246873371441569</v>
      </c>
      <c r="AB155" s="21">
        <f>EXP(-LN(2)/2)*AB154+(1-EXP(-LN(2)/2))/(LN(2)/2)*V155*Y155*VLOOKUP('Données projet'!$B$9,Paramètres!$A$1:$I$89,3,0)*0.475*44/12</f>
        <v>1.4104207545996579E-17</v>
      </c>
      <c r="AC155" s="22">
        <f t="shared" si="163"/>
        <v>1.4324583220651821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285.77483300338548</v>
      </c>
      <c r="AO155" s="59">
        <f t="shared" si="144"/>
        <v>320.55212417690637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0.74485017118766494</v>
      </c>
      <c r="AV155" s="21">
        <f>EXP(-LN(2)/25)*AV154+(1-EXP(-LN(2)/25))/(LN(2)/25)*Calculateur!AQ155*Calculateur!AS155*VLOOKUP('Données projet'!$B$10,Paramètres!$A$1:$I$89,3,0)*0.475*44/12</f>
        <v>0.94647365169667252</v>
      </c>
      <c r="AW155" s="21">
        <f>EXP(-LN(2)/2)*AW154+(1-EXP(-LN(2)/2))/(LN(2)/2)*AQ155*AT155*VLOOKUP('Données projet'!$B$10,Paramètres!$A$1:$I$89,3,0)*0.475*44/12</f>
        <v>1.0582329776749558E-17</v>
      </c>
      <c r="AX155" s="21">
        <f t="shared" si="166"/>
        <v>1.6913238228843375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7.9580786405131221E-13</v>
      </c>
      <c r="BE155" s="13">
        <f>BD155*VLOOKUP('Données projet'!$B$11,Paramètres!$A$1:$I$89,3,0)*VLOOKUP('Données projet'!$B$11,Paramètres!$A$1:$I$89,5,0)</f>
        <v>3.8278358260868117E-13</v>
      </c>
      <c r="BF155" s="13">
        <f t="shared" si="167"/>
        <v>4.9186917125089072E-12</v>
      </c>
      <c r="BG155" s="20">
        <f t="shared" si="168"/>
        <v>9.2334028056631319E-12</v>
      </c>
      <c r="BH155" s="59">
        <f t="shared" si="116"/>
        <v>293.33333333334252</v>
      </c>
      <c r="BI155" s="59">
        <f ca="1">AVERAGE(OFFSET($BH$3,0,0,'Données projet'!$E$11+1,1))-AVERAGE(OFFSET($H$3,0,0,'Données projet'!$E$11+1,1))</f>
        <v>327.58421465651799</v>
      </c>
      <c r="BJ155" s="59">
        <f t="shared" si="146"/>
        <v>296.73904998640018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0.60149607078051537</v>
      </c>
      <c r="BQ155" s="21">
        <f>EXP(-LN(2)/25)*BQ154+(1-EXP(-LN(2)/25))/(LN(2)/25)*Calculateur!BL155*Calculateur!BN155*VLOOKUP('Données projet'!$B$11,Paramètres!$A$1:$I$89,3,0)*0.475*44/12</f>
        <v>0.45585593104832106</v>
      </c>
      <c r="BR155" s="21">
        <f>EXP(-LN(2)/2)*BR154+(1-EXP(-LN(2)/2))/(LN(2)/2)*BL155*BO155*VLOOKUP('Données projet'!$B$11,Paramètres!$A$1:$I$89,3,0)*0.475*44/12</f>
        <v>9.069474090243558E-18</v>
      </c>
      <c r="BS155" s="22">
        <f t="shared" si="169"/>
        <v>1.0573520018288365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-5.6843418860808015E-13</v>
      </c>
      <c r="O156" s="13">
        <f>N156*VLOOKUP('Données projet'!$B$9,Paramètres!$A$1:$I$89,3,0)*VLOOKUP('Données projet'!$B$9,Paramètres!$A$1:$I$89,5,0)</f>
        <v>-3.177547114319168E-13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356.67698551373468</v>
      </c>
      <c r="T156" s="59">
        <f t="shared" si="142"/>
        <v>353.21836615408171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0.39977484462246599</v>
      </c>
      <c r="AA156" s="21">
        <f>EXP(-LN(2)/25)*AA155+(1-EXP(-LN(2)/25))/(LN(2)/25)*Calculateur!V156*Calculateur!X156*VLOOKUP('Données projet'!$B$9,Paramètres!$A$1:$I$89,3,0)*0.475*44/12</f>
        <v>0.9966672080239849</v>
      </c>
      <c r="AB156" s="21">
        <f>EXP(-LN(2)/2)*AB155+(1-EXP(-LN(2)/2))/(LN(2)/2)*V156*Y156*VLOOKUP('Données projet'!$B$9,Paramètres!$A$1:$I$89,3,0)*0.475*44/12</f>
        <v>9.9731807990366554E-18</v>
      </c>
      <c r="AC156" s="22">
        <f t="shared" si="163"/>
        <v>1.3964420526464509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285.77483300338548</v>
      </c>
      <c r="AO156" s="59">
        <f t="shared" si="144"/>
        <v>320.55212417690637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0.73024411364441955</v>
      </c>
      <c r="AV156" s="21">
        <f>EXP(-LN(2)/25)*AV155+(1-EXP(-LN(2)/25))/(LN(2)/25)*Calculateur!AQ156*Calculateur!AS156*VLOOKUP('Données projet'!$B$10,Paramètres!$A$1:$I$89,3,0)*0.475*44/12</f>
        <v>0.92059227991814085</v>
      </c>
      <c r="AW156" s="21">
        <f>EXP(-LN(2)/2)*AW155+(1-EXP(-LN(2)/2))/(LN(2)/2)*AQ156*AT156*VLOOKUP('Données projet'!$B$10,Paramètres!$A$1:$I$89,3,0)*0.475*44/12</f>
        <v>7.4828371458919362E-18</v>
      </c>
      <c r="AX156" s="21">
        <f t="shared" si="166"/>
        <v>1.6508363935625603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7.9580786405131221E-13</v>
      </c>
      <c r="BE156" s="13">
        <f>BD156*VLOOKUP('Données projet'!$B$11,Paramètres!$A$1:$I$89,3,0)*VLOOKUP('Données projet'!$B$11,Paramètres!$A$1:$I$89,5,0)</f>
        <v>3.8278358260868117E-13</v>
      </c>
      <c r="BF156" s="13">
        <f t="shared" si="167"/>
        <v>4.9186917125089072E-12</v>
      </c>
      <c r="BG156" s="20">
        <f t="shared" si="168"/>
        <v>9.2334028056631319E-12</v>
      </c>
      <c r="BH156" s="59">
        <f t="shared" si="116"/>
        <v>293.33333333334252</v>
      </c>
      <c r="BI156" s="59">
        <f ca="1">AVERAGE(OFFSET($BH$3,0,0,'Données projet'!$E$11+1,1))-AVERAGE(OFFSET($H$3,0,0,'Données projet'!$E$11+1,1))</f>
        <v>327.58421465651799</v>
      </c>
      <c r="BJ156" s="59">
        <f t="shared" si="146"/>
        <v>296.73904998640018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0.58970109970888662</v>
      </c>
      <c r="BQ156" s="21">
        <f>EXP(-LN(2)/25)*BQ155+(1-EXP(-LN(2)/25))/(LN(2)/25)*Calculateur!BL156*Calculateur!BN156*VLOOKUP('Données projet'!$B$11,Paramètres!$A$1:$I$89,3,0)*0.475*44/12</f>
        <v>0.44339052664138318</v>
      </c>
      <c r="BR156" s="21">
        <f>EXP(-LN(2)/2)*BR155+(1-EXP(-LN(2)/2))/(LN(2)/2)*BL156*BO156*VLOOKUP('Données projet'!$B$11,Paramètres!$A$1:$I$89,3,0)*0.475*44/12</f>
        <v>6.4130866310069138E-18</v>
      </c>
      <c r="BS156" s="22">
        <f t="shared" si="169"/>
        <v>1.0330916263502699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-5.6843418860808015E-13</v>
      </c>
      <c r="O157" s="13">
        <f>N157*VLOOKUP('Données projet'!$B$9,Paramètres!$A$1:$I$89,3,0)*VLOOKUP('Données projet'!$B$9,Paramètres!$A$1:$I$89,5,0)</f>
        <v>-3.177547114319168E-13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356.67698551373468</v>
      </c>
      <c r="T157" s="59">
        <f t="shared" si="142"/>
        <v>353.21836615408171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0.39193550375799757</v>
      </c>
      <c r="AA157" s="21">
        <f>EXP(-LN(2)/25)*AA156+(1-EXP(-LN(2)/25))/(LN(2)/25)*Calculateur!V157*Calculateur!X157*VLOOKUP('Données projet'!$B$9,Paramètres!$A$1:$I$89,3,0)*0.475*44/12</f>
        <v>0.96941329080811844</v>
      </c>
      <c r="AB157" s="21">
        <f>EXP(-LN(2)/2)*AB156+(1-EXP(-LN(2)/2))/(LN(2)/2)*V157*Y157*VLOOKUP('Données projet'!$B$9,Paramètres!$A$1:$I$89,3,0)*0.475*44/12</f>
        <v>7.0521037729982895E-18</v>
      </c>
      <c r="AC157" s="22">
        <f t="shared" si="163"/>
        <v>1.361348794566116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285.77483300338548</v>
      </c>
      <c r="AO157" s="59">
        <f t="shared" si="144"/>
        <v>320.55212417690637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0.71592447198078168</v>
      </c>
      <c r="AV157" s="21">
        <f>EXP(-LN(2)/25)*AV156+(1-EXP(-LN(2)/25))/(LN(2)/25)*Calculateur!AQ157*Calculateur!AS157*VLOOKUP('Données projet'!$B$10,Paramètres!$A$1:$I$89,3,0)*0.475*44/12</f>
        <v>0.89541863561193535</v>
      </c>
      <c r="AW157" s="21">
        <f>EXP(-LN(2)/2)*AW156+(1-EXP(-LN(2)/2))/(LN(2)/2)*AQ157*AT157*VLOOKUP('Données projet'!$B$10,Paramètres!$A$1:$I$89,3,0)*0.475*44/12</f>
        <v>5.2911648883747792E-18</v>
      </c>
      <c r="AX157" s="21">
        <f t="shared" si="166"/>
        <v>1.6113431075927171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7.9580786405131221E-13</v>
      </c>
      <c r="BE157" s="13">
        <f>BD157*VLOOKUP('Données projet'!$B$11,Paramètres!$A$1:$I$89,3,0)*VLOOKUP('Données projet'!$B$11,Paramètres!$A$1:$I$89,5,0)</f>
        <v>3.8278358260868117E-13</v>
      </c>
      <c r="BF157" s="13">
        <f t="shared" si="167"/>
        <v>4.9186917125089072E-12</v>
      </c>
      <c r="BG157" s="20">
        <f t="shared" si="168"/>
        <v>9.2334028056631319E-12</v>
      </c>
      <c r="BH157" s="59">
        <f t="shared" si="116"/>
        <v>293.33333333334252</v>
      </c>
      <c r="BI157" s="59">
        <f ca="1">AVERAGE(OFFSET($BH$3,0,0,'Données projet'!$E$11+1,1))-AVERAGE(OFFSET($H$3,0,0,'Données projet'!$E$11+1,1))</f>
        <v>327.58421465651799</v>
      </c>
      <c r="BJ157" s="59">
        <f t="shared" si="146"/>
        <v>296.73904998640018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0.57813742082575048</v>
      </c>
      <c r="BQ157" s="21">
        <f>EXP(-LN(2)/25)*BQ156+(1-EXP(-LN(2)/25))/(LN(2)/25)*Calculateur!BL157*Calculateur!BN157*VLOOKUP('Données projet'!$B$11,Paramètres!$A$1:$I$89,3,0)*0.475*44/12</f>
        <v>0.43126598937348015</v>
      </c>
      <c r="BR157" s="21">
        <f>EXP(-LN(2)/2)*BR156+(1-EXP(-LN(2)/2))/(LN(2)/2)*BL157*BO157*VLOOKUP('Données projet'!$B$11,Paramètres!$A$1:$I$89,3,0)*0.475*44/12</f>
        <v>4.534737045121779E-18</v>
      </c>
      <c r="BS157" s="22">
        <f t="shared" si="169"/>
        <v>1.0094034101992306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-5.6843418860808015E-13</v>
      </c>
      <c r="O158" s="13">
        <f>N158*VLOOKUP('Données projet'!$B$9,Paramètres!$A$1:$I$89,3,0)*VLOOKUP('Données projet'!$B$9,Paramètres!$A$1:$I$89,5,0)</f>
        <v>-3.177547114319168E-13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356.67698551373468</v>
      </c>
      <c r="T158" s="59">
        <f t="shared" si="142"/>
        <v>353.21836615408171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0.38424988758635559</v>
      </c>
      <c r="AA158" s="21">
        <f>EXP(-LN(2)/25)*AA157+(1-EXP(-LN(2)/25))/(LN(2)/25)*Calculateur!V158*Calculateur!X158*VLOOKUP('Données projet'!$B$9,Paramètres!$A$1:$I$89,3,0)*0.475*44/12</f>
        <v>0.94290463339174113</v>
      </c>
      <c r="AB158" s="21">
        <f>EXP(-LN(2)/2)*AB157+(1-EXP(-LN(2)/2))/(LN(2)/2)*V158*Y158*VLOOKUP('Données projet'!$B$9,Paramètres!$A$1:$I$89,3,0)*0.475*44/12</f>
        <v>4.9865903995183277E-18</v>
      </c>
      <c r="AC158" s="22">
        <f t="shared" si="163"/>
        <v>1.3271545209780968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285.77483300338548</v>
      </c>
      <c r="AO158" s="59">
        <f t="shared" si="144"/>
        <v>320.55212417690637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0.70188562975604885</v>
      </c>
      <c r="AV158" s="21">
        <f>EXP(-LN(2)/25)*AV157+(1-EXP(-LN(2)/25))/(LN(2)/25)*Calculateur!AQ158*Calculateur!AS158*VLOOKUP('Données projet'!$B$10,Paramètres!$A$1:$I$89,3,0)*0.475*44/12</f>
        <v>0.87093336593310744</v>
      </c>
      <c r="AW158" s="21">
        <f>EXP(-LN(2)/2)*AW157+(1-EXP(-LN(2)/2))/(LN(2)/2)*AQ158*AT158*VLOOKUP('Données projet'!$B$10,Paramètres!$A$1:$I$89,3,0)*0.475*44/12</f>
        <v>3.7414185729459681E-18</v>
      </c>
      <c r="AX158" s="21">
        <f t="shared" si="166"/>
        <v>1.5728189956891563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7.9580786405131221E-13</v>
      </c>
      <c r="BE158" s="13">
        <f>BD158*VLOOKUP('Données projet'!$B$11,Paramètres!$A$1:$I$89,3,0)*VLOOKUP('Données projet'!$B$11,Paramètres!$A$1:$I$89,5,0)</f>
        <v>3.8278358260868117E-13</v>
      </c>
      <c r="BF158" s="13">
        <f t="shared" si="167"/>
        <v>4.9186917125089072E-12</v>
      </c>
      <c r="BG158" s="20">
        <f t="shared" si="168"/>
        <v>9.2334028056631319E-12</v>
      </c>
      <c r="BH158" s="59">
        <f t="shared" si="116"/>
        <v>293.33333333334252</v>
      </c>
      <c r="BI158" s="59">
        <f ca="1">AVERAGE(OFFSET($BH$3,0,0,'Données projet'!$E$11+1,1))-AVERAGE(OFFSET($H$3,0,0,'Données projet'!$E$11+1,1))</f>
        <v>327.58421465651799</v>
      </c>
      <c r="BJ158" s="59">
        <f t="shared" si="146"/>
        <v>296.73904998640018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0.56680049863236504</v>
      </c>
      <c r="BQ158" s="21">
        <f>EXP(-LN(2)/25)*BQ157+(1-EXP(-LN(2)/25))/(LN(2)/25)*Calculateur!BL158*Calculateur!BN158*VLOOKUP('Données projet'!$B$11,Paramètres!$A$1:$I$89,3,0)*0.475*44/12</f>
        <v>0.41947299821476963</v>
      </c>
      <c r="BR158" s="21">
        <f>EXP(-LN(2)/2)*BR157+(1-EXP(-LN(2)/2))/(LN(2)/2)*BL158*BO158*VLOOKUP('Données projet'!$B$11,Paramètres!$A$1:$I$89,3,0)*0.475*44/12</f>
        <v>3.2065433155034569E-18</v>
      </c>
      <c r="BS158" s="22">
        <f t="shared" si="169"/>
        <v>0.98627349684713472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-5.6843418860808015E-13</v>
      </c>
      <c r="O159" s="13">
        <f>N159*VLOOKUP('Données projet'!$B$9,Paramètres!$A$1:$I$89,3,0)*VLOOKUP('Données projet'!$B$9,Paramètres!$A$1:$I$89,5,0)</f>
        <v>-3.177547114319168E-13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356.67698551373468</v>
      </c>
      <c r="T159" s="59">
        <f t="shared" si="142"/>
        <v>353.21836615408171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0.37671498166007655</v>
      </c>
      <c r="AA159" s="21">
        <f>EXP(-LN(2)/25)*AA158+(1-EXP(-LN(2)/25))/(LN(2)/25)*Calculateur!V159*Calculateur!X159*VLOOKUP('Données projet'!$B$9,Paramètres!$A$1:$I$89,3,0)*0.475*44/12</f>
        <v>0.91712085660644438</v>
      </c>
      <c r="AB159" s="21">
        <f>EXP(-LN(2)/2)*AB158+(1-EXP(-LN(2)/2))/(LN(2)/2)*V159*Y159*VLOOKUP('Données projet'!$B$9,Paramètres!$A$1:$I$89,3,0)*0.475*44/12</f>
        <v>3.5260518864991448E-18</v>
      </c>
      <c r="AC159" s="22">
        <f t="shared" si="163"/>
        <v>1.2938358382665209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285.77483300338548</v>
      </c>
      <c r="AO159" s="59">
        <f t="shared" si="144"/>
        <v>320.55212417690637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0.68812208066449476</v>
      </c>
      <c r="AV159" s="21">
        <f>EXP(-LN(2)/25)*AV158+(1-EXP(-LN(2)/25))/(LN(2)/25)*Calculateur!AQ159*Calculateur!AS159*VLOOKUP('Données projet'!$B$10,Paramètres!$A$1:$I$89,3,0)*0.475*44/12</f>
        <v>0.84711764724127148</v>
      </c>
      <c r="AW159" s="21">
        <f>EXP(-LN(2)/2)*AW158+(1-EXP(-LN(2)/2))/(LN(2)/2)*AQ159*AT159*VLOOKUP('Données projet'!$B$10,Paramètres!$A$1:$I$89,3,0)*0.475*44/12</f>
        <v>2.6455824441873896E-18</v>
      </c>
      <c r="AX159" s="21">
        <f t="shared" si="166"/>
        <v>1.5352397279057661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7.9580786405131221E-13</v>
      </c>
      <c r="BE159" s="13">
        <f>BD159*VLOOKUP('Données projet'!$B$11,Paramètres!$A$1:$I$89,3,0)*VLOOKUP('Données projet'!$B$11,Paramètres!$A$1:$I$89,5,0)</f>
        <v>3.8278358260868117E-13</v>
      </c>
      <c r="BF159" s="13">
        <f t="shared" si="167"/>
        <v>4.9186917125089072E-12</v>
      </c>
      <c r="BG159" s="20">
        <f t="shared" si="168"/>
        <v>9.2334028056631319E-12</v>
      </c>
      <c r="BH159" s="59">
        <f t="shared" si="116"/>
        <v>293.33333333334252</v>
      </c>
      <c r="BI159" s="59">
        <f ca="1">AVERAGE(OFFSET($BH$3,0,0,'Données projet'!$E$11+1,1))-AVERAGE(OFFSET($H$3,0,0,'Données projet'!$E$11+1,1))</f>
        <v>327.58421465651799</v>
      </c>
      <c r="BJ159" s="59">
        <f t="shared" si="146"/>
        <v>296.73904998640018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0.55568588656835205</v>
      </c>
      <c r="BQ159" s="21">
        <f>EXP(-LN(2)/25)*BQ158+(1-EXP(-LN(2)/25))/(LN(2)/25)*Calculateur!BL159*Calculateur!BN159*VLOOKUP('Données projet'!$B$11,Paramètres!$A$1:$I$89,3,0)*0.475*44/12</f>
        <v>0.40800248701946051</v>
      </c>
      <c r="BR159" s="21">
        <f>EXP(-LN(2)/2)*BR158+(1-EXP(-LN(2)/2))/(LN(2)/2)*BL159*BO159*VLOOKUP('Données projet'!$B$11,Paramètres!$A$1:$I$89,3,0)*0.475*44/12</f>
        <v>2.2673685225608895E-18</v>
      </c>
      <c r="BS159" s="22">
        <f t="shared" si="169"/>
        <v>0.96368837358781256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-5.6843418860808015E-13</v>
      </c>
      <c r="O160" s="13">
        <f>N160*VLOOKUP('Données projet'!$B$9,Paramètres!$A$1:$I$89,3,0)*VLOOKUP('Données projet'!$B$9,Paramètres!$A$1:$I$89,5,0)</f>
        <v>-3.177547114319168E-13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356.67698551373468</v>
      </c>
      <c r="T160" s="59">
        <f t="shared" si="142"/>
        <v>353.21836615408171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0.36932783064317304</v>
      </c>
      <c r="AA160" s="21">
        <f>EXP(-LN(2)/25)*AA159+(1-EXP(-LN(2)/25))/(LN(2)/25)*Calculateur!V160*Calculateur!X160*VLOOKUP('Données projet'!$B$9,Paramètres!$A$1:$I$89,3,0)*0.475*44/12</f>
        <v>0.89204213855325143</v>
      </c>
      <c r="AB160" s="21">
        <f>EXP(-LN(2)/2)*AB159+(1-EXP(-LN(2)/2))/(LN(2)/2)*V160*Y160*VLOOKUP('Données projet'!$B$9,Paramètres!$A$1:$I$89,3,0)*0.475*44/12</f>
        <v>2.4932951997591639E-18</v>
      </c>
      <c r="AC160" s="22">
        <f t="shared" si="163"/>
        <v>1.2613699691964244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285.77483300338548</v>
      </c>
      <c r="AO160" s="59">
        <f t="shared" si="144"/>
        <v>320.55212417690637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0.67462842637568998</v>
      </c>
      <c r="AV160" s="21">
        <f>EXP(-LN(2)/25)*AV159+(1-EXP(-LN(2)/25))/(LN(2)/25)*Calculateur!AQ160*Calculateur!AS160*VLOOKUP('Données projet'!$B$10,Paramètres!$A$1:$I$89,3,0)*0.475*44/12</f>
        <v>0.82395317062947793</v>
      </c>
      <c r="AW160" s="21">
        <f>EXP(-LN(2)/2)*AW159+(1-EXP(-LN(2)/2))/(LN(2)/2)*AQ160*AT160*VLOOKUP('Données projet'!$B$10,Paramètres!$A$1:$I$89,3,0)*0.475*44/12</f>
        <v>1.8707092864729841E-18</v>
      </c>
      <c r="AX160" s="21">
        <f t="shared" si="166"/>
        <v>1.4985815970051679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7.9580786405131221E-13</v>
      </c>
      <c r="BE160" s="13">
        <f>BD160*VLOOKUP('Données projet'!$B$11,Paramètres!$A$1:$I$89,3,0)*VLOOKUP('Données projet'!$B$11,Paramètres!$A$1:$I$89,5,0)</f>
        <v>3.8278358260868117E-13</v>
      </c>
      <c r="BF160" s="13">
        <f t="shared" si="167"/>
        <v>4.9186917125089072E-12</v>
      </c>
      <c r="BG160" s="20">
        <f t="shared" si="168"/>
        <v>9.2334028056631319E-12</v>
      </c>
      <c r="BH160" s="59">
        <f t="shared" si="116"/>
        <v>293.33333333334252</v>
      </c>
      <c r="BI160" s="59">
        <f ca="1">AVERAGE(OFFSET($BH$3,0,0,'Données projet'!$E$11+1,1))-AVERAGE(OFFSET($H$3,0,0,'Données projet'!$E$11+1,1))</f>
        <v>327.58421465651799</v>
      </c>
      <c r="BJ160" s="59">
        <f t="shared" si="146"/>
        <v>296.73904998640018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0.54478922526767037</v>
      </c>
      <c r="BQ160" s="21">
        <f>EXP(-LN(2)/25)*BQ159+(1-EXP(-LN(2)/25))/(LN(2)/25)*Calculateur!BL160*Calculateur!BN160*VLOOKUP('Données projet'!$B$11,Paramètres!$A$1:$I$89,3,0)*0.475*44/12</f>
        <v>0.39684563755599506</v>
      </c>
      <c r="BR160" s="21">
        <f>EXP(-LN(2)/2)*BR159+(1-EXP(-LN(2)/2))/(LN(2)/2)*BL160*BO160*VLOOKUP('Données projet'!$B$11,Paramètres!$A$1:$I$89,3,0)*0.475*44/12</f>
        <v>1.6032716577517285E-18</v>
      </c>
      <c r="BS160" s="22">
        <f t="shared" si="169"/>
        <v>0.94163486282366549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-5.6843418860808015E-13</v>
      </c>
      <c r="O161" s="13">
        <f>N161*VLOOKUP('Données projet'!$B$9,Paramètres!$A$1:$I$89,3,0)*VLOOKUP('Données projet'!$B$9,Paramètres!$A$1:$I$89,5,0)</f>
        <v>-3.177547114319168E-13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356.67698551373468</v>
      </c>
      <c r="T161" s="59">
        <f t="shared" si="142"/>
        <v>353.21836615408171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0.36208553715199376</v>
      </c>
      <c r="AA161" s="21">
        <f>EXP(-LN(2)/25)*AA160+(1-EXP(-LN(2)/25))/(LN(2)/25)*Calculateur!V161*Calculateur!X161*VLOOKUP('Données projet'!$B$9,Paramètres!$A$1:$I$89,3,0)*0.475*44/12</f>
        <v>0.86764919936405549</v>
      </c>
      <c r="AB161" s="21">
        <f>EXP(-LN(2)/2)*AB160+(1-EXP(-LN(2)/2))/(LN(2)/2)*V161*Y161*VLOOKUP('Données projet'!$B$9,Paramètres!$A$1:$I$89,3,0)*0.475*44/12</f>
        <v>1.7630259432495724E-18</v>
      </c>
      <c r="AC161" s="22">
        <f t="shared" si="163"/>
        <v>1.2297347365160491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285.77483300338548</v>
      </c>
      <c r="AO161" s="59">
        <f t="shared" si="144"/>
        <v>320.55212417690637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0.66139937441717223</v>
      </c>
      <c r="AV161" s="21">
        <f>EXP(-LN(2)/25)*AV160+(1-EXP(-LN(2)/25))/(LN(2)/25)*Calculateur!AQ161*Calculateur!AS161*VLOOKUP('Données projet'!$B$10,Paramètres!$A$1:$I$89,3,0)*0.475*44/12</f>
        <v>0.80142212784880074</v>
      </c>
      <c r="AW161" s="21">
        <f>EXP(-LN(2)/2)*AW160+(1-EXP(-LN(2)/2))/(LN(2)/2)*AQ161*AT161*VLOOKUP('Données projet'!$B$10,Paramètres!$A$1:$I$89,3,0)*0.475*44/12</f>
        <v>1.3227912220936948E-18</v>
      </c>
      <c r="AX161" s="21">
        <f t="shared" si="166"/>
        <v>1.462821502265973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7.9580786405131221E-13</v>
      </c>
      <c r="BE161" s="13">
        <f>BD161*VLOOKUP('Données projet'!$B$11,Paramètres!$A$1:$I$89,3,0)*VLOOKUP('Données projet'!$B$11,Paramètres!$A$1:$I$89,5,0)</f>
        <v>3.8278358260868117E-13</v>
      </c>
      <c r="BF161" s="13">
        <f t="shared" si="167"/>
        <v>4.9186917125089072E-12</v>
      </c>
      <c r="BG161" s="20">
        <f t="shared" si="168"/>
        <v>9.2334028056631319E-12</v>
      </c>
      <c r="BH161" s="59">
        <f t="shared" si="116"/>
        <v>293.33333333334252</v>
      </c>
      <c r="BI161" s="59">
        <f ca="1">AVERAGE(OFFSET($BH$3,0,0,'Données projet'!$E$11+1,1))-AVERAGE(OFFSET($H$3,0,0,'Données projet'!$E$11+1,1))</f>
        <v>327.58421465651799</v>
      </c>
      <c r="BJ161" s="59">
        <f t="shared" si="146"/>
        <v>296.73904998640018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0.53410624084878799</v>
      </c>
      <c r="BQ161" s="21">
        <f>EXP(-LN(2)/25)*BQ160+(1-EXP(-LN(2)/25))/(LN(2)/25)*Calculateur!BL161*Calculateur!BN161*VLOOKUP('Données projet'!$B$11,Paramètres!$A$1:$I$89,3,0)*0.475*44/12</f>
        <v>0.38599387272782132</v>
      </c>
      <c r="BR161" s="21">
        <f>EXP(-LN(2)/2)*BR160+(1-EXP(-LN(2)/2))/(LN(2)/2)*BL161*BO161*VLOOKUP('Données projet'!$B$11,Paramètres!$A$1:$I$89,3,0)*0.475*44/12</f>
        <v>1.1336842612804448E-18</v>
      </c>
      <c r="BS161" s="22">
        <f t="shared" si="169"/>
        <v>0.92010011357660937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-5.6843418860808015E-13</v>
      </c>
      <c r="O162" s="13">
        <f>N162*VLOOKUP('Données projet'!$B$9,Paramètres!$A$1:$I$89,3,0)*VLOOKUP('Données projet'!$B$9,Paramètres!$A$1:$I$89,5,0)</f>
        <v>-3.177547114319168E-13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356.67698551373468</v>
      </c>
      <c r="T162" s="59">
        <f t="shared" si="142"/>
        <v>353.21836615408171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0.35498526061881369</v>
      </c>
      <c r="AA162" s="21">
        <f>EXP(-LN(2)/25)*AA161+(1-EXP(-LN(2)/25))/(LN(2)/25)*Calculateur!V162*Calculateur!X162*VLOOKUP('Données projet'!$B$9,Paramètres!$A$1:$I$89,3,0)*0.475*44/12</f>
        <v>0.843923286379757</v>
      </c>
      <c r="AB162" s="21">
        <f>EXP(-LN(2)/2)*AB161+(1-EXP(-LN(2)/2))/(LN(2)/2)*V162*Y162*VLOOKUP('Données projet'!$B$9,Paramètres!$A$1:$I$89,3,0)*0.475*44/12</f>
        <v>1.2466475998795819E-18</v>
      </c>
      <c r="AC162" s="22">
        <f t="shared" si="163"/>
        <v>1.1989085469985707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285.77483300338548</v>
      </c>
      <c r="AO162" s="59">
        <f t="shared" si="144"/>
        <v>320.55212417690637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0.64842973609863608</v>
      </c>
      <c r="AV162" s="21">
        <f>EXP(-LN(2)/25)*AV161+(1-EXP(-LN(2)/25))/(LN(2)/25)*Calculateur!AQ162*Calculateur!AS162*VLOOKUP('Données projet'!$B$10,Paramètres!$A$1:$I$89,3,0)*0.475*44/12</f>
        <v>0.77950719761781728</v>
      </c>
      <c r="AW162" s="21">
        <f>EXP(-LN(2)/2)*AW161+(1-EXP(-LN(2)/2))/(LN(2)/2)*AQ162*AT162*VLOOKUP('Données projet'!$B$10,Paramètres!$A$1:$I$89,3,0)*0.475*44/12</f>
        <v>9.3535464323649203E-19</v>
      </c>
      <c r="AX162" s="21">
        <f t="shared" si="166"/>
        <v>1.4279369337164534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7.9580786405131221E-13</v>
      </c>
      <c r="BE162" s="13">
        <f>BD162*VLOOKUP('Données projet'!$B$11,Paramètres!$A$1:$I$89,3,0)*VLOOKUP('Données projet'!$B$11,Paramètres!$A$1:$I$89,5,0)</f>
        <v>3.8278358260868117E-13</v>
      </c>
      <c r="BF162" s="13">
        <f t="shared" si="167"/>
        <v>4.9186917125089072E-12</v>
      </c>
      <c r="BG162" s="20">
        <f t="shared" si="168"/>
        <v>9.2334028056631319E-12</v>
      </c>
      <c r="BH162" s="59">
        <f t="shared" si="116"/>
        <v>293.33333333334252</v>
      </c>
      <c r="BI162" s="59">
        <f ca="1">AVERAGE(OFFSET($BH$3,0,0,'Données projet'!$E$11+1,1))-AVERAGE(OFFSET($H$3,0,0,'Données projet'!$E$11+1,1))</f>
        <v>327.58421465651799</v>
      </c>
      <c r="BJ162" s="59">
        <f t="shared" si="146"/>
        <v>296.73904998640018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0.52363274323838283</v>
      </c>
      <c r="BQ162" s="21">
        <f>EXP(-LN(2)/25)*BQ161+(1-EXP(-LN(2)/25))/(LN(2)/25)*Calculateur!BL162*Calculateur!BN162*VLOOKUP('Données projet'!$B$11,Paramètres!$A$1:$I$89,3,0)*0.475*44/12</f>
        <v>0.37543884997954347</v>
      </c>
      <c r="BR162" s="21">
        <f>EXP(-LN(2)/2)*BR161+(1-EXP(-LN(2)/2))/(LN(2)/2)*BL162*BO162*VLOOKUP('Données projet'!$B$11,Paramètres!$A$1:$I$89,3,0)*0.475*44/12</f>
        <v>8.0163582887586423E-19</v>
      </c>
      <c r="BS162" s="22">
        <f t="shared" si="169"/>
        <v>0.89907159321792629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-5.6843418860808015E-13</v>
      </c>
      <c r="O163" s="13">
        <f>N163*VLOOKUP('Données projet'!$B$9,Paramètres!$A$1:$I$89,3,0)*VLOOKUP('Données projet'!$B$9,Paramètres!$A$1:$I$89,5,0)</f>
        <v>-3.177547114319168E-13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356.67698551373468</v>
      </c>
      <c r="T163" s="59">
        <f t="shared" si="142"/>
        <v>353.21836615408171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0.34802421617770818</v>
      </c>
      <c r="AA163" s="21">
        <f>EXP(-LN(2)/25)*AA162+(1-EXP(-LN(2)/25))/(LN(2)/25)*Calculateur!V163*Calculateur!X163*VLOOKUP('Données projet'!$B$9,Paramètres!$A$1:$I$89,3,0)*0.475*44/12</f>
        <v>0.82084615973370567</v>
      </c>
      <c r="AB163" s="21">
        <f>EXP(-LN(2)/2)*AB162+(1-EXP(-LN(2)/2))/(LN(2)/2)*V163*Y163*VLOOKUP('Données projet'!$B$9,Paramètres!$A$1:$I$89,3,0)*0.475*44/12</f>
        <v>8.8151297162478619E-19</v>
      </c>
      <c r="AC163" s="22">
        <f t="shared" si="163"/>
        <v>1.1688703759114139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285.77483300338548</v>
      </c>
      <c r="AO163" s="59">
        <f t="shared" si="144"/>
        <v>320.55212417690637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0.63571442447682813</v>
      </c>
      <c r="AV163" s="21">
        <f>EXP(-LN(2)/25)*AV162+(1-EXP(-LN(2)/25))/(LN(2)/25)*Calculateur!AQ163*Calculateur!AS163*VLOOKUP('Données projet'!$B$10,Paramètres!$A$1:$I$89,3,0)*0.475*44/12</f>
        <v>0.75819153230645608</v>
      </c>
      <c r="AW163" s="21">
        <f>EXP(-LN(2)/2)*AW162+(1-EXP(-LN(2)/2))/(LN(2)/2)*AQ163*AT163*VLOOKUP('Données projet'!$B$10,Paramètres!$A$1:$I$89,3,0)*0.475*44/12</f>
        <v>6.613956110468474E-19</v>
      </c>
      <c r="AX163" s="21">
        <f t="shared" si="166"/>
        <v>1.3939059567832843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7.9580786405131221E-13</v>
      </c>
      <c r="BE163" s="13">
        <f>BD163*VLOOKUP('Données projet'!$B$11,Paramètres!$A$1:$I$89,3,0)*VLOOKUP('Données projet'!$B$11,Paramètres!$A$1:$I$89,5,0)</f>
        <v>3.8278358260868117E-13</v>
      </c>
      <c r="BF163" s="13">
        <f t="shared" si="167"/>
        <v>4.9186917125089072E-12</v>
      </c>
      <c r="BG163" s="20">
        <f t="shared" si="168"/>
        <v>9.2334028056631319E-12</v>
      </c>
      <c r="BH163" s="59">
        <f t="shared" si="116"/>
        <v>293.33333333334252</v>
      </c>
      <c r="BI163" s="59">
        <f ca="1">AVERAGE(OFFSET($BH$3,0,0,'Données projet'!$E$11+1,1))-AVERAGE(OFFSET($H$3,0,0,'Données projet'!$E$11+1,1))</f>
        <v>327.58421465651799</v>
      </c>
      <c r="BJ163" s="59">
        <f t="shared" si="146"/>
        <v>296.73904998640018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0.51336462452791487</v>
      </c>
      <c r="BQ163" s="21">
        <f>EXP(-LN(2)/25)*BQ162+(1-EXP(-LN(2)/25))/(LN(2)/25)*Calculateur!BL163*Calculateur!BN163*VLOOKUP('Données projet'!$B$11,Paramètres!$A$1:$I$89,3,0)*0.475*44/12</f>
        <v>0.36517245488338179</v>
      </c>
      <c r="BR163" s="21">
        <f>EXP(-LN(2)/2)*BR162+(1-EXP(-LN(2)/2))/(LN(2)/2)*BL163*BO163*VLOOKUP('Données projet'!$B$11,Paramètres!$A$1:$I$89,3,0)*0.475*44/12</f>
        <v>5.6684213064022238E-19</v>
      </c>
      <c r="BS163" s="22">
        <f t="shared" si="169"/>
        <v>0.87853707941129666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-5.6843418860808015E-13</v>
      </c>
      <c r="O164" s="13">
        <f>N164*VLOOKUP('Données projet'!$B$9,Paramètres!$A$1:$I$89,3,0)*VLOOKUP('Données projet'!$B$9,Paramètres!$A$1:$I$89,5,0)</f>
        <v>-3.177547114319168E-13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356.67698551373468</v>
      </c>
      <c r="T164" s="59">
        <f t="shared" si="142"/>
        <v>353.21836615408171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0.34119967357227488</v>
      </c>
      <c r="AA164" s="21">
        <f>EXP(-LN(2)/25)*AA163+(1-EXP(-LN(2)/25))/(LN(2)/25)*Calculateur!V164*Calculateur!X164*VLOOKUP('Données projet'!$B$9,Paramètres!$A$1:$I$89,3,0)*0.475*44/12</f>
        <v>0.79840007832936399</v>
      </c>
      <c r="AB164" s="21">
        <f>EXP(-LN(2)/2)*AB163+(1-EXP(-LN(2)/2))/(LN(2)/2)*V164*Y164*VLOOKUP('Données projet'!$B$9,Paramètres!$A$1:$I$89,3,0)*0.475*44/12</f>
        <v>6.2332379993979096E-19</v>
      </c>
      <c r="AC164" s="22">
        <f t="shared" si="163"/>
        <v>1.1395997519016388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285.77483300338548</v>
      </c>
      <c r="AO164" s="59">
        <f t="shared" si="144"/>
        <v>320.55212417690637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0.62324845236034954</v>
      </c>
      <c r="AV164" s="21">
        <f>EXP(-LN(2)/25)*AV163+(1-EXP(-LN(2)/25))/(LN(2)/25)*Calculateur!AQ164*Calculateur!AS164*VLOOKUP('Données projet'!$B$10,Paramètres!$A$1:$I$89,3,0)*0.475*44/12</f>
        <v>0.73745874498397623</v>
      </c>
      <c r="AW164" s="21">
        <f>EXP(-LN(2)/2)*AW163+(1-EXP(-LN(2)/2))/(LN(2)/2)*AQ164*AT164*VLOOKUP('Données projet'!$B$10,Paramètres!$A$1:$I$89,3,0)*0.475*44/12</f>
        <v>4.6767732161824601E-19</v>
      </c>
      <c r="AX164" s="21">
        <f t="shared" si="166"/>
        <v>1.3607071973443259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7.9580786405131221E-13</v>
      </c>
      <c r="BE164" s="13">
        <f>BD164*VLOOKUP('Données projet'!$B$11,Paramètres!$A$1:$I$89,3,0)*VLOOKUP('Données projet'!$B$11,Paramètres!$A$1:$I$89,5,0)</f>
        <v>3.8278358260868117E-13</v>
      </c>
      <c r="BF164" s="13">
        <f t="shared" si="167"/>
        <v>4.9186917125089072E-12</v>
      </c>
      <c r="BG164" s="20">
        <f t="shared" si="168"/>
        <v>9.2334028056631319E-12</v>
      </c>
      <c r="BH164" s="59">
        <f t="shared" si="116"/>
        <v>293.33333333334252</v>
      </c>
      <c r="BI164" s="59">
        <f ca="1">AVERAGE(OFFSET($BH$3,0,0,'Données projet'!$E$11+1,1))-AVERAGE(OFFSET($H$3,0,0,'Données projet'!$E$11+1,1))</f>
        <v>327.58421465651799</v>
      </c>
      <c r="BJ164" s="59">
        <f t="shared" si="146"/>
        <v>296.73904998640018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0.50329785736242527</v>
      </c>
      <c r="BQ164" s="21">
        <f>EXP(-LN(2)/25)*BQ163+(1-EXP(-LN(2)/25))/(LN(2)/25)*Calculateur!BL164*Calculateur!BN164*VLOOKUP('Données projet'!$B$11,Paramètres!$A$1:$I$89,3,0)*0.475*44/12</f>
        <v>0.3551867949010109</v>
      </c>
      <c r="BR164" s="21">
        <f>EXP(-LN(2)/2)*BR163+(1-EXP(-LN(2)/2))/(LN(2)/2)*BL164*BO164*VLOOKUP('Données projet'!$B$11,Paramètres!$A$1:$I$89,3,0)*0.475*44/12</f>
        <v>4.0081791443793211E-19</v>
      </c>
      <c r="BS164" s="22">
        <f t="shared" si="169"/>
        <v>0.85848465226343618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-5.6843418860808015E-13</v>
      </c>
      <c r="O165" s="13">
        <f>N165*VLOOKUP('Données projet'!$B$9,Paramètres!$A$1:$I$89,3,0)*VLOOKUP('Données projet'!$B$9,Paramètres!$A$1:$I$89,5,0)</f>
        <v>-3.177547114319168E-13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356.67698551373468</v>
      </c>
      <c r="T165" s="59">
        <f t="shared" si="142"/>
        <v>353.21836615408171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0.33450895608477416</v>
      </c>
      <c r="AA165" s="21">
        <f>EXP(-LN(2)/25)*AA164+(1-EXP(-LN(2)/25))/(LN(2)/25)*Calculateur!V165*Calculateur!X165*VLOOKUP('Données projet'!$B$9,Paramètres!$A$1:$I$89,3,0)*0.475*44/12</f>
        <v>0.7765677862014122</v>
      </c>
      <c r="AB165" s="21">
        <f>EXP(-LN(2)/2)*AB164+(1-EXP(-LN(2)/2))/(LN(2)/2)*V165*Y165*VLOOKUP('Données projet'!$B$9,Paramètres!$A$1:$I$89,3,0)*0.475*44/12</f>
        <v>4.407564858123931E-19</v>
      </c>
      <c r="AC165" s="22">
        <f t="shared" si="163"/>
        <v>1.1110767422861865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285.77483300338548</v>
      </c>
      <c r="AO165" s="59">
        <f t="shared" si="144"/>
        <v>320.55212417690637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0.61102693035358291</v>
      </c>
      <c r="AV165" s="21">
        <f>EXP(-LN(2)/25)*AV164+(1-EXP(-LN(2)/25))/(LN(2)/25)*Calculateur!AQ165*Calculateur!AS165*VLOOKUP('Données projet'!$B$10,Paramètres!$A$1:$I$89,3,0)*0.475*44/12</f>
        <v>0.71729289682111952</v>
      </c>
      <c r="AW165" s="21">
        <f>EXP(-LN(2)/2)*AW164+(1-EXP(-LN(2)/2))/(LN(2)/2)*AQ165*AT165*VLOOKUP('Données projet'!$B$10,Paramètres!$A$1:$I$89,3,0)*0.475*44/12</f>
        <v>3.306978055234237E-19</v>
      </c>
      <c r="AX165" s="21">
        <f t="shared" si="166"/>
        <v>1.3283198271747025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7.9580786405131221E-13</v>
      </c>
      <c r="BE165" s="13">
        <f>BD165*VLOOKUP('Données projet'!$B$11,Paramètres!$A$1:$I$89,3,0)*VLOOKUP('Données projet'!$B$11,Paramètres!$A$1:$I$89,5,0)</f>
        <v>3.8278358260868117E-13</v>
      </c>
      <c r="BF165" s="13">
        <f t="shared" si="167"/>
        <v>4.9186917125089072E-12</v>
      </c>
      <c r="BG165" s="20">
        <f t="shared" si="168"/>
        <v>9.2334028056631319E-12</v>
      </c>
      <c r="BH165" s="59">
        <f t="shared" si="116"/>
        <v>293.33333333334252</v>
      </c>
      <c r="BI165" s="59">
        <f ca="1">AVERAGE(OFFSET($BH$3,0,0,'Données projet'!$E$11+1,1))-AVERAGE(OFFSET($H$3,0,0,'Données projet'!$E$11+1,1))</f>
        <v>327.58421465651799</v>
      </c>
      <c r="BJ165" s="59">
        <f t="shared" si="146"/>
        <v>296.73904998640018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0.4934284933609292</v>
      </c>
      <c r="BQ165" s="21">
        <f>EXP(-LN(2)/25)*BQ164+(1-EXP(-LN(2)/25))/(LN(2)/25)*Calculateur!BL165*Calculateur!BN165*VLOOKUP('Données projet'!$B$11,Paramètres!$A$1:$I$89,3,0)*0.475*44/12</f>
        <v>0.345474193315981</v>
      </c>
      <c r="BR165" s="21">
        <f>EXP(-LN(2)/2)*BR164+(1-EXP(-LN(2)/2))/(LN(2)/2)*BL165*BO165*VLOOKUP('Données projet'!$B$11,Paramètres!$A$1:$I$89,3,0)*0.475*44/12</f>
        <v>2.8342106532011119E-19</v>
      </c>
      <c r="BS165" s="22">
        <f t="shared" si="169"/>
        <v>0.83890268667691026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-5.6843418860808015E-13</v>
      </c>
      <c r="O166" s="13">
        <f>N166*VLOOKUP('Données projet'!$B$9,Paramètres!$A$1:$I$89,3,0)*VLOOKUP('Données projet'!$B$9,Paramètres!$A$1:$I$89,5,0)</f>
        <v>-3.177547114319168E-13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356.67698551373468</v>
      </c>
      <c r="T166" s="59">
        <f t="shared" si="142"/>
        <v>353.21836615408171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0.32794943948626865</v>
      </c>
      <c r="AA166" s="21">
        <f>EXP(-LN(2)/25)*AA165+(1-EXP(-LN(2)/25))/(LN(2)/25)*Calculateur!V166*Calculateur!X166*VLOOKUP('Données projet'!$B$9,Paramètres!$A$1:$I$89,3,0)*0.475*44/12</f>
        <v>0.75533249924980961</v>
      </c>
      <c r="AB166" s="21">
        <f>EXP(-LN(2)/2)*AB165+(1-EXP(-LN(2)/2))/(LN(2)/2)*V166*Y166*VLOOKUP('Données projet'!$B$9,Paramètres!$A$1:$I$89,3,0)*0.475*44/12</f>
        <v>3.1166189996989548E-19</v>
      </c>
      <c r="AC166" s="22">
        <f t="shared" si="163"/>
        <v>1.0832819387360781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285.77483300338548</v>
      </c>
      <c r="AO166" s="59">
        <f t="shared" si="144"/>
        <v>320.55212417690637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0.59904506493897658</v>
      </c>
      <c r="AV166" s="21">
        <f>EXP(-LN(2)/25)*AV165+(1-EXP(-LN(2)/25))/(LN(2)/25)*Calculateur!AQ166*Calculateur!AS166*VLOOKUP('Données projet'!$B$10,Paramètres!$A$1:$I$89,3,0)*0.475*44/12</f>
        <v>0.69767848483675199</v>
      </c>
      <c r="AW166" s="21">
        <f>EXP(-LN(2)/2)*AW165+(1-EXP(-LN(2)/2))/(LN(2)/2)*AQ166*AT166*VLOOKUP('Données projet'!$B$10,Paramètres!$A$1:$I$89,3,0)*0.475*44/12</f>
        <v>2.3383866080912301E-19</v>
      </c>
      <c r="AX166" s="21">
        <f t="shared" si="166"/>
        <v>1.2967235497757286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7.9580786405131221E-13</v>
      </c>
      <c r="BE166" s="13">
        <f>BD166*VLOOKUP('Données projet'!$B$11,Paramètres!$A$1:$I$89,3,0)*VLOOKUP('Données projet'!$B$11,Paramètres!$A$1:$I$89,5,0)</f>
        <v>3.8278358260868117E-13</v>
      </c>
      <c r="BF166" s="13">
        <f t="shared" si="167"/>
        <v>4.9186917125089072E-12</v>
      </c>
      <c r="BG166" s="20">
        <f t="shared" si="168"/>
        <v>9.2334028056631319E-12</v>
      </c>
      <c r="BH166" s="59">
        <f t="shared" si="116"/>
        <v>293.33333333334252</v>
      </c>
      <c r="BI166" s="59">
        <f ca="1">AVERAGE(OFFSET($BH$3,0,0,'Données projet'!$E$11+1,1))-AVERAGE(OFFSET($H$3,0,0,'Données projet'!$E$11+1,1))</f>
        <v>327.58421465651799</v>
      </c>
      <c r="BJ166" s="59">
        <f t="shared" si="146"/>
        <v>296.73904998640018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0.48375266156778485</v>
      </c>
      <c r="BQ166" s="21">
        <f>EXP(-LN(2)/25)*BQ165+(1-EXP(-LN(2)/25))/(LN(2)/25)*Calculateur!BL166*Calculateur!BN166*VLOOKUP('Données projet'!$B$11,Paramètres!$A$1:$I$89,3,0)*0.475*44/12</f>
        <v>0.33602718333205728</v>
      </c>
      <c r="BR166" s="21">
        <f>EXP(-LN(2)/2)*BR165+(1-EXP(-LN(2)/2))/(LN(2)/2)*BL166*BO166*VLOOKUP('Données projet'!$B$11,Paramètres!$A$1:$I$89,3,0)*0.475*44/12</f>
        <v>2.0040895721896606E-19</v>
      </c>
      <c r="BS166" s="22">
        <f t="shared" si="169"/>
        <v>0.81977984489984213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-5.6843418860808015E-13</v>
      </c>
      <c r="O167" s="13">
        <f>N167*VLOOKUP('Données projet'!$B$9,Paramètres!$A$1:$I$89,3,0)*VLOOKUP('Données projet'!$B$9,Paramètres!$A$1:$I$89,5,0)</f>
        <v>-3.177547114319168E-13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356.67698551373468</v>
      </c>
      <c r="T167" s="59">
        <f t="shared" si="142"/>
        <v>353.21836615408171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0.32151855100734972</v>
      </c>
      <c r="AA167" s="21">
        <f>EXP(-LN(2)/25)*AA166+(1-EXP(-LN(2)/25))/(LN(2)/25)*Calculateur!V167*Calculateur!X167*VLOOKUP('Données projet'!$B$9,Paramètres!$A$1:$I$89,3,0)*0.475*44/12</f>
        <v>0.73467789233661374</v>
      </c>
      <c r="AB167" s="21">
        <f>EXP(-LN(2)/2)*AB166+(1-EXP(-LN(2)/2))/(LN(2)/2)*V167*Y167*VLOOKUP('Données projet'!$B$9,Paramètres!$A$1:$I$89,3,0)*0.475*44/12</f>
        <v>2.2037824290619655E-19</v>
      </c>
      <c r="AC167" s="22">
        <f t="shared" si="163"/>
        <v>1.0561964433439635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285.77483300338548</v>
      </c>
      <c r="AO167" s="59">
        <f t="shared" si="144"/>
        <v>320.55212417690637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0.58729815659693441</v>
      </c>
      <c r="AV167" s="21">
        <f>EXP(-LN(2)/25)*AV166+(1-EXP(-LN(2)/25))/(LN(2)/25)*Calculateur!AQ167*Calculateur!AS167*VLOOKUP('Données projet'!$B$10,Paramètres!$A$1:$I$89,3,0)*0.475*44/12</f>
        <v>0.67860042997957404</v>
      </c>
      <c r="AW167" s="21">
        <f>EXP(-LN(2)/2)*AW166+(1-EXP(-LN(2)/2))/(LN(2)/2)*AQ167*AT167*VLOOKUP('Données projet'!$B$10,Paramètres!$A$1:$I$89,3,0)*0.475*44/12</f>
        <v>1.6534890276171185E-19</v>
      </c>
      <c r="AX167" s="21">
        <f t="shared" si="166"/>
        <v>1.2658985865765084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7.9580786405131221E-13</v>
      </c>
      <c r="BE167" s="13">
        <f>BD167*VLOOKUP('Données projet'!$B$11,Paramètres!$A$1:$I$89,3,0)*VLOOKUP('Données projet'!$B$11,Paramètres!$A$1:$I$89,5,0)</f>
        <v>3.8278358260868117E-13</v>
      </c>
      <c r="BF167" s="13">
        <f t="shared" si="167"/>
        <v>4.9186917125089072E-12</v>
      </c>
      <c r="BG167" s="20">
        <f t="shared" si="168"/>
        <v>9.2334028056631319E-12</v>
      </c>
      <c r="BH167" s="59">
        <f t="shared" si="116"/>
        <v>293.33333333334252</v>
      </c>
      <c r="BI167" s="59">
        <f ca="1">AVERAGE(OFFSET($BH$3,0,0,'Données projet'!$E$11+1,1))-AVERAGE(OFFSET($H$3,0,0,'Données projet'!$E$11+1,1))</f>
        <v>327.58421465651799</v>
      </c>
      <c r="BJ167" s="59">
        <f t="shared" si="146"/>
        <v>296.73904998640018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0.47426656693442937</v>
      </c>
      <c r="BQ167" s="21">
        <f>EXP(-LN(2)/25)*BQ166+(1-EXP(-LN(2)/25))/(LN(2)/25)*Calculateur!BL167*Calculateur!BN167*VLOOKUP('Données projet'!$B$11,Paramètres!$A$1:$I$89,3,0)*0.475*44/12</f>
        <v>0.32683850233294059</v>
      </c>
      <c r="BR167" s="21">
        <f>EXP(-LN(2)/2)*BR166+(1-EXP(-LN(2)/2))/(LN(2)/2)*BL167*BO167*VLOOKUP('Données projet'!$B$11,Paramètres!$A$1:$I$89,3,0)*0.475*44/12</f>
        <v>1.4171053266005559E-19</v>
      </c>
      <c r="BS167" s="22">
        <f t="shared" si="169"/>
        <v>0.80110506926737002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-5.6843418860808015E-13</v>
      </c>
      <c r="O168" s="13">
        <f>N168*VLOOKUP('Données projet'!$B$9,Paramètres!$A$1:$I$89,3,0)*VLOOKUP('Données projet'!$B$9,Paramètres!$A$1:$I$89,5,0)</f>
        <v>-3.177547114319168E-13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356.67698551373468</v>
      </c>
      <c r="T168" s="59">
        <f t="shared" si="142"/>
        <v>353.21836615408171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0.31521376832904774</v>
      </c>
      <c r="AA168" s="21">
        <f>EXP(-LN(2)/25)*AA167+(1-EXP(-LN(2)/25))/(LN(2)/25)*Calculateur!V168*Calculateur!X168*VLOOKUP('Données projet'!$B$9,Paramètres!$A$1:$I$89,3,0)*0.475*44/12</f>
        <v>0.71458808673563778</v>
      </c>
      <c r="AB168" s="21">
        <f>EXP(-LN(2)/2)*AB167+(1-EXP(-LN(2)/2))/(LN(2)/2)*V168*Y168*VLOOKUP('Données projet'!$B$9,Paramètres!$A$1:$I$89,3,0)*0.475*44/12</f>
        <v>1.5583094998494774E-19</v>
      </c>
      <c r="AC168" s="22">
        <f t="shared" si="163"/>
        <v>1.0298018550646855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285.77483300338548</v>
      </c>
      <c r="AO168" s="59">
        <f t="shared" si="144"/>
        <v>320.55212417690637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0.57578159796257311</v>
      </c>
      <c r="AV168" s="21">
        <f>EXP(-LN(2)/25)*AV167+(1-EXP(-LN(2)/25))/(LN(2)/25)*Calculateur!AQ168*Calculateur!AS168*VLOOKUP('Données projet'!$B$10,Paramètres!$A$1:$I$89,3,0)*0.475*44/12</f>
        <v>0.66004406553573691</v>
      </c>
      <c r="AW168" s="21">
        <f>EXP(-LN(2)/2)*AW167+(1-EXP(-LN(2)/2))/(LN(2)/2)*AQ168*AT168*VLOOKUP('Données projet'!$B$10,Paramètres!$A$1:$I$89,3,0)*0.475*44/12</f>
        <v>1.169193304045615E-19</v>
      </c>
      <c r="AX168" s="21">
        <f t="shared" si="166"/>
        <v>1.23582566349831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7.9580786405131221E-13</v>
      </c>
      <c r="BE168" s="13">
        <f>BD168*VLOOKUP('Données projet'!$B$11,Paramètres!$A$1:$I$89,3,0)*VLOOKUP('Données projet'!$B$11,Paramètres!$A$1:$I$89,5,0)</f>
        <v>3.8278358260868117E-13</v>
      </c>
      <c r="BF168" s="13">
        <f t="shared" si="167"/>
        <v>4.9186917125089072E-12</v>
      </c>
      <c r="BG168" s="20">
        <f t="shared" si="168"/>
        <v>9.2334028056631319E-12</v>
      </c>
      <c r="BH168" s="59">
        <f t="shared" si="116"/>
        <v>293.33333333334252</v>
      </c>
      <c r="BI168" s="59">
        <f ca="1">AVERAGE(OFFSET($BH$3,0,0,'Données projet'!$E$11+1,1))-AVERAGE(OFFSET($H$3,0,0,'Données projet'!$E$11+1,1))</f>
        <v>327.58421465651799</v>
      </c>
      <c r="BJ168" s="59">
        <f t="shared" si="146"/>
        <v>296.73904998640018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0.46496648883088759</v>
      </c>
      <c r="BQ168" s="21">
        <f>EXP(-LN(2)/25)*BQ167+(1-EXP(-LN(2)/25))/(LN(2)/25)*Calculateur!BL168*Calculateur!BN168*VLOOKUP('Données projet'!$B$11,Paramètres!$A$1:$I$89,3,0)*0.475*44/12</f>
        <v>0.31790108629895647</v>
      </c>
      <c r="BR168" s="21">
        <f>EXP(-LN(2)/2)*BR167+(1-EXP(-LN(2)/2))/(LN(2)/2)*BL168*BO168*VLOOKUP('Données projet'!$B$11,Paramètres!$A$1:$I$89,3,0)*0.475*44/12</f>
        <v>1.0020447860948303E-19</v>
      </c>
      <c r="BS168" s="22">
        <f t="shared" si="169"/>
        <v>0.78286757512984406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-5.6843418860808015E-13</v>
      </c>
      <c r="O169" s="13">
        <f>N169*VLOOKUP('Données projet'!$B$9,Paramètres!$A$1:$I$89,3,0)*VLOOKUP('Données projet'!$B$9,Paramètres!$A$1:$I$89,5,0)</f>
        <v>-3.177547114319168E-13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356.67698551373468</v>
      </c>
      <c r="T169" s="59">
        <f t="shared" si="142"/>
        <v>353.21836615408171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0.30903261859352954</v>
      </c>
      <c r="AA169" s="21">
        <f>EXP(-LN(2)/25)*AA168+(1-EXP(-LN(2)/25))/(LN(2)/25)*Calculateur!V169*Calculateur!X169*VLOOKUP('Données projet'!$B$9,Paramètres!$A$1:$I$89,3,0)*0.475*44/12</f>
        <v>0.69504763792529745</v>
      </c>
      <c r="AB169" s="21">
        <f>EXP(-LN(2)/2)*AB168+(1-EXP(-LN(2)/2))/(LN(2)/2)*V169*Y169*VLOOKUP('Données projet'!$B$9,Paramètres!$A$1:$I$89,3,0)*0.475*44/12</f>
        <v>1.1018912145309827E-19</v>
      </c>
      <c r="AC169" s="22">
        <f t="shared" si="163"/>
        <v>1.0040802565188269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285.77483300338548</v>
      </c>
      <c r="AO169" s="59">
        <f t="shared" si="144"/>
        <v>320.55212417690637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0.56449087201862447</v>
      </c>
      <c r="AV169" s="21">
        <f>EXP(-LN(2)/25)*AV168+(1-EXP(-LN(2)/25))/(LN(2)/25)*Calculateur!AQ169*Calculateur!AS169*VLOOKUP('Données projet'!$B$10,Paramètres!$A$1:$I$89,3,0)*0.475*44/12</f>
        <v>0.64199512585345331</v>
      </c>
      <c r="AW169" s="21">
        <f>EXP(-LN(2)/2)*AW168+(1-EXP(-LN(2)/2))/(LN(2)/2)*AQ169*AT169*VLOOKUP('Données projet'!$B$10,Paramètres!$A$1:$I$89,3,0)*0.475*44/12</f>
        <v>8.2674451380855925E-20</v>
      </c>
      <c r="AX169" s="21">
        <f t="shared" si="166"/>
        <v>1.2064859978720777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7.9580786405131221E-13</v>
      </c>
      <c r="BE169" s="13">
        <f>BD169*VLOOKUP('Données projet'!$B$11,Paramètres!$A$1:$I$89,3,0)*VLOOKUP('Données projet'!$B$11,Paramètres!$A$1:$I$89,5,0)</f>
        <v>3.8278358260868117E-13</v>
      </c>
      <c r="BF169" s="13">
        <f t="shared" si="167"/>
        <v>4.9186917125089072E-12</v>
      </c>
      <c r="BG169" s="20">
        <f t="shared" si="168"/>
        <v>9.2334028056631319E-12</v>
      </c>
      <c r="BH169" s="59">
        <f t="shared" si="116"/>
        <v>293.33333333334252</v>
      </c>
      <c r="BI169" s="59">
        <f ca="1">AVERAGE(OFFSET($BH$3,0,0,'Données projet'!$E$11+1,1))-AVERAGE(OFFSET($H$3,0,0,'Données projet'!$E$11+1,1))</f>
        <v>327.58421465651799</v>
      </c>
      <c r="BJ169" s="59">
        <f t="shared" si="146"/>
        <v>296.73904998640018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0.45584877958646874</v>
      </c>
      <c r="BQ169" s="21">
        <f>EXP(-LN(2)/25)*BQ168+(1-EXP(-LN(2)/25))/(LN(2)/25)*Calculateur!BL169*Calculateur!BN169*VLOOKUP('Données projet'!$B$11,Paramètres!$A$1:$I$89,3,0)*0.475*44/12</f>
        <v>0.30920806437641996</v>
      </c>
      <c r="BR169" s="21">
        <f>EXP(-LN(2)/2)*BR168+(1-EXP(-LN(2)/2))/(LN(2)/2)*BL169*BO169*VLOOKUP('Données projet'!$B$11,Paramètres!$A$1:$I$89,3,0)*0.475*44/12</f>
        <v>7.0855266330027797E-20</v>
      </c>
      <c r="BS169" s="22">
        <f t="shared" si="169"/>
        <v>0.76505684396288864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-5.6843418860808015E-13</v>
      </c>
      <c r="O170" s="13">
        <f>N170*VLOOKUP('Données projet'!$B$9,Paramètres!$A$1:$I$89,3,0)*VLOOKUP('Données projet'!$B$9,Paramètres!$A$1:$I$89,5,0)</f>
        <v>-3.177547114319168E-13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356.67698551373468</v>
      </c>
      <c r="T170" s="59">
        <f t="shared" si="142"/>
        <v>353.21836615408171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0.30297267743419581</v>
      </c>
      <c r="AA170" s="21">
        <f>EXP(-LN(2)/25)*AA169+(1-EXP(-LN(2)/25))/(LN(2)/25)*Calculateur!V170*Calculateur!X170*VLOOKUP('Données projet'!$B$9,Paramètres!$A$1:$I$89,3,0)*0.475*44/12</f>
        <v>0.67604152371526349</v>
      </c>
      <c r="AB170" s="21">
        <f>EXP(-LN(2)/2)*AB169+(1-EXP(-LN(2)/2))/(LN(2)/2)*V170*Y170*VLOOKUP('Données projet'!$B$9,Paramètres!$A$1:$I$89,3,0)*0.475*44/12</f>
        <v>7.791547499247387E-20</v>
      </c>
      <c r="AC170" s="22">
        <f t="shared" si="163"/>
        <v>0.97901420114945936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285.77483300338548</v>
      </c>
      <c r="AO170" s="59">
        <f t="shared" si="144"/>
        <v>320.55212417690637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0.55342155032377383</v>
      </c>
      <c r="AV170" s="21">
        <f>EXP(-LN(2)/25)*AV169+(1-EXP(-LN(2)/25))/(LN(2)/25)*Calculateur!AQ170*Calculateur!AS170*VLOOKUP('Données projet'!$B$10,Paramètres!$A$1:$I$89,3,0)*0.475*44/12</f>
        <v>0.62443973537593422</v>
      </c>
      <c r="AW170" s="21">
        <f>EXP(-LN(2)/2)*AW169+(1-EXP(-LN(2)/2))/(LN(2)/2)*AQ170*AT170*VLOOKUP('Données projet'!$B$10,Paramètres!$A$1:$I$89,3,0)*0.475*44/12</f>
        <v>5.8459665202280752E-20</v>
      </c>
      <c r="AX170" s="21">
        <f t="shared" si="166"/>
        <v>1.1778612856997079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7.9580786405131221E-13</v>
      </c>
      <c r="BE170" s="13">
        <f>BD170*VLOOKUP('Données projet'!$B$11,Paramètres!$A$1:$I$89,3,0)*VLOOKUP('Données projet'!$B$11,Paramètres!$A$1:$I$89,5,0)</f>
        <v>3.8278358260868117E-13</v>
      </c>
      <c r="BF170" s="13">
        <f t="shared" si="167"/>
        <v>4.9186917125089072E-12</v>
      </c>
      <c r="BG170" s="20">
        <f t="shared" si="168"/>
        <v>9.2334028056631319E-12</v>
      </c>
      <c r="BH170" s="59">
        <f t="shared" si="116"/>
        <v>293.33333333334252</v>
      </c>
      <c r="BI170" s="59">
        <f ca="1">AVERAGE(OFFSET($BH$3,0,0,'Données projet'!$E$11+1,1))-AVERAGE(OFFSET($H$3,0,0,'Données projet'!$E$11+1,1))</f>
        <v>327.58421465651799</v>
      </c>
      <c r="BJ170" s="59">
        <f t="shared" si="146"/>
        <v>296.73904998640018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0.44690986305907943</v>
      </c>
      <c r="BQ170" s="21">
        <f>EXP(-LN(2)/25)*BQ169+(1-EXP(-LN(2)/25))/(LN(2)/25)*Calculateur!BL170*Calculateur!BN170*VLOOKUP('Données projet'!$B$11,Paramètres!$A$1:$I$89,3,0)*0.475*44/12</f>
        <v>0.30075275359550135</v>
      </c>
      <c r="BR170" s="21">
        <f>EXP(-LN(2)/2)*BR169+(1-EXP(-LN(2)/2))/(LN(2)/2)*BL170*BO170*VLOOKUP('Données projet'!$B$11,Paramètres!$A$1:$I$89,3,0)*0.475*44/12</f>
        <v>5.0102239304741514E-20</v>
      </c>
      <c r="BS170" s="22">
        <f t="shared" si="169"/>
        <v>0.74766261665458078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-5.6843418860808015E-13</v>
      </c>
      <c r="O171" s="13">
        <f>N171*VLOOKUP('Données projet'!$B$9,Paramètres!$A$1:$I$89,3,0)*VLOOKUP('Données projet'!$B$9,Paramètres!$A$1:$I$89,5,0)</f>
        <v>-3.177547114319168E-13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356.67698551373468</v>
      </c>
      <c r="T171" s="59">
        <f t="shared" si="142"/>
        <v>353.21836615408171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0.29703156802479747</v>
      </c>
      <c r="AA171" s="21">
        <f>EXP(-LN(2)/25)*AA170+(1-EXP(-LN(2)/25))/(LN(2)/25)*Calculateur!V171*Calculateur!X171*VLOOKUP('Données projet'!$B$9,Paramètres!$A$1:$I$89,3,0)*0.475*44/12</f>
        <v>0.65755513269779098</v>
      </c>
      <c r="AB171" s="21">
        <f>EXP(-LN(2)/2)*AB170+(1-EXP(-LN(2)/2))/(LN(2)/2)*V171*Y171*VLOOKUP('Données projet'!$B$9,Paramètres!$A$1:$I$89,3,0)*0.475*44/12</f>
        <v>5.5094560726549137E-20</v>
      </c>
      <c r="AC171" s="22">
        <f t="shared" si="163"/>
        <v>0.95458670072258844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285.77483300338548</v>
      </c>
      <c r="AO171" s="59">
        <f t="shared" si="144"/>
        <v>320.55212417690637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0.54256929127573961</v>
      </c>
      <c r="AV171" s="21">
        <f>EXP(-LN(2)/25)*AV170+(1-EXP(-LN(2)/25))/(LN(2)/25)*Calculateur!AQ171*Calculateur!AS171*VLOOKUP('Données projet'!$B$10,Paramètres!$A$1:$I$89,3,0)*0.475*44/12</f>
        <v>0.60736439797422082</v>
      </c>
      <c r="AW171" s="21">
        <f>EXP(-LN(2)/2)*AW170+(1-EXP(-LN(2)/2))/(LN(2)/2)*AQ171*AT171*VLOOKUP('Données projet'!$B$10,Paramètres!$A$1:$I$89,3,0)*0.475*44/12</f>
        <v>4.1337225690427963E-20</v>
      </c>
      <c r="AX171" s="21">
        <f t="shared" si="166"/>
        <v>1.1499336892499605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7.9580786405131221E-13</v>
      </c>
      <c r="BE171" s="13">
        <f>BD171*VLOOKUP('Données projet'!$B$11,Paramètres!$A$1:$I$89,3,0)*VLOOKUP('Données projet'!$B$11,Paramètres!$A$1:$I$89,5,0)</f>
        <v>3.8278358260868117E-13</v>
      </c>
      <c r="BF171" s="13">
        <f t="shared" si="167"/>
        <v>4.9186917125089072E-12</v>
      </c>
      <c r="BG171" s="20">
        <f t="shared" si="168"/>
        <v>9.2334028056631319E-12</v>
      </c>
      <c r="BH171" s="59">
        <f t="shared" si="116"/>
        <v>293.33333333334252</v>
      </c>
      <c r="BI171" s="59">
        <f ca="1">AVERAGE(OFFSET($BH$3,0,0,'Données projet'!$E$11+1,1))-AVERAGE(OFFSET($H$3,0,0,'Données projet'!$E$11+1,1))</f>
        <v>327.58421465651799</v>
      </c>
      <c r="BJ171" s="59">
        <f t="shared" si="146"/>
        <v>296.73904998640018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0.4381462332325915</v>
      </c>
      <c r="BQ171" s="21">
        <f>EXP(-LN(2)/25)*BQ170+(1-EXP(-LN(2)/25))/(LN(2)/25)*Calculateur!BL171*Calculateur!BN171*VLOOKUP('Données projet'!$B$11,Paramètres!$A$1:$I$89,3,0)*0.475*44/12</f>
        <v>0.29252865373253245</v>
      </c>
      <c r="BR171" s="21">
        <f>EXP(-LN(2)/2)*BR170+(1-EXP(-LN(2)/2))/(LN(2)/2)*BL171*BO171*VLOOKUP('Données projet'!$B$11,Paramètres!$A$1:$I$89,3,0)*0.475*44/12</f>
        <v>3.5427633165013898E-20</v>
      </c>
      <c r="BS171" s="22">
        <f t="shared" si="169"/>
        <v>0.73067488696512395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-5.6843418860808015E-13</v>
      </c>
      <c r="O172" s="13">
        <f>N172*VLOOKUP('Données projet'!$B$9,Paramètres!$A$1:$I$89,3,0)*VLOOKUP('Données projet'!$B$9,Paramètres!$A$1:$I$89,5,0)</f>
        <v>-3.177547114319168E-13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356.67698551373468</v>
      </c>
      <c r="T172" s="59">
        <f t="shared" si="142"/>
        <v>353.21836615408171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0.29120696014719849</v>
      </c>
      <c r="AA172" s="21">
        <f>EXP(-LN(2)/25)*AA171+(1-EXP(-LN(2)/25))/(LN(2)/25)*Calculateur!V172*Calculateur!X172*VLOOKUP('Données projet'!$B$9,Paramètres!$A$1:$I$89,3,0)*0.475*44/12</f>
        <v>0.63957425301484827</v>
      </c>
      <c r="AB172" s="21">
        <f>EXP(-LN(2)/2)*AB171+(1-EXP(-LN(2)/2))/(LN(2)/2)*V172*Y172*VLOOKUP('Données projet'!$B$9,Paramètres!$A$1:$I$89,3,0)*0.475*44/12</f>
        <v>3.8957737496236935E-20</v>
      </c>
      <c r="AC172" s="22">
        <f t="shared" si="163"/>
        <v>0.93078121316204676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285.77483300338548</v>
      </c>
      <c r="AO172" s="59">
        <f t="shared" si="144"/>
        <v>320.55212417690637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0.5319298384084129</v>
      </c>
      <c r="AV172" s="21">
        <f>EXP(-LN(2)/25)*AV171+(1-EXP(-LN(2)/25))/(LN(2)/25)*Calculateur!AQ172*Calculateur!AS172*VLOOKUP('Données projet'!$B$10,Paramètres!$A$1:$I$89,3,0)*0.475*44/12</f>
        <v>0.59075598657171025</v>
      </c>
      <c r="AW172" s="21">
        <f>EXP(-LN(2)/2)*AW171+(1-EXP(-LN(2)/2))/(LN(2)/2)*AQ172*AT172*VLOOKUP('Données projet'!$B$10,Paramètres!$A$1:$I$89,3,0)*0.475*44/12</f>
        <v>2.9229832601140376E-20</v>
      </c>
      <c r="AX172" s="21">
        <f t="shared" si="166"/>
        <v>1.122685824980123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7.9580786405131221E-13</v>
      </c>
      <c r="BE172" s="13">
        <f>BD172*VLOOKUP('Données projet'!$B$11,Paramètres!$A$1:$I$89,3,0)*VLOOKUP('Données projet'!$B$11,Paramètres!$A$1:$I$89,5,0)</f>
        <v>3.8278358260868117E-13</v>
      </c>
      <c r="BF172" s="13">
        <f t="shared" si="167"/>
        <v>4.9186917125089072E-12</v>
      </c>
      <c r="BG172" s="20">
        <f t="shared" si="168"/>
        <v>9.2334028056631319E-12</v>
      </c>
      <c r="BH172" s="59">
        <f t="shared" si="116"/>
        <v>293.33333333334252</v>
      </c>
      <c r="BI172" s="59">
        <f ca="1">AVERAGE(OFFSET($BH$3,0,0,'Données projet'!$E$11+1,1))-AVERAGE(OFFSET($H$3,0,0,'Données projet'!$E$11+1,1))</f>
        <v>327.58421465651799</v>
      </c>
      <c r="BJ172" s="59">
        <f t="shared" si="146"/>
        <v>296.73904998640018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0.42955445284171462</v>
      </c>
      <c r="BQ172" s="21">
        <f>EXP(-LN(2)/25)*BQ171+(1-EXP(-LN(2)/25))/(LN(2)/25)*Calculateur!BL172*Calculateur!BN172*VLOOKUP('Données projet'!$B$11,Paramètres!$A$1:$I$89,3,0)*0.475*44/12</f>
        <v>0.28452944231280303</v>
      </c>
      <c r="BR172" s="21">
        <f>EXP(-LN(2)/2)*BR171+(1-EXP(-LN(2)/2))/(LN(2)/2)*BL172*BO172*VLOOKUP('Données projet'!$B$11,Paramètres!$A$1:$I$89,3,0)*0.475*44/12</f>
        <v>2.5051119652370757E-20</v>
      </c>
      <c r="BS172" s="22">
        <f t="shared" si="169"/>
        <v>0.71408389515451764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-5.6843418860808015E-13</v>
      </c>
      <c r="O173" s="13">
        <f>N173*VLOOKUP('Données projet'!$B$9,Paramètres!$A$1:$I$89,3,0)*VLOOKUP('Données projet'!$B$9,Paramètres!$A$1:$I$89,5,0)</f>
        <v>-3.177547114319168E-13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356.67698551373468</v>
      </c>
      <c r="T173" s="59">
        <f t="shared" si="142"/>
        <v>353.21836615408171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0.28549656927741923</v>
      </c>
      <c r="AA173" s="21">
        <f>EXP(-LN(2)/25)*AA172+(1-EXP(-LN(2)/25))/(LN(2)/25)*Calculateur!V173*Calculateur!X173*VLOOKUP('Données projet'!$B$9,Paramètres!$A$1:$I$89,3,0)*0.475*44/12</f>
        <v>0.62208506143240905</v>
      </c>
      <c r="AB173" s="21">
        <f>EXP(-LN(2)/2)*AB172+(1-EXP(-LN(2)/2))/(LN(2)/2)*V173*Y173*VLOOKUP('Données projet'!$B$9,Paramètres!$A$1:$I$89,3,0)*0.475*44/12</f>
        <v>2.7547280363274569E-20</v>
      </c>
      <c r="AC173" s="22">
        <f t="shared" si="163"/>
        <v>0.90758163070982834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285.77483300338548</v>
      </c>
      <c r="AO173" s="59">
        <f t="shared" si="144"/>
        <v>320.55212417690637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0.52149901872238902</v>
      </c>
      <c r="AV173" s="21">
        <f>EXP(-LN(2)/25)*AV172+(1-EXP(-LN(2)/25))/(LN(2)/25)*Calculateur!AQ173*Calculateur!AS173*VLOOKUP('Données projet'!$B$10,Paramètres!$A$1:$I$89,3,0)*0.475*44/12</f>
        <v>0.5746017330523997</v>
      </c>
      <c r="AW173" s="21">
        <f>EXP(-LN(2)/2)*AW172+(1-EXP(-LN(2)/2))/(LN(2)/2)*AQ173*AT173*VLOOKUP('Données projet'!$B$10,Paramètres!$A$1:$I$89,3,0)*0.475*44/12</f>
        <v>2.0668612845213981E-20</v>
      </c>
      <c r="AX173" s="21">
        <f t="shared" si="166"/>
        <v>1.0961007517747887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7.9580786405131221E-13</v>
      </c>
      <c r="BE173" s="13">
        <f>BD173*VLOOKUP('Données projet'!$B$11,Paramètres!$A$1:$I$89,3,0)*VLOOKUP('Données projet'!$B$11,Paramètres!$A$1:$I$89,5,0)</f>
        <v>3.8278358260868117E-13</v>
      </c>
      <c r="BF173" s="13">
        <f t="shared" si="167"/>
        <v>4.9186917125089072E-12</v>
      </c>
      <c r="BG173" s="20">
        <f t="shared" si="168"/>
        <v>9.2334028056631319E-12</v>
      </c>
      <c r="BH173" s="59">
        <f t="shared" si="116"/>
        <v>293.33333333334252</v>
      </c>
      <c r="BI173" s="59">
        <f ca="1">AVERAGE(OFFSET($BH$3,0,0,'Données projet'!$E$11+1,1))-AVERAGE(OFFSET($H$3,0,0,'Données projet'!$E$11+1,1))</f>
        <v>327.58421465651799</v>
      </c>
      <c r="BJ173" s="59">
        <f t="shared" si="146"/>
        <v>296.73904998640018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0.42113115202383422</v>
      </c>
      <c r="BQ173" s="21">
        <f>EXP(-LN(2)/25)*BQ172+(1-EXP(-LN(2)/25))/(LN(2)/25)*Calculateur!BL173*Calculateur!BN173*VLOOKUP('Données projet'!$B$11,Paramètres!$A$1:$I$89,3,0)*0.475*44/12</f>
        <v>0.27674896975000635</v>
      </c>
      <c r="BR173" s="21">
        <f>EXP(-LN(2)/2)*BR172+(1-EXP(-LN(2)/2))/(LN(2)/2)*BL173*BO173*VLOOKUP('Données projet'!$B$11,Paramètres!$A$1:$I$89,3,0)*0.475*44/12</f>
        <v>1.7713816582506949E-20</v>
      </c>
      <c r="BS173" s="22">
        <f t="shared" si="169"/>
        <v>0.69788012177384062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-5.6843418860808015E-13</v>
      </c>
      <c r="O174" s="13">
        <f>N174*VLOOKUP('Données projet'!$B$9,Paramètres!$A$1:$I$89,3,0)*VLOOKUP('Données projet'!$B$9,Paramètres!$A$1:$I$89,5,0)</f>
        <v>-3.177547114319168E-13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356.67698551373468</v>
      </c>
      <c r="T174" s="59">
        <f t="shared" si="142"/>
        <v>353.21836615408171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0.2798981556896018</v>
      </c>
      <c r="AA174" s="21">
        <f>EXP(-LN(2)/25)*AA173+(1-EXP(-LN(2)/25))/(LN(2)/25)*Calculateur!V174*Calculateur!X174*VLOOKUP('Données projet'!$B$9,Paramètres!$A$1:$I$89,3,0)*0.475*44/12</f>
        <v>0.60507411271350819</v>
      </c>
      <c r="AB174" s="21">
        <f>EXP(-LN(2)/2)*AB173+(1-EXP(-LN(2)/2))/(LN(2)/2)*V174*Y174*VLOOKUP('Données projet'!$B$9,Paramètres!$A$1:$I$89,3,0)*0.475*44/12</f>
        <v>1.9478868748118468E-20</v>
      </c>
      <c r="AC174" s="22">
        <f t="shared" si="163"/>
        <v>0.88497226840311005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285.77483300338548</v>
      </c>
      <c r="AO174" s="59">
        <f t="shared" si="144"/>
        <v>320.55212417690637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0.51127274104823628</v>
      </c>
      <c r="AV174" s="21">
        <f>EXP(-LN(2)/25)*AV173+(1-EXP(-LN(2)/25))/(LN(2)/25)*Calculateur!AQ174*Calculateur!AS174*VLOOKUP('Données projet'!$B$10,Paramètres!$A$1:$I$89,3,0)*0.475*44/12</f>
        <v>0.55888921844508999</v>
      </c>
      <c r="AW174" s="21">
        <f>EXP(-LN(2)/2)*AW173+(1-EXP(-LN(2)/2))/(LN(2)/2)*AQ174*AT174*VLOOKUP('Données projet'!$B$10,Paramètres!$A$1:$I$89,3,0)*0.475*44/12</f>
        <v>1.4614916300570188E-20</v>
      </c>
      <c r="AX174" s="21">
        <f t="shared" si="166"/>
        <v>1.0701619594933263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7.9580786405131221E-13</v>
      </c>
      <c r="BE174" s="13">
        <f>BD174*VLOOKUP('Données projet'!$B$11,Paramètres!$A$1:$I$89,3,0)*VLOOKUP('Données projet'!$B$11,Paramètres!$A$1:$I$89,5,0)</f>
        <v>3.8278358260868117E-13</v>
      </c>
      <c r="BF174" s="13">
        <f t="shared" si="167"/>
        <v>4.9186917125089072E-12</v>
      </c>
      <c r="BG174" s="20">
        <f t="shared" si="168"/>
        <v>9.2334028056631319E-12</v>
      </c>
      <c r="BH174" s="59">
        <f t="shared" si="116"/>
        <v>293.33333333334252</v>
      </c>
      <c r="BI174" s="59">
        <f ca="1">AVERAGE(OFFSET($BH$3,0,0,'Données projet'!$E$11+1,1))-AVERAGE(OFFSET($H$3,0,0,'Données projet'!$E$11+1,1))</f>
        <v>327.58421465651799</v>
      </c>
      <c r="BJ174" s="59">
        <f t="shared" si="146"/>
        <v>296.73904998640018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0.41287302699728629</v>
      </c>
      <c r="BQ174" s="21">
        <f>EXP(-LN(2)/25)*BQ173+(1-EXP(-LN(2)/25))/(LN(2)/25)*Calculateur!BL174*Calculateur!BN174*VLOOKUP('Données projet'!$B$11,Paramètres!$A$1:$I$89,3,0)*0.475*44/12</f>
        <v>0.2691812546185966</v>
      </c>
      <c r="BR174" s="21">
        <f>EXP(-LN(2)/2)*BR173+(1-EXP(-LN(2)/2))/(LN(2)/2)*BL174*BO174*VLOOKUP('Données projet'!$B$11,Paramètres!$A$1:$I$89,3,0)*0.475*44/12</f>
        <v>1.2525559826185379E-20</v>
      </c>
      <c r="BS174" s="22">
        <f t="shared" si="169"/>
        <v>0.68205428161588288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-5.6843418860808015E-13</v>
      </c>
      <c r="O175" s="13">
        <f>N175*VLOOKUP('Données projet'!$B$9,Paramètres!$A$1:$I$89,3,0)*VLOOKUP('Données projet'!$B$9,Paramètres!$A$1:$I$89,5,0)</f>
        <v>-3.177547114319168E-13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356.67698551373468</v>
      </c>
      <c r="T175" s="59">
        <f t="shared" si="142"/>
        <v>353.21836615408171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0.27440952357754639</v>
      </c>
      <c r="AA175" s="21">
        <f>EXP(-LN(2)/25)*AA174+(1-EXP(-LN(2)/25))/(LN(2)/25)*Calculateur!V175*Calculateur!X175*VLOOKUP('Données projet'!$B$9,Paramètres!$A$1:$I$89,3,0)*0.475*44/12</f>
        <v>0.58852832928189269</v>
      </c>
      <c r="AB175" s="21">
        <f>EXP(-LN(2)/2)*AB174+(1-EXP(-LN(2)/2))/(LN(2)/2)*V175*Y175*VLOOKUP('Données projet'!$B$9,Paramètres!$A$1:$I$89,3,0)*0.475*44/12</f>
        <v>1.3773640181637284E-20</v>
      </c>
      <c r="AC175" s="22">
        <f t="shared" si="163"/>
        <v>0.86293785285943914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285.77483300338548</v>
      </c>
      <c r="AO175" s="59">
        <f t="shared" si="144"/>
        <v>320.55212417690637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0.50124699444186016</v>
      </c>
      <c r="AV175" s="21">
        <f>EXP(-LN(2)/25)*AV174+(1-EXP(-LN(2)/25))/(LN(2)/25)*Calculateur!AQ175*Calculateur!AS175*VLOOKUP('Données projet'!$B$10,Paramètres!$A$1:$I$89,3,0)*0.475*44/12</f>
        <v>0.54360636337600232</v>
      </c>
      <c r="AW175" s="21">
        <f>EXP(-LN(2)/2)*AW174+(1-EXP(-LN(2)/2))/(LN(2)/2)*AQ175*AT175*VLOOKUP('Données projet'!$B$10,Paramètres!$A$1:$I$89,3,0)*0.475*44/12</f>
        <v>1.0334306422606991E-20</v>
      </c>
      <c r="AX175" s="21">
        <f t="shared" si="166"/>
        <v>1.0448533578178625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7.9580786405131221E-13</v>
      </c>
      <c r="BE175" s="13">
        <f>BD175*VLOOKUP('Données projet'!$B$11,Paramètres!$A$1:$I$89,3,0)*VLOOKUP('Données projet'!$B$11,Paramètres!$A$1:$I$89,5,0)</f>
        <v>3.8278358260868117E-13</v>
      </c>
      <c r="BF175" s="13">
        <f t="shared" si="167"/>
        <v>4.9186917125089072E-12</v>
      </c>
      <c r="BG175" s="20">
        <f t="shared" si="168"/>
        <v>9.2334028056631319E-12</v>
      </c>
      <c r="BH175" s="59">
        <f t="shared" si="116"/>
        <v>293.33333333334252</v>
      </c>
      <c r="BI175" s="59">
        <f ca="1">AVERAGE(OFFSET($BH$3,0,0,'Données projet'!$E$11+1,1))-AVERAGE(OFFSET($H$3,0,0,'Données projet'!$E$11+1,1))</f>
        <v>327.58421465651799</v>
      </c>
      <c r="BJ175" s="59">
        <f t="shared" si="146"/>
        <v>296.73904998640018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0.40477683876555004</v>
      </c>
      <c r="BQ175" s="21">
        <f>EXP(-LN(2)/25)*BQ174+(1-EXP(-LN(2)/25))/(LN(2)/25)*Calculateur!BL175*Calculateur!BN175*VLOOKUP('Données projet'!$B$11,Paramètres!$A$1:$I$89,3,0)*0.475*44/12</f>
        <v>0.2618204790554241</v>
      </c>
      <c r="BR175" s="21">
        <f>EXP(-LN(2)/2)*BR174+(1-EXP(-LN(2)/2))/(LN(2)/2)*BL175*BO175*VLOOKUP('Données projet'!$B$11,Paramètres!$A$1:$I$89,3,0)*0.475*44/12</f>
        <v>8.8569082912534746E-21</v>
      </c>
      <c r="BS175" s="22">
        <f t="shared" si="169"/>
        <v>0.66659731782097409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-5.6843418860808015E-13</v>
      </c>
      <c r="O176" s="13">
        <f>N176*VLOOKUP('Données projet'!$B$9,Paramètres!$A$1:$I$89,3,0)*VLOOKUP('Données projet'!$B$9,Paramètres!$A$1:$I$89,5,0)</f>
        <v>-3.177547114319168E-13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356.67698551373468</v>
      </c>
      <c r="T176" s="59">
        <f t="shared" si="142"/>
        <v>353.21836615408171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0.26902852019347334</v>
      </c>
      <c r="AA176" s="21">
        <f>EXP(-LN(2)/25)*AA175+(1-EXP(-LN(2)/25))/(LN(2)/25)*Calculateur!V176*Calculateur!X176*VLOOKUP('Données projet'!$B$9,Paramètres!$A$1:$I$89,3,0)*0.475*44/12</f>
        <v>0.57243499116831964</v>
      </c>
      <c r="AB176" s="21">
        <f>EXP(-LN(2)/2)*AB175+(1-EXP(-LN(2)/2))/(LN(2)/2)*V176*Y176*VLOOKUP('Données projet'!$B$9,Paramètres!$A$1:$I$89,3,0)*0.475*44/12</f>
        <v>9.7394343740592338E-21</v>
      </c>
      <c r="AC176" s="22">
        <f t="shared" si="163"/>
        <v>0.84146351136179298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285.77483300338548</v>
      </c>
      <c r="AO176" s="59">
        <f t="shared" si="144"/>
        <v>320.55212417690637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0.49141784661133353</v>
      </c>
      <c r="AV176" s="21">
        <f>EXP(-LN(2)/25)*AV175+(1-EXP(-LN(2)/25))/(LN(2)/25)*Calculateur!AQ176*Calculateur!AS176*VLOOKUP('Données projet'!$B$10,Paramètres!$A$1:$I$89,3,0)*0.475*44/12</f>
        <v>0.52874141878246927</v>
      </c>
      <c r="AW176" s="21">
        <f>EXP(-LN(2)/2)*AW175+(1-EXP(-LN(2)/2))/(LN(2)/2)*AQ176*AT176*VLOOKUP('Données projet'!$B$10,Paramètres!$A$1:$I$89,3,0)*0.475*44/12</f>
        <v>7.3074581502850939E-21</v>
      </c>
      <c r="AX176" s="21">
        <f t="shared" si="166"/>
        <v>1.0201592653938027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7.9580786405131221E-13</v>
      </c>
      <c r="BE176" s="13">
        <f>BD176*VLOOKUP('Données projet'!$B$11,Paramètres!$A$1:$I$89,3,0)*VLOOKUP('Données projet'!$B$11,Paramètres!$A$1:$I$89,5,0)</f>
        <v>3.8278358260868117E-13</v>
      </c>
      <c r="BF176" s="13">
        <f t="shared" si="167"/>
        <v>4.9186917125089072E-12</v>
      </c>
      <c r="BG176" s="20">
        <f t="shared" si="168"/>
        <v>9.2334028056631319E-12</v>
      </c>
      <c r="BH176" s="59">
        <f t="shared" si="116"/>
        <v>293.33333333334252</v>
      </c>
      <c r="BI176" s="59">
        <f ca="1">AVERAGE(OFFSET($BH$3,0,0,'Données projet'!$E$11+1,1))-AVERAGE(OFFSET($H$3,0,0,'Données projet'!$E$11+1,1))</f>
        <v>327.58421465651799</v>
      </c>
      <c r="BJ176" s="59">
        <f t="shared" si="146"/>
        <v>296.73904998640018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0.39683941184685095</v>
      </c>
      <c r="BQ176" s="21">
        <f>EXP(-LN(2)/25)*BQ175+(1-EXP(-LN(2)/25))/(LN(2)/25)*Calculateur!BL176*Calculateur!BN176*VLOOKUP('Données projet'!$B$11,Paramètres!$A$1:$I$89,3,0)*0.475*44/12</f>
        <v>0.25466098428711292</v>
      </c>
      <c r="BR176" s="21">
        <f>EXP(-LN(2)/2)*BR175+(1-EXP(-LN(2)/2))/(LN(2)/2)*BL176*BO176*VLOOKUP('Données projet'!$B$11,Paramètres!$A$1:$I$89,3,0)*0.475*44/12</f>
        <v>6.2627799130926893E-21</v>
      </c>
      <c r="BS176" s="22">
        <f t="shared" si="169"/>
        <v>0.65150039613396382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-5.6843418860808015E-13</v>
      </c>
      <c r="O177" s="13">
        <f>N177*VLOOKUP('Données projet'!$B$9,Paramètres!$A$1:$I$89,3,0)*VLOOKUP('Données projet'!$B$9,Paramètres!$A$1:$I$89,5,0)</f>
        <v>-3.177547114319168E-13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356.67698551373468</v>
      </c>
      <c r="T177" s="59">
        <f t="shared" si="142"/>
        <v>353.21836615408171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0.26375303500367397</v>
      </c>
      <c r="AA177" s="21">
        <f>EXP(-LN(2)/25)*AA176+(1-EXP(-LN(2)/25))/(LN(2)/25)*Calculateur!V177*Calculateur!X177*VLOOKUP('Données projet'!$B$9,Paramètres!$A$1:$I$89,3,0)*0.475*44/12</f>
        <v>0.55678172623177402</v>
      </c>
      <c r="AB177" s="21">
        <f>EXP(-LN(2)/2)*AB176+(1-EXP(-LN(2)/2))/(LN(2)/2)*V177*Y177*VLOOKUP('Données projet'!$B$9,Paramètres!$A$1:$I$89,3,0)*0.475*44/12</f>
        <v>6.8868200908186421E-21</v>
      </c>
      <c r="AC177" s="22">
        <f t="shared" si="163"/>
        <v>0.820534761235448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285.77483300338548</v>
      </c>
      <c r="AO177" s="59">
        <f t="shared" si="144"/>
        <v>320.55212417690637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0.48178144237457532</v>
      </c>
      <c r="AV177" s="21">
        <f>EXP(-LN(2)/25)*AV176+(1-EXP(-LN(2)/25))/(LN(2)/25)*Calculateur!AQ177*Calculateur!AS177*VLOOKUP('Données projet'!$B$10,Paramètres!$A$1:$I$89,3,0)*0.475*44/12</f>
        <v>0.51428295688055992</v>
      </c>
      <c r="AW177" s="21">
        <f>EXP(-LN(2)/2)*AW176+(1-EXP(-LN(2)/2))/(LN(2)/2)*AQ177*AT177*VLOOKUP('Données projet'!$B$10,Paramètres!$A$1:$I$89,3,0)*0.475*44/12</f>
        <v>5.1671532113034953E-21</v>
      </c>
      <c r="AX177" s="21">
        <f t="shared" si="166"/>
        <v>0.99606439925513524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7.9580786405131221E-13</v>
      </c>
      <c r="BE177" s="13">
        <f>BD177*VLOOKUP('Données projet'!$B$11,Paramètres!$A$1:$I$89,3,0)*VLOOKUP('Données projet'!$B$11,Paramètres!$A$1:$I$89,5,0)</f>
        <v>3.8278358260868117E-13</v>
      </c>
      <c r="BF177" s="13">
        <f t="shared" si="167"/>
        <v>4.9186917125089072E-12</v>
      </c>
      <c r="BG177" s="20">
        <f t="shared" si="168"/>
        <v>9.2334028056631319E-12</v>
      </c>
      <c r="BH177" s="59">
        <f t="shared" si="116"/>
        <v>293.33333333334252</v>
      </c>
      <c r="BI177" s="59">
        <f ca="1">AVERAGE(OFFSET($BH$3,0,0,'Données projet'!$E$11+1,1))-AVERAGE(OFFSET($H$3,0,0,'Données projet'!$E$11+1,1))</f>
        <v>327.58421465651799</v>
      </c>
      <c r="BJ177" s="59">
        <f t="shared" si="146"/>
        <v>296.73904998640018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0.38905763302867519</v>
      </c>
      <c r="BQ177" s="21">
        <f>EXP(-LN(2)/25)*BQ176+(1-EXP(-LN(2)/25))/(LN(2)/25)*Calculateur!BL177*Calculateur!BN177*VLOOKUP('Données projet'!$B$11,Paramètres!$A$1:$I$89,3,0)*0.475*44/12</f>
        <v>0.2476972662797427</v>
      </c>
      <c r="BR177" s="21">
        <f>EXP(-LN(2)/2)*BR176+(1-EXP(-LN(2)/2))/(LN(2)/2)*BL177*BO177*VLOOKUP('Données projet'!$B$11,Paramètres!$A$1:$I$89,3,0)*0.475*44/12</f>
        <v>4.4284541456267373E-21</v>
      </c>
      <c r="BS177" s="22">
        <f t="shared" si="169"/>
        <v>0.63675489930841789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-5.6843418860808015E-13</v>
      </c>
      <c r="O178" s="13">
        <f>N178*VLOOKUP('Données projet'!$B$9,Paramètres!$A$1:$I$89,3,0)*VLOOKUP('Données projet'!$B$9,Paramètres!$A$1:$I$89,5,0)</f>
        <v>-3.177547114319168E-13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356.67698551373468</v>
      </c>
      <c r="T178" s="59">
        <f t="shared" si="142"/>
        <v>353.21836615408171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0.25858099886071834</v>
      </c>
      <c r="AA178" s="21">
        <f>EXP(-LN(2)/25)*AA177+(1-EXP(-LN(2)/25))/(LN(2)/25)*Calculateur!V178*Calculateur!X178*VLOOKUP('Données projet'!$B$9,Paramètres!$A$1:$I$89,3,0)*0.475*44/12</f>
        <v>0.54155650064808769</v>
      </c>
      <c r="AB178" s="21">
        <f>EXP(-LN(2)/2)*AB177+(1-EXP(-LN(2)/2))/(LN(2)/2)*V178*Y178*VLOOKUP('Données projet'!$B$9,Paramètres!$A$1:$I$89,3,0)*0.475*44/12</f>
        <v>4.8697171870296169E-21</v>
      </c>
      <c r="AC178" s="22">
        <f t="shared" si="163"/>
        <v>0.80013749950880597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285.77483300338548</v>
      </c>
      <c r="AO178" s="59">
        <f t="shared" si="144"/>
        <v>320.55212417690637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0.47233400214727372</v>
      </c>
      <c r="AV178" s="21">
        <f>EXP(-LN(2)/25)*AV177+(1-EXP(-LN(2)/25))/(LN(2)/25)*Calculateur!AQ178*Calculateur!AS178*VLOOKUP('Données projet'!$B$10,Paramètres!$A$1:$I$89,3,0)*0.475*44/12</f>
        <v>0.50021986237969573</v>
      </c>
      <c r="AW178" s="21">
        <f>EXP(-LN(2)/2)*AW177+(1-EXP(-LN(2)/2))/(LN(2)/2)*AQ178*AT178*VLOOKUP('Données projet'!$B$10,Paramètres!$A$1:$I$89,3,0)*0.475*44/12</f>
        <v>3.653729075142547E-21</v>
      </c>
      <c r="AX178" s="21">
        <f t="shared" si="166"/>
        <v>0.97255386452696946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7.9580786405131221E-13</v>
      </c>
      <c r="BE178" s="13">
        <f>BD178*VLOOKUP('Données projet'!$B$11,Paramètres!$A$1:$I$89,3,0)*VLOOKUP('Données projet'!$B$11,Paramètres!$A$1:$I$89,5,0)</f>
        <v>3.8278358260868117E-13</v>
      </c>
      <c r="BF178" s="13">
        <f t="shared" si="167"/>
        <v>4.9186917125089072E-12</v>
      </c>
      <c r="BG178" s="20">
        <f t="shared" si="168"/>
        <v>9.2334028056631319E-12</v>
      </c>
      <c r="BH178" s="59">
        <f t="shared" si="116"/>
        <v>293.33333333334252</v>
      </c>
      <c r="BI178" s="59">
        <f ca="1">AVERAGE(OFFSET($BH$3,0,0,'Données projet'!$E$11+1,1))-AVERAGE(OFFSET($H$3,0,0,'Données projet'!$E$11+1,1))</f>
        <v>327.58421465651799</v>
      </c>
      <c r="BJ178" s="59">
        <f t="shared" si="146"/>
        <v>296.73904998640018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0.3814284501467074</v>
      </c>
      <c r="BQ178" s="21">
        <f>EXP(-LN(2)/25)*BQ177+(1-EXP(-LN(2)/25))/(LN(2)/25)*Calculateur!BL178*Calculateur!BN178*VLOOKUP('Données projet'!$B$11,Paramètres!$A$1:$I$89,3,0)*0.475*44/12</f>
        <v>0.24092397150749001</v>
      </c>
      <c r="BR178" s="21">
        <f>EXP(-LN(2)/2)*BR177+(1-EXP(-LN(2)/2))/(LN(2)/2)*BL178*BO178*VLOOKUP('Données projet'!$B$11,Paramètres!$A$1:$I$89,3,0)*0.475*44/12</f>
        <v>3.1313899565463446E-21</v>
      </c>
      <c r="BS178" s="22">
        <f t="shared" si="169"/>
        <v>0.62235242165419735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-5.6843418860808015E-13</v>
      </c>
      <c r="O179" s="13">
        <f>N179*VLOOKUP('Données projet'!$B$9,Paramètres!$A$1:$I$89,3,0)*VLOOKUP('Données projet'!$B$9,Paramètres!$A$1:$I$89,5,0)</f>
        <v>-3.177547114319168E-13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356.67698551373468</v>
      </c>
      <c r="T179" s="59">
        <f t="shared" si="142"/>
        <v>353.21836615408171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0.25351038319189551</v>
      </c>
      <c r="AA179" s="21">
        <f>EXP(-LN(2)/25)*AA178+(1-EXP(-LN(2)/25))/(LN(2)/25)*Calculateur!V179*Calculateur!X179*VLOOKUP('Données projet'!$B$9,Paramètres!$A$1:$I$89,3,0)*0.475*44/12</f>
        <v>0.52674760965864709</v>
      </c>
      <c r="AB179" s="21">
        <f>EXP(-LN(2)/2)*AB178+(1-EXP(-LN(2)/2))/(LN(2)/2)*V179*Y179*VLOOKUP('Données projet'!$B$9,Paramètres!$A$1:$I$89,3,0)*0.475*44/12</f>
        <v>3.4434100454093211E-21</v>
      </c>
      <c r="AC179" s="22">
        <f t="shared" si="163"/>
        <v>0.78025799285054265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285.77483300338548</v>
      </c>
      <c r="AO179" s="59">
        <f t="shared" si="144"/>
        <v>320.55212417690637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0.46307182046045997</v>
      </c>
      <c r="AV179" s="21">
        <f>EXP(-LN(2)/25)*AV178+(1-EXP(-LN(2)/25))/(LN(2)/25)*Calculateur!AQ179*Calculateur!AS179*VLOOKUP('Données projet'!$B$10,Paramètres!$A$1:$I$89,3,0)*0.475*44/12</f>
        <v>0.48654132393750366</v>
      </c>
      <c r="AW179" s="21">
        <f>EXP(-LN(2)/2)*AW178+(1-EXP(-LN(2)/2))/(LN(2)/2)*AQ179*AT179*VLOOKUP('Données projet'!$B$10,Paramètres!$A$1:$I$89,3,0)*0.475*44/12</f>
        <v>2.5835766056517477E-21</v>
      </c>
      <c r="AX179" s="21">
        <f t="shared" si="166"/>
        <v>0.94961314439796363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7.9580786405131221E-13</v>
      </c>
      <c r="BE179" s="13">
        <f>BD179*VLOOKUP('Données projet'!$B$11,Paramètres!$A$1:$I$89,3,0)*VLOOKUP('Données projet'!$B$11,Paramètres!$A$1:$I$89,5,0)</f>
        <v>3.8278358260868117E-13</v>
      </c>
      <c r="BF179" s="13">
        <f t="shared" si="167"/>
        <v>4.9186917125089072E-12</v>
      </c>
      <c r="BG179" s="20">
        <f t="shared" si="168"/>
        <v>9.2334028056631319E-12</v>
      </c>
      <c r="BH179" s="59">
        <f t="shared" si="116"/>
        <v>293.33333333334252</v>
      </c>
      <c r="BI179" s="59">
        <f ca="1">AVERAGE(OFFSET($BH$3,0,0,'Données projet'!$E$11+1,1))-AVERAGE(OFFSET($H$3,0,0,'Données projet'!$E$11+1,1))</f>
        <v>327.58421465651799</v>
      </c>
      <c r="BJ179" s="59">
        <f t="shared" si="146"/>
        <v>296.73904998640018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0.37394887088771295</v>
      </c>
      <c r="BQ179" s="21">
        <f>EXP(-LN(2)/25)*BQ178+(1-EXP(-LN(2)/25))/(LN(2)/25)*Calculateur!BL179*Calculateur!BN179*VLOOKUP('Données projet'!$B$11,Paramètres!$A$1:$I$89,3,0)*0.475*44/12</f>
        <v>0.23433589283697667</v>
      </c>
      <c r="BR179" s="21">
        <f>EXP(-LN(2)/2)*BR178+(1-EXP(-LN(2)/2))/(LN(2)/2)*BL179*BO179*VLOOKUP('Données projet'!$B$11,Paramètres!$A$1:$I$89,3,0)*0.475*44/12</f>
        <v>2.2142270728133687E-21</v>
      </c>
      <c r="BS179" s="22">
        <f t="shared" si="169"/>
        <v>0.60828476372468965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-5.6843418860808015E-13</v>
      </c>
      <c r="O180" s="13">
        <f>N180*VLOOKUP('Données projet'!$B$9,Paramètres!$A$1:$I$89,3,0)*VLOOKUP('Données projet'!$B$9,Paramètres!$A$1:$I$89,5,0)</f>
        <v>-3.177547114319168E-13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356.67698551373468</v>
      </c>
      <c r="T180" s="59">
        <f t="shared" si="142"/>
        <v>353.21836615408171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0.24853919920356812</v>
      </c>
      <c r="AA180" s="21">
        <f>EXP(-LN(2)/25)*AA179+(1-EXP(-LN(2)/25))/(LN(2)/25)*Calculateur!V180*Calculateur!X180*VLOOKUP('Données projet'!$B$9,Paramètres!$A$1:$I$89,3,0)*0.475*44/12</f>
        <v>0.51234366857207847</v>
      </c>
      <c r="AB180" s="21">
        <f>EXP(-LN(2)/2)*AB179+(1-EXP(-LN(2)/2))/(LN(2)/2)*V180*Y180*VLOOKUP('Données projet'!$B$9,Paramètres!$A$1:$I$89,3,0)*0.475*44/12</f>
        <v>2.4348585935148085E-21</v>
      </c>
      <c r="AC180" s="22">
        <f t="shared" si="163"/>
        <v>0.76088286777564662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285.77483300338548</v>
      </c>
      <c r="AO180" s="59">
        <f t="shared" si="144"/>
        <v>320.55212417690637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0.4539912645071516</v>
      </c>
      <c r="AV180" s="21">
        <f>EXP(-LN(2)/25)*AV179+(1-EXP(-LN(2)/25))/(LN(2)/25)*Calculateur!AQ180*Calculateur!AS180*VLOOKUP('Données projet'!$B$10,Paramètres!$A$1:$I$89,3,0)*0.475*44/12</f>
        <v>0.47323682584833637</v>
      </c>
      <c r="AW180" s="21">
        <f>EXP(-LN(2)/2)*AW179+(1-EXP(-LN(2)/2))/(LN(2)/2)*AQ180*AT180*VLOOKUP('Données projet'!$B$10,Paramètres!$A$1:$I$89,3,0)*0.475*44/12</f>
        <v>1.8268645375712735E-21</v>
      </c>
      <c r="AX180" s="21">
        <f t="shared" si="166"/>
        <v>0.92722809035548792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7.9580786405131221E-13</v>
      </c>
      <c r="BE180" s="13">
        <f>BD180*VLOOKUP('Données projet'!$B$11,Paramètres!$A$1:$I$89,3,0)*VLOOKUP('Données projet'!$B$11,Paramètres!$A$1:$I$89,5,0)</f>
        <v>3.8278358260868117E-13</v>
      </c>
      <c r="BF180" s="13">
        <f t="shared" si="167"/>
        <v>4.9186917125089072E-12</v>
      </c>
      <c r="BG180" s="20">
        <f t="shared" si="168"/>
        <v>9.2334028056631319E-12</v>
      </c>
      <c r="BH180" s="59">
        <f t="shared" si="116"/>
        <v>293.33333333334252</v>
      </c>
      <c r="BI180" s="59">
        <f ca="1">AVERAGE(OFFSET($BH$3,0,0,'Données projet'!$E$11+1,1))-AVERAGE(OFFSET($H$3,0,0,'Données projet'!$E$11+1,1))</f>
        <v>327.58421465651799</v>
      </c>
      <c r="BJ180" s="59">
        <f t="shared" si="146"/>
        <v>296.73904998640018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0.36661596161589449</v>
      </c>
      <c r="BQ180" s="21">
        <f>EXP(-LN(2)/25)*BQ179+(1-EXP(-LN(2)/25))/(LN(2)/25)*Calculateur!BL180*Calculateur!BN180*VLOOKUP('Données projet'!$B$11,Paramètres!$A$1:$I$89,3,0)*0.475*44/12</f>
        <v>0.22792796552416053</v>
      </c>
      <c r="BR180" s="21">
        <f>EXP(-LN(2)/2)*BR179+(1-EXP(-LN(2)/2))/(LN(2)/2)*BL180*BO180*VLOOKUP('Données projet'!$B$11,Paramètres!$A$1:$I$89,3,0)*0.475*44/12</f>
        <v>1.5656949782731723E-21</v>
      </c>
      <c r="BS180" s="22">
        <f t="shared" si="169"/>
        <v>0.594543927140055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-5.6843418860808015E-13</v>
      </c>
      <c r="O181" s="13">
        <f>N181*VLOOKUP('Données projet'!$B$9,Paramètres!$A$1:$I$89,3,0)*VLOOKUP('Données projet'!$B$9,Paramètres!$A$1:$I$89,5,0)</f>
        <v>-3.177547114319168E-13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356.67698551373468</v>
      </c>
      <c r="T181" s="59">
        <f t="shared" si="142"/>
        <v>353.21836615408171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0.243665497101129</v>
      </c>
      <c r="AA181" s="21">
        <f>EXP(-LN(2)/25)*AA180+(1-EXP(-LN(2)/25))/(LN(2)/25)*Calculateur!V181*Calculateur!X181*VLOOKUP('Données projet'!$B$9,Paramètres!$A$1:$I$89,3,0)*0.475*44/12</f>
        <v>0.49833360401199245</v>
      </c>
      <c r="AB181" s="21">
        <f>EXP(-LN(2)/2)*AB180+(1-EXP(-LN(2)/2))/(LN(2)/2)*V181*Y181*VLOOKUP('Données projet'!$B$9,Paramètres!$A$1:$I$89,3,0)*0.475*44/12</f>
        <v>1.7217050227046605E-21</v>
      </c>
      <c r="AC181" s="22">
        <f t="shared" si="163"/>
        <v>0.74199910111312151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285.77483300338548</v>
      </c>
      <c r="AO181" s="59">
        <f t="shared" si="144"/>
        <v>320.55212417690637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0.44508877271749536</v>
      </c>
      <c r="AV181" s="21">
        <f>EXP(-LN(2)/25)*AV180+(1-EXP(-LN(2)/25))/(LN(2)/25)*Calculateur!AQ181*Calculateur!AS181*VLOOKUP('Données projet'!$B$10,Paramètres!$A$1:$I$89,3,0)*0.475*44/12</f>
        <v>0.46029613995907054</v>
      </c>
      <c r="AW181" s="21">
        <f>EXP(-LN(2)/2)*AW180+(1-EXP(-LN(2)/2))/(LN(2)/2)*AQ181*AT181*VLOOKUP('Données projet'!$B$10,Paramètres!$A$1:$I$89,3,0)*0.475*44/12</f>
        <v>1.2917883028258738E-21</v>
      </c>
      <c r="AX181" s="21">
        <f t="shared" si="166"/>
        <v>0.90538491267656585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7.9580786405131221E-13</v>
      </c>
      <c r="BE181" s="13">
        <f>BD181*VLOOKUP('Données projet'!$B$11,Paramètres!$A$1:$I$89,3,0)*VLOOKUP('Données projet'!$B$11,Paramètres!$A$1:$I$89,5,0)</f>
        <v>3.8278358260868117E-13</v>
      </c>
      <c r="BF181" s="13">
        <f t="shared" si="167"/>
        <v>4.9186917125089072E-12</v>
      </c>
      <c r="BG181" s="20">
        <f t="shared" si="168"/>
        <v>9.2334028056631319E-12</v>
      </c>
      <c r="BH181" s="59">
        <f t="shared" si="116"/>
        <v>293.33333333334252</v>
      </c>
      <c r="BI181" s="59">
        <f ca="1">AVERAGE(OFFSET($BH$3,0,0,'Données projet'!$E$11+1,1))-AVERAGE(OFFSET($H$3,0,0,'Données projet'!$E$11+1,1))</f>
        <v>327.58421465651799</v>
      </c>
      <c r="BJ181" s="59">
        <f t="shared" si="146"/>
        <v>296.73904998640018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0.3594268462222634</v>
      </c>
      <c r="BQ181" s="21">
        <f>EXP(-LN(2)/25)*BQ180+(1-EXP(-LN(2)/25))/(LN(2)/25)*Calculateur!BL181*Calculateur!BN181*VLOOKUP('Données projet'!$B$11,Paramètres!$A$1:$I$89,3,0)*0.475*44/12</f>
        <v>0.22169526332069159</v>
      </c>
      <c r="BR181" s="21">
        <f>EXP(-LN(2)/2)*BR180+(1-EXP(-LN(2)/2))/(LN(2)/2)*BL181*BO181*VLOOKUP('Données projet'!$B$11,Paramètres!$A$1:$I$89,3,0)*0.475*44/12</f>
        <v>1.1071135364066843E-21</v>
      </c>
      <c r="BS181" s="22">
        <f t="shared" si="169"/>
        <v>0.58112210954295496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-5.6843418860808015E-13</v>
      </c>
      <c r="O182" s="13">
        <f>N182*VLOOKUP('Données projet'!$B$9,Paramètres!$A$1:$I$89,3,0)*VLOOKUP('Données projet'!$B$9,Paramètres!$A$1:$I$89,5,0)</f>
        <v>-3.177547114319168E-13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356.67698551373468</v>
      </c>
      <c r="T182" s="59">
        <f t="shared" si="142"/>
        <v>353.21836615408171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0.23888736532425398</v>
      </c>
      <c r="AA182" s="21">
        <f>EXP(-LN(2)/25)*AA181+(1-EXP(-LN(2)/25))/(LN(2)/25)*Calculateur!V182*Calculateur!X182*VLOOKUP('Données projet'!$B$9,Paramètres!$A$1:$I$89,3,0)*0.475*44/12</f>
        <v>0.48470664540405922</v>
      </c>
      <c r="AB182" s="21">
        <f>EXP(-LN(2)/2)*AB181+(1-EXP(-LN(2)/2))/(LN(2)/2)*V182*Y182*VLOOKUP('Données projet'!$B$9,Paramètres!$A$1:$I$89,3,0)*0.475*44/12</f>
        <v>1.2174292967574042E-21</v>
      </c>
      <c r="AC182" s="22">
        <f t="shared" si="163"/>
        <v>0.7235940107283132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285.77483300338548</v>
      </c>
      <c r="AO182" s="59">
        <f t="shared" si="144"/>
        <v>320.55212417690637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0.43636085336185049</v>
      </c>
      <c r="AV182" s="21">
        <f>EXP(-LN(2)/25)*AV181+(1-EXP(-LN(2)/25))/(LN(2)/25)*Calculateur!AQ182*Calculateur!AS182*VLOOKUP('Données projet'!$B$10,Paramètres!$A$1:$I$89,3,0)*0.475*44/12</f>
        <v>0.44770931780596779</v>
      </c>
      <c r="AW182" s="21">
        <f>EXP(-LN(2)/2)*AW181+(1-EXP(-LN(2)/2))/(LN(2)/2)*AQ182*AT182*VLOOKUP('Données projet'!$B$10,Paramètres!$A$1:$I$89,3,0)*0.475*44/12</f>
        <v>9.1343226878563674E-22</v>
      </c>
      <c r="AX182" s="21">
        <f t="shared" si="166"/>
        <v>0.88407017116781828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7.9580786405131221E-13</v>
      </c>
      <c r="BE182" s="13">
        <f>BD182*VLOOKUP('Données projet'!$B$11,Paramètres!$A$1:$I$89,3,0)*VLOOKUP('Données projet'!$B$11,Paramètres!$A$1:$I$89,5,0)</f>
        <v>3.8278358260868117E-13</v>
      </c>
      <c r="BF182" s="13">
        <f t="shared" si="167"/>
        <v>4.9186917125089072E-12</v>
      </c>
      <c r="BG182" s="20">
        <f t="shared" si="168"/>
        <v>9.2334028056631319E-12</v>
      </c>
      <c r="BH182" s="59">
        <f t="shared" si="116"/>
        <v>293.33333333334252</v>
      </c>
      <c r="BI182" s="59">
        <f ca="1">AVERAGE(OFFSET($BH$3,0,0,'Données projet'!$E$11+1,1))-AVERAGE(OFFSET($H$3,0,0,'Données projet'!$E$11+1,1))</f>
        <v>327.58421465651799</v>
      </c>
      <c r="BJ182" s="59">
        <f t="shared" si="146"/>
        <v>296.73904998640018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0.35237870499657398</v>
      </c>
      <c r="BQ182" s="21">
        <f>EXP(-LN(2)/25)*BQ181+(1-EXP(-LN(2)/25))/(LN(2)/25)*Calculateur!BL182*Calculateur!BN182*VLOOKUP('Données projet'!$B$11,Paramètres!$A$1:$I$89,3,0)*0.475*44/12</f>
        <v>0.21563299468674008</v>
      </c>
      <c r="BR182" s="21">
        <f>EXP(-LN(2)/2)*BR181+(1-EXP(-LN(2)/2))/(LN(2)/2)*BL182*BO182*VLOOKUP('Données projet'!$B$11,Paramètres!$A$1:$I$89,3,0)*0.475*44/12</f>
        <v>7.8284748913658616E-22</v>
      </c>
      <c r="BS182" s="22">
        <f t="shared" si="169"/>
        <v>0.568011699683314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-5.6843418860808015E-13</v>
      </c>
      <c r="O183" s="13">
        <f>N183*VLOOKUP('Données projet'!$B$9,Paramètres!$A$1:$I$89,3,0)*VLOOKUP('Données projet'!$B$9,Paramètres!$A$1:$I$89,5,0)</f>
        <v>-3.177547114319168E-13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356.67698551373468</v>
      </c>
      <c r="T183" s="59">
        <f t="shared" si="142"/>
        <v>353.21836615408171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0.23420292979715085</v>
      </c>
      <c r="AA183" s="21">
        <f>EXP(-LN(2)/25)*AA182+(1-EXP(-LN(2)/25))/(LN(2)/25)*Calculateur!V183*Calculateur!X183*VLOOKUP('Données projet'!$B$9,Paramètres!$A$1:$I$89,3,0)*0.475*44/12</f>
        <v>0.47145231669587057</v>
      </c>
      <c r="AB183" s="21">
        <f>EXP(-LN(2)/2)*AB182+(1-EXP(-LN(2)/2))/(LN(2)/2)*V183*Y183*VLOOKUP('Données projet'!$B$9,Paramètres!$A$1:$I$89,3,0)*0.475*44/12</f>
        <v>8.6085251135233027E-22</v>
      </c>
      <c r="AC183" s="22">
        <f t="shared" si="163"/>
        <v>0.70565524649302147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285.77483300338548</v>
      </c>
      <c r="AO183" s="59">
        <f t="shared" si="144"/>
        <v>320.55212417690637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0.42780408318126462</v>
      </c>
      <c r="AV183" s="21">
        <f>EXP(-LN(2)/25)*AV182+(1-EXP(-LN(2)/25))/(LN(2)/25)*Calculateur!AQ183*Calculateur!AS183*VLOOKUP('Données projet'!$B$10,Paramètres!$A$1:$I$89,3,0)*0.475*44/12</f>
        <v>0.43546668296655383</v>
      </c>
      <c r="AW183" s="21">
        <f>EXP(-LN(2)/2)*AW182+(1-EXP(-LN(2)/2))/(LN(2)/2)*AQ183*AT183*VLOOKUP('Données projet'!$B$10,Paramètres!$A$1:$I$89,3,0)*0.475*44/12</f>
        <v>6.4589415141293692E-22</v>
      </c>
      <c r="AX183" s="21">
        <f t="shared" si="166"/>
        <v>0.8632707661478185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7.9580786405131221E-13</v>
      </c>
      <c r="BE183" s="13">
        <f>BD183*VLOOKUP('Données projet'!$B$11,Paramètres!$A$1:$I$89,3,0)*VLOOKUP('Données projet'!$B$11,Paramètres!$A$1:$I$89,5,0)</f>
        <v>3.8278358260868117E-13</v>
      </c>
      <c r="BF183" s="13">
        <f t="shared" si="167"/>
        <v>4.9186917125089072E-12</v>
      </c>
      <c r="BG183" s="20">
        <f t="shared" si="168"/>
        <v>9.2334028056631319E-12</v>
      </c>
      <c r="BH183" s="59">
        <f t="shared" si="116"/>
        <v>293.33333333334252</v>
      </c>
      <c r="BI183" s="59">
        <f ca="1">AVERAGE(OFFSET($BH$3,0,0,'Données projet'!$E$11+1,1))-AVERAGE(OFFSET($H$3,0,0,'Données projet'!$E$11+1,1))</f>
        <v>327.58421465651799</v>
      </c>
      <c r="BJ183" s="59">
        <f t="shared" si="146"/>
        <v>296.73904998640018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0.34546877352137867</v>
      </c>
      <c r="BQ183" s="21">
        <f>EXP(-LN(2)/25)*BQ182+(1-EXP(-LN(2)/25))/(LN(2)/25)*Calculateur!BL183*Calculateur!BN183*VLOOKUP('Données projet'!$B$11,Paramètres!$A$1:$I$89,3,0)*0.475*44/12</f>
        <v>0.20973649910738482</v>
      </c>
      <c r="BR183" s="21">
        <f>EXP(-LN(2)/2)*BR182+(1-EXP(-LN(2)/2))/(LN(2)/2)*BL183*BO183*VLOOKUP('Données projet'!$B$11,Paramètres!$A$1:$I$89,3,0)*0.475*44/12</f>
        <v>5.5355676820334216E-22</v>
      </c>
      <c r="BS183" s="22">
        <f t="shared" si="169"/>
        <v>0.55520527262876351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-5.6843418860808015E-13</v>
      </c>
      <c r="O184" s="13">
        <f>N184*VLOOKUP('Données projet'!$B$9,Paramètres!$A$1:$I$89,3,0)*VLOOKUP('Données projet'!$B$9,Paramètres!$A$1:$I$89,5,0)</f>
        <v>-3.177547114319168E-13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356.67698551373468</v>
      </c>
      <c r="T184" s="59">
        <f t="shared" si="142"/>
        <v>353.21836615408171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0.22961035319351067</v>
      </c>
      <c r="AA184" s="21">
        <f>EXP(-LN(2)/25)*AA183+(1-EXP(-LN(2)/25))/(LN(2)/25)*Calculateur!V184*Calculateur!X184*VLOOKUP('Données projet'!$B$9,Paramètres!$A$1:$I$89,3,0)*0.475*44/12</f>
        <v>0.45856042830322219</v>
      </c>
      <c r="AB184" s="21">
        <f>EXP(-LN(2)/2)*AB183+(1-EXP(-LN(2)/2))/(LN(2)/2)*V184*Y184*VLOOKUP('Données projet'!$B$9,Paramètres!$A$1:$I$89,3,0)*0.475*44/12</f>
        <v>6.0871464837870211E-22</v>
      </c>
      <c r="AC184" s="22">
        <f t="shared" si="163"/>
        <v>0.68817078149673283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285.77483300338548</v>
      </c>
      <c r="AO184" s="59">
        <f t="shared" si="144"/>
        <v>320.55212417690637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0.41941510604480559</v>
      </c>
      <c r="AV184" s="21">
        <f>EXP(-LN(2)/25)*AV183+(1-EXP(-LN(2)/25))/(LN(2)/25)*Calculateur!AQ184*Calculateur!AS184*VLOOKUP('Données projet'!$B$10,Paramètres!$A$1:$I$89,3,0)*0.475*44/12</f>
        <v>0.42355882362063585</v>
      </c>
      <c r="AW184" s="21">
        <f>EXP(-LN(2)/2)*AW183+(1-EXP(-LN(2)/2))/(LN(2)/2)*AQ184*AT184*VLOOKUP('Données projet'!$B$10,Paramètres!$A$1:$I$89,3,0)*0.475*44/12</f>
        <v>4.5671613439281837E-22</v>
      </c>
      <c r="AX184" s="21">
        <f t="shared" si="166"/>
        <v>0.84297392966544149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7.9580786405131221E-13</v>
      </c>
      <c r="BE184" s="13">
        <f>BD184*VLOOKUP('Données projet'!$B$11,Paramètres!$A$1:$I$89,3,0)*VLOOKUP('Données projet'!$B$11,Paramètres!$A$1:$I$89,5,0)</f>
        <v>3.8278358260868117E-13</v>
      </c>
      <c r="BF184" s="13">
        <f t="shared" si="167"/>
        <v>4.9186917125089072E-12</v>
      </c>
      <c r="BG184" s="20">
        <f t="shared" si="168"/>
        <v>9.2334028056631319E-12</v>
      </c>
      <c r="BH184" s="59">
        <f t="shared" si="116"/>
        <v>293.33333333334252</v>
      </c>
      <c r="BI184" s="59">
        <f ca="1">AVERAGE(OFFSET($BH$3,0,0,'Données projet'!$E$11+1,1))-AVERAGE(OFFSET($H$3,0,0,'Données projet'!$E$11+1,1))</f>
        <v>327.58421465651799</v>
      </c>
      <c r="BJ184" s="59">
        <f t="shared" si="146"/>
        <v>296.73904998640018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0.3386943415877699</v>
      </c>
      <c r="BQ184" s="21">
        <f>EXP(-LN(2)/25)*BQ183+(1-EXP(-LN(2)/25))/(LN(2)/25)*Calculateur!BL184*Calculateur!BN184*VLOOKUP('Données projet'!$B$11,Paramètres!$A$1:$I$89,3,0)*0.475*44/12</f>
        <v>0.20400124350973026</v>
      </c>
      <c r="BR184" s="21">
        <f>EXP(-LN(2)/2)*BR183+(1-EXP(-LN(2)/2))/(LN(2)/2)*BL184*BO184*VLOOKUP('Données projet'!$B$11,Paramètres!$A$1:$I$89,3,0)*0.475*44/12</f>
        <v>3.9142374456829308E-22</v>
      </c>
      <c r="BS184" s="22">
        <f t="shared" si="169"/>
        <v>0.54269558509750015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-5.6843418860808015E-13</v>
      </c>
      <c r="O185" s="13">
        <f>N185*VLOOKUP('Données projet'!$B$9,Paramètres!$A$1:$I$89,3,0)*VLOOKUP('Données projet'!$B$9,Paramètres!$A$1:$I$89,5,0)</f>
        <v>-3.177547114319168E-13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356.67698551373468</v>
      </c>
      <c r="T185" s="59">
        <f t="shared" si="142"/>
        <v>353.21836615408171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0.22510783421587274</v>
      </c>
      <c r="AA185" s="21">
        <f>EXP(-LN(2)/25)*AA184+(1-EXP(-LN(2)/25))/(LN(2)/25)*Calculateur!V185*Calculateur!X185*VLOOKUP('Données projet'!$B$9,Paramètres!$A$1:$I$89,3,0)*0.475*44/12</f>
        <v>0.44602106927662571</v>
      </c>
      <c r="AB185" s="21">
        <f>EXP(-LN(2)/2)*AB184+(1-EXP(-LN(2)/2))/(LN(2)/2)*V185*Y185*VLOOKUP('Données projet'!$B$9,Paramètres!$A$1:$I$89,3,0)*0.475*44/12</f>
        <v>4.3042625567616513E-22</v>
      </c>
      <c r="AC185" s="22">
        <f t="shared" si="163"/>
        <v>0.67112890349249843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285.77483300338548</v>
      </c>
      <c r="AO185" s="59">
        <f t="shared" si="144"/>
        <v>320.55212417690637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0.41119063163322173</v>
      </c>
      <c r="AV185" s="21">
        <f>EXP(-LN(2)/25)*AV184+(1-EXP(-LN(2)/25))/(LN(2)/25)*Calculateur!AQ185*Calculateur!AS185*VLOOKUP('Données projet'!$B$10,Paramètres!$A$1:$I$89,3,0)*0.475*44/12</f>
        <v>0.41197658531473907</v>
      </c>
      <c r="AW185" s="21">
        <f>EXP(-LN(2)/2)*AW184+(1-EXP(-LN(2)/2))/(LN(2)/2)*AQ185*AT185*VLOOKUP('Données projet'!$B$10,Paramètres!$A$1:$I$89,3,0)*0.475*44/12</f>
        <v>3.2294707570646846E-22</v>
      </c>
      <c r="AX185" s="21">
        <f t="shared" si="166"/>
        <v>0.8231672169479608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7.9580786405131221E-13</v>
      </c>
      <c r="BE185" s="13">
        <f>BD185*VLOOKUP('Données projet'!$B$11,Paramètres!$A$1:$I$89,3,0)*VLOOKUP('Données projet'!$B$11,Paramètres!$A$1:$I$89,5,0)</f>
        <v>3.8278358260868117E-13</v>
      </c>
      <c r="BF185" s="13">
        <f t="shared" si="167"/>
        <v>4.9186917125089072E-12</v>
      </c>
      <c r="BG185" s="20">
        <f t="shared" si="168"/>
        <v>9.2334028056631319E-12</v>
      </c>
      <c r="BH185" s="59">
        <f t="shared" si="116"/>
        <v>293.33333333334252</v>
      </c>
      <c r="BI185" s="59">
        <f ca="1">AVERAGE(OFFSET($BH$3,0,0,'Données projet'!$E$11+1,1))-AVERAGE(OFFSET($H$3,0,0,'Données projet'!$E$11+1,1))</f>
        <v>327.58421465651799</v>
      </c>
      <c r="BJ185" s="59">
        <f t="shared" si="146"/>
        <v>296.73904998640018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0.33205275213238372</v>
      </c>
      <c r="BQ185" s="21">
        <f>EXP(-LN(2)/25)*BQ184+(1-EXP(-LN(2)/25))/(LN(2)/25)*Calculateur!BL185*Calculateur!BN185*VLOOKUP('Données projet'!$B$11,Paramètres!$A$1:$I$89,3,0)*0.475*44/12</f>
        <v>0.19842281877799753</v>
      </c>
      <c r="BR185" s="21">
        <f>EXP(-LN(2)/2)*BR184+(1-EXP(-LN(2)/2))/(LN(2)/2)*BL185*BO185*VLOOKUP('Données projet'!$B$11,Paramètres!$A$1:$I$89,3,0)*0.475*44/12</f>
        <v>2.7677838410167108E-22</v>
      </c>
      <c r="BS185" s="22">
        <f t="shared" si="169"/>
        <v>0.53047557091038122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-5.6843418860808015E-13</v>
      </c>
      <c r="O186" s="13">
        <f>N186*VLOOKUP('Données projet'!$B$9,Paramètres!$A$1:$I$89,3,0)*VLOOKUP('Données projet'!$B$9,Paramètres!$A$1:$I$89,5,0)</f>
        <v>-3.177547114319168E-13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356.67698551373468</v>
      </c>
      <c r="T186" s="59">
        <f t="shared" si="142"/>
        <v>353.21836615408171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0.22069360688912087</v>
      </c>
      <c r="AA186" s="21">
        <f>EXP(-LN(2)/25)*AA185+(1-EXP(-LN(2)/25))/(LN(2)/25)*Calculateur!V186*Calculateur!X186*VLOOKUP('Données projet'!$B$9,Paramètres!$A$1:$I$89,3,0)*0.475*44/12</f>
        <v>0.43382459968202775</v>
      </c>
      <c r="AB186" s="21">
        <f>EXP(-LN(2)/2)*AB185+(1-EXP(-LN(2)/2))/(LN(2)/2)*V186*Y186*VLOOKUP('Données projet'!$B$9,Paramètres!$A$1:$I$89,3,0)*0.475*44/12</f>
        <v>3.0435732418935106E-22</v>
      </c>
      <c r="AC186" s="22">
        <f t="shared" si="163"/>
        <v>0.65451820657114856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285.77483300338548</v>
      </c>
      <c r="AO186" s="59">
        <f t="shared" si="144"/>
        <v>320.55212417690637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0.40312743414841495</v>
      </c>
      <c r="AV186" s="21">
        <f>EXP(-LN(2)/25)*AV185+(1-EXP(-LN(2)/25))/(LN(2)/25)*Calculateur!AQ186*Calculateur!AS186*VLOOKUP('Données projet'!$B$10,Paramètres!$A$1:$I$89,3,0)*0.475*44/12</f>
        <v>0.40071106392440048</v>
      </c>
      <c r="AW186" s="21">
        <f>EXP(-LN(2)/2)*AW185+(1-EXP(-LN(2)/2))/(LN(2)/2)*AQ186*AT186*VLOOKUP('Données projet'!$B$10,Paramètres!$A$1:$I$89,3,0)*0.475*44/12</f>
        <v>2.2835806719640919E-22</v>
      </c>
      <c r="AX186" s="21">
        <f t="shared" si="166"/>
        <v>0.80383849807281549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7.9580786405131221E-13</v>
      </c>
      <c r="BE186" s="13">
        <f>BD186*VLOOKUP('Données projet'!$B$11,Paramètres!$A$1:$I$89,3,0)*VLOOKUP('Données projet'!$B$11,Paramètres!$A$1:$I$89,5,0)</f>
        <v>3.8278358260868117E-13</v>
      </c>
      <c r="BF186" s="13">
        <f t="shared" si="167"/>
        <v>4.9186917125089072E-12</v>
      </c>
      <c r="BG186" s="20">
        <f t="shared" si="168"/>
        <v>9.2334028056631319E-12</v>
      </c>
      <c r="BH186" s="59">
        <f t="shared" si="116"/>
        <v>293.33333333334252</v>
      </c>
      <c r="BI186" s="59">
        <f ca="1">AVERAGE(OFFSET($BH$3,0,0,'Données projet'!$E$11+1,1))-AVERAGE(OFFSET($H$3,0,0,'Données projet'!$E$11+1,1))</f>
        <v>327.58421465651799</v>
      </c>
      <c r="BJ186" s="59">
        <f t="shared" si="146"/>
        <v>296.73904998640018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0.32554140019524808</v>
      </c>
      <c r="BQ186" s="21">
        <f>EXP(-LN(2)/25)*BQ185+(1-EXP(-LN(2)/25))/(LN(2)/25)*Calculateur!BL186*Calculateur!BN186*VLOOKUP('Données projet'!$B$11,Paramètres!$A$1:$I$89,3,0)*0.475*44/12</f>
        <v>0.19299693636391066</v>
      </c>
      <c r="BR186" s="21">
        <f>EXP(-LN(2)/2)*BR185+(1-EXP(-LN(2)/2))/(LN(2)/2)*BL186*BO186*VLOOKUP('Données projet'!$B$11,Paramètres!$A$1:$I$89,3,0)*0.475*44/12</f>
        <v>1.9571187228414654E-22</v>
      </c>
      <c r="BS186" s="22">
        <f t="shared" si="169"/>
        <v>0.51853833655915871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-5.6843418860808015E-13</v>
      </c>
      <c r="O187" s="13">
        <f>N187*VLOOKUP('Données projet'!$B$9,Paramètres!$A$1:$I$89,3,0)*VLOOKUP('Données projet'!$B$9,Paramètres!$A$1:$I$89,5,0)</f>
        <v>-3.177547114319168E-13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356.67698551373468</v>
      </c>
      <c r="T187" s="59">
        <f t="shared" si="142"/>
        <v>353.21836615408171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0.21636593986783381</v>
      </c>
      <c r="AA187" s="21">
        <f>EXP(-LN(2)/25)*AA186+(1-EXP(-LN(2)/25))/(LN(2)/25)*Calculateur!V187*Calculateur!X187*VLOOKUP('Données projet'!$B$9,Paramètres!$A$1:$I$89,3,0)*0.475*44/12</f>
        <v>0.4219616431898785</v>
      </c>
      <c r="AB187" s="21">
        <f>EXP(-LN(2)/2)*AB186+(1-EXP(-LN(2)/2))/(LN(2)/2)*V187*Y187*VLOOKUP('Données projet'!$B$9,Paramètres!$A$1:$I$89,3,0)*0.475*44/12</f>
        <v>2.1521312783808257E-22</v>
      </c>
      <c r="AC187" s="22">
        <f t="shared" si="163"/>
        <v>0.63832758305771231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285.77483300338548</v>
      </c>
      <c r="AO187" s="59">
        <f t="shared" si="144"/>
        <v>320.55212417690637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0.3952223510482204</v>
      </c>
      <c r="AV187" s="21">
        <f>EXP(-LN(2)/25)*AV186+(1-EXP(-LN(2)/25))/(LN(2)/25)*Calculateur!AQ187*Calculateur!AS187*VLOOKUP('Données projet'!$B$10,Paramètres!$A$1:$I$89,3,0)*0.475*44/12</f>
        <v>0.38975359880890875</v>
      </c>
      <c r="AW187" s="21">
        <f>EXP(-LN(2)/2)*AW186+(1-EXP(-LN(2)/2))/(LN(2)/2)*AQ187*AT187*VLOOKUP('Données projet'!$B$10,Paramètres!$A$1:$I$89,3,0)*0.475*44/12</f>
        <v>1.6147353785323423E-22</v>
      </c>
      <c r="AX187" s="21">
        <f t="shared" si="166"/>
        <v>0.78497594985712915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7.9580786405131221E-13</v>
      </c>
      <c r="BE187" s="13">
        <f>BD187*VLOOKUP('Données projet'!$B$11,Paramètres!$A$1:$I$89,3,0)*VLOOKUP('Données projet'!$B$11,Paramètres!$A$1:$I$89,5,0)</f>
        <v>3.8278358260868117E-13</v>
      </c>
      <c r="BF187" s="13">
        <f t="shared" si="167"/>
        <v>4.9186917125089072E-12</v>
      </c>
      <c r="BG187" s="20">
        <f t="shared" si="168"/>
        <v>9.2334028056631319E-12</v>
      </c>
      <c r="BH187" s="59">
        <f t="shared" si="116"/>
        <v>293.33333333334252</v>
      </c>
      <c r="BI187" s="59">
        <f ca="1">AVERAGE(OFFSET($BH$3,0,0,'Données projet'!$E$11+1,1))-AVERAGE(OFFSET($H$3,0,0,'Données projet'!$E$11+1,1))</f>
        <v>327.58421465651799</v>
      </c>
      <c r="BJ187" s="59">
        <f t="shared" si="146"/>
        <v>296.73904998640018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0.31915773189806712</v>
      </c>
      <c r="BQ187" s="21">
        <f>EXP(-LN(2)/25)*BQ186+(1-EXP(-LN(2)/25))/(LN(2)/25)*Calculateur!BL187*Calculateur!BN187*VLOOKUP('Données projet'!$B$11,Paramètres!$A$1:$I$89,3,0)*0.475*44/12</f>
        <v>0.18771942498977173</v>
      </c>
      <c r="BR187" s="21">
        <f>EXP(-LN(2)/2)*BR186+(1-EXP(-LN(2)/2))/(LN(2)/2)*BL187*BO187*VLOOKUP('Données projet'!$B$11,Paramètres!$A$1:$I$89,3,0)*0.475*44/12</f>
        <v>1.3838919205083554E-22</v>
      </c>
      <c r="BS187" s="22">
        <f t="shared" si="169"/>
        <v>0.50687715688783885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-5.6843418860808015E-13</v>
      </c>
      <c r="O188" s="13">
        <f>N188*VLOOKUP('Données projet'!$B$9,Paramètres!$A$1:$I$89,3,0)*VLOOKUP('Données projet'!$B$9,Paramètres!$A$1:$I$89,5,0)</f>
        <v>-3.177547114319168E-13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356.67698551373468</v>
      </c>
      <c r="T188" s="59">
        <f t="shared" si="142"/>
        <v>353.21836615408171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0.21212313575721795</v>
      </c>
      <c r="AA188" s="21">
        <f>EXP(-LN(2)/25)*AA187+(1-EXP(-LN(2)/25))/(LN(2)/25)*Calculateur!V188*Calculateur!X188*VLOOKUP('Données projet'!$B$9,Paramètres!$A$1:$I$89,3,0)*0.475*44/12</f>
        <v>0.41042307986685284</v>
      </c>
      <c r="AB188" s="21">
        <f>EXP(-LN(2)/2)*AB187+(1-EXP(-LN(2)/2))/(LN(2)/2)*V188*Y188*VLOOKUP('Données projet'!$B$9,Paramètres!$A$1:$I$89,3,0)*0.475*44/12</f>
        <v>1.5217866209467553E-22</v>
      </c>
      <c r="AC188" s="22">
        <f t="shared" si="163"/>
        <v>0.62254621562407075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285.77483300338548</v>
      </c>
      <c r="AO188" s="59">
        <f t="shared" si="144"/>
        <v>320.55212417690637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0.38747228180599608</v>
      </c>
      <c r="AV188" s="21">
        <f>EXP(-LN(2)/25)*AV187+(1-EXP(-LN(2)/25))/(LN(2)/25)*Calculateur!AQ188*Calculateur!AS188*VLOOKUP('Données projet'!$B$10,Paramètres!$A$1:$I$89,3,0)*0.475*44/12</f>
        <v>0.37909576615322815</v>
      </c>
      <c r="AW188" s="21">
        <f>EXP(-LN(2)/2)*AW187+(1-EXP(-LN(2)/2))/(LN(2)/2)*AQ188*AT188*VLOOKUP('Données projet'!$B$10,Paramètres!$A$1:$I$89,3,0)*0.475*44/12</f>
        <v>1.1417903359820459E-22</v>
      </c>
      <c r="AX188" s="21">
        <f t="shared" si="166"/>
        <v>0.76656804795922429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7.9580786405131221E-13</v>
      </c>
      <c r="BE188" s="13">
        <f>BD188*VLOOKUP('Données projet'!$B$11,Paramètres!$A$1:$I$89,3,0)*VLOOKUP('Données projet'!$B$11,Paramètres!$A$1:$I$89,5,0)</f>
        <v>3.8278358260868117E-13</v>
      </c>
      <c r="BF188" s="13">
        <f t="shared" si="167"/>
        <v>4.9186917125089072E-12</v>
      </c>
      <c r="BG188" s="20">
        <f t="shared" si="168"/>
        <v>9.2334028056631319E-12</v>
      </c>
      <c r="BH188" s="59">
        <f t="shared" si="116"/>
        <v>293.33333333334252</v>
      </c>
      <c r="BI188" s="59">
        <f ca="1">AVERAGE(OFFSET($BH$3,0,0,'Données projet'!$E$11+1,1))-AVERAGE(OFFSET($H$3,0,0,'Données projet'!$E$11+1,1))</f>
        <v>327.58421465651799</v>
      </c>
      <c r="BJ188" s="59">
        <f t="shared" si="146"/>
        <v>296.73904998640018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0.31289924344254072</v>
      </c>
      <c r="BQ188" s="21">
        <f>EXP(-LN(2)/25)*BQ187+(1-EXP(-LN(2)/25))/(LN(2)/25)*Calculateur!BL188*Calculateur!BN188*VLOOKUP('Données projet'!$B$11,Paramètres!$A$1:$I$89,3,0)*0.475*44/12</f>
        <v>0.1825862274416909</v>
      </c>
      <c r="BR188" s="21">
        <f>EXP(-LN(2)/2)*BR187+(1-EXP(-LN(2)/2))/(LN(2)/2)*BL188*BO188*VLOOKUP('Données projet'!$B$11,Paramètres!$A$1:$I$89,3,0)*0.475*44/12</f>
        <v>9.785593614207327E-23</v>
      </c>
      <c r="BS188" s="22">
        <f t="shared" si="169"/>
        <v>0.49548547088423162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-5.6843418860808015E-13</v>
      </c>
      <c r="O189" s="13">
        <f>N189*VLOOKUP('Données projet'!$B$9,Paramètres!$A$1:$I$89,3,0)*VLOOKUP('Données projet'!$B$9,Paramètres!$A$1:$I$89,5,0)</f>
        <v>-3.177547114319168E-13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356.67698551373468</v>
      </c>
      <c r="T189" s="59">
        <f t="shared" si="142"/>
        <v>353.21836615408171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0.20796353044735627</v>
      </c>
      <c r="AA189" s="21">
        <f>EXP(-LN(2)/25)*AA188+(1-EXP(-LN(2)/25))/(LN(2)/25)*Calculateur!V189*Calculateur!X189*VLOOKUP('Données projet'!$B$9,Paramètres!$A$1:$I$89,3,0)*0.475*44/12</f>
        <v>0.399200039164682</v>
      </c>
      <c r="AB189" s="21">
        <f>EXP(-LN(2)/2)*AB188+(1-EXP(-LN(2)/2))/(LN(2)/2)*V189*Y189*VLOOKUP('Données projet'!$B$9,Paramètres!$A$1:$I$89,3,0)*0.475*44/12</f>
        <v>1.0760656391904128E-22</v>
      </c>
      <c r="AC189" s="22">
        <f t="shared" si="163"/>
        <v>0.60716356961203832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285.77483300338548</v>
      </c>
      <c r="AO189" s="59">
        <f t="shared" si="144"/>
        <v>320.55212417690637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0.37987418669453626</v>
      </c>
      <c r="AV189" s="21">
        <f>EXP(-LN(2)/25)*AV188+(1-EXP(-LN(2)/25))/(LN(2)/25)*Calculateur!AQ189*Calculateur!AS189*VLOOKUP('Données projet'!$B$10,Paramètres!$A$1:$I$89,3,0)*0.475*44/12</f>
        <v>0.36872937249198823</v>
      </c>
      <c r="AW189" s="21">
        <f>EXP(-LN(2)/2)*AW188+(1-EXP(-LN(2)/2))/(LN(2)/2)*AQ189*AT189*VLOOKUP('Données projet'!$B$10,Paramètres!$A$1:$I$89,3,0)*0.475*44/12</f>
        <v>8.0736768926617114E-23</v>
      </c>
      <c r="AX189" s="21">
        <f t="shared" si="166"/>
        <v>0.74860355918652455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7.9580786405131221E-13</v>
      </c>
      <c r="BE189" s="13">
        <f>BD189*VLOOKUP('Données projet'!$B$11,Paramètres!$A$1:$I$89,3,0)*VLOOKUP('Données projet'!$B$11,Paramètres!$A$1:$I$89,5,0)</f>
        <v>3.8278358260868117E-13</v>
      </c>
      <c r="BF189" s="13">
        <f t="shared" si="167"/>
        <v>4.9186917125089072E-12</v>
      </c>
      <c r="BG189" s="20">
        <f t="shared" si="168"/>
        <v>9.2334028056631319E-12</v>
      </c>
      <c r="BH189" s="59">
        <f t="shared" si="116"/>
        <v>293.33333333334252</v>
      </c>
      <c r="BI189" s="59">
        <f ca="1">AVERAGE(OFFSET($BH$3,0,0,'Données projet'!$E$11+1,1))-AVERAGE(OFFSET($H$3,0,0,'Données projet'!$E$11+1,1))</f>
        <v>327.58421465651799</v>
      </c>
      <c r="BJ189" s="59">
        <f t="shared" si="146"/>
        <v>296.73904998640018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0.30676348012832616</v>
      </c>
      <c r="BQ189" s="21">
        <f>EXP(-LN(2)/25)*BQ188+(1-EXP(-LN(2)/25))/(LN(2)/25)*Calculateur!BL189*Calculateur!BN189*VLOOKUP('Données projet'!$B$11,Paramètres!$A$1:$I$89,3,0)*0.475*44/12</f>
        <v>0.17759339745050545</v>
      </c>
      <c r="BR189" s="21">
        <f>EXP(-LN(2)/2)*BR188+(1-EXP(-LN(2)/2))/(LN(2)/2)*BL189*BO189*VLOOKUP('Données projet'!$B$11,Paramètres!$A$1:$I$89,3,0)*0.475*44/12</f>
        <v>6.919459602541777E-23</v>
      </c>
      <c r="BS189" s="22">
        <f t="shared" si="169"/>
        <v>0.48435687757883161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-5.6843418860808015E-13</v>
      </c>
      <c r="O190" s="13">
        <f>N190*VLOOKUP('Données projet'!$B$9,Paramètres!$A$1:$I$89,3,0)*VLOOKUP('Données projet'!$B$9,Paramètres!$A$1:$I$89,5,0)</f>
        <v>-3.177547114319168E-13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356.67698551373468</v>
      </c>
      <c r="T190" s="59">
        <f t="shared" si="142"/>
        <v>353.21836615408171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0.20388549246051227</v>
      </c>
      <c r="AA190" s="21">
        <f>EXP(-LN(2)/25)*AA189+(1-EXP(-LN(2)/25))/(LN(2)/25)*Calculateur!V190*Calculateur!X190*VLOOKUP('Données projet'!$B$9,Paramètres!$A$1:$I$89,3,0)*0.475*44/12</f>
        <v>0.3882838931007061</v>
      </c>
      <c r="AB190" s="21">
        <f>EXP(-LN(2)/2)*AB189+(1-EXP(-LN(2)/2))/(LN(2)/2)*V190*Y190*VLOOKUP('Données projet'!$B$9,Paramètres!$A$1:$I$89,3,0)*0.475*44/12</f>
        <v>7.6089331047337764E-23</v>
      </c>
      <c r="AC190" s="22">
        <f t="shared" si="163"/>
        <v>0.59216938556121834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285.77483300338548</v>
      </c>
      <c r="AO190" s="59">
        <f t="shared" si="144"/>
        <v>320.55212417690637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0.37242508559383181</v>
      </c>
      <c r="AV190" s="21">
        <f>EXP(-LN(2)/25)*AV189+(1-EXP(-LN(2)/25))/(LN(2)/25)*Calculateur!AQ190*Calculateur!AS190*VLOOKUP('Données projet'!$B$10,Paramètres!$A$1:$I$89,3,0)*0.475*44/12</f>
        <v>0.35864644841055987</v>
      </c>
      <c r="AW190" s="21">
        <f>EXP(-LN(2)/2)*AW189+(1-EXP(-LN(2)/2))/(LN(2)/2)*AQ190*AT190*VLOOKUP('Données projet'!$B$10,Paramètres!$A$1:$I$89,3,0)*0.475*44/12</f>
        <v>5.7089516799102296E-23</v>
      </c>
      <c r="AX190" s="21">
        <f t="shared" si="166"/>
        <v>0.73107153400439162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7.9580786405131221E-13</v>
      </c>
      <c r="BE190" s="13">
        <f>BD190*VLOOKUP('Données projet'!$B$11,Paramètres!$A$1:$I$89,3,0)*VLOOKUP('Données projet'!$B$11,Paramètres!$A$1:$I$89,5,0)</f>
        <v>3.8278358260868117E-13</v>
      </c>
      <c r="BF190" s="13">
        <f t="shared" si="167"/>
        <v>4.9186917125089072E-12</v>
      </c>
      <c r="BG190" s="20">
        <f t="shared" si="168"/>
        <v>9.2334028056631319E-12</v>
      </c>
      <c r="BH190" s="59">
        <f t="shared" si="116"/>
        <v>293.33333333334252</v>
      </c>
      <c r="BI190" s="59">
        <f ca="1">AVERAGE(OFFSET($BH$3,0,0,'Données projet'!$E$11+1,1))-AVERAGE(OFFSET($H$3,0,0,'Données projet'!$E$11+1,1))</f>
        <v>327.58421465651799</v>
      </c>
      <c r="BJ190" s="59">
        <f t="shared" si="146"/>
        <v>296.73904998640018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0.30074803539025724</v>
      </c>
      <c r="BQ190" s="21">
        <f>EXP(-LN(2)/25)*BQ189+(1-EXP(-LN(2)/25))/(LN(2)/25)*Calculateur!BL190*Calculateur!BN190*VLOOKUP('Données projet'!$B$11,Paramètres!$A$1:$I$89,3,0)*0.475*44/12</f>
        <v>0.1727370966579905</v>
      </c>
      <c r="BR190" s="21">
        <f>EXP(-LN(2)/2)*BR189+(1-EXP(-LN(2)/2))/(LN(2)/2)*BL190*BO190*VLOOKUP('Données projet'!$B$11,Paramètres!$A$1:$I$89,3,0)*0.475*44/12</f>
        <v>4.8927968071036635E-23</v>
      </c>
      <c r="BS190" s="22">
        <f t="shared" si="169"/>
        <v>0.47348513204824771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-5.6843418860808015E-13</v>
      </c>
      <c r="O191" s="13">
        <f>N191*VLOOKUP('Données projet'!$B$9,Paramètres!$A$1:$I$89,3,0)*VLOOKUP('Données projet'!$B$9,Paramètres!$A$1:$I$89,5,0)</f>
        <v>-3.177547114319168E-13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356.67698551373468</v>
      </c>
      <c r="T191" s="59">
        <f t="shared" si="142"/>
        <v>353.21836615408171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0.19988742231123272</v>
      </c>
      <c r="AA191" s="21">
        <f>EXP(-LN(2)/25)*AA190+(1-EXP(-LN(2)/25))/(LN(2)/25)*Calculateur!V191*Calculateur!X191*VLOOKUP('Données projet'!$B$9,Paramètres!$A$1:$I$89,3,0)*0.475*44/12</f>
        <v>0.3776662496249048</v>
      </c>
      <c r="AB191" s="21">
        <f>EXP(-LN(2)/2)*AB190+(1-EXP(-LN(2)/2))/(LN(2)/2)*V191*Y191*VLOOKUP('Données projet'!$B$9,Paramètres!$A$1:$I$89,3,0)*0.475*44/12</f>
        <v>5.3803281959520642E-23</v>
      </c>
      <c r="AC191" s="22">
        <f t="shared" si="163"/>
        <v>0.57755367193613749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285.77483300338548</v>
      </c>
      <c r="AO191" s="59">
        <f t="shared" si="144"/>
        <v>320.55212417690637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0.36512205682220911</v>
      </c>
      <c r="AV191" s="21">
        <f>EXP(-LN(2)/25)*AV190+(1-EXP(-LN(2)/25))/(LN(2)/25)*Calculateur!AQ191*Calculateur!AS191*VLOOKUP('Données projet'!$B$10,Paramètres!$A$1:$I$89,3,0)*0.475*44/12</f>
        <v>0.34883924241837611</v>
      </c>
      <c r="AW191" s="21">
        <f>EXP(-LN(2)/2)*AW190+(1-EXP(-LN(2)/2))/(LN(2)/2)*AQ191*AT191*VLOOKUP('Données projet'!$B$10,Paramètres!$A$1:$I$89,3,0)*0.475*44/12</f>
        <v>4.0368384463308557E-23</v>
      </c>
      <c r="AX191" s="21">
        <f t="shared" si="166"/>
        <v>0.71396129924058527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7.9580786405131221E-13</v>
      </c>
      <c r="BE191" s="13">
        <f>BD191*VLOOKUP('Données projet'!$B$11,Paramètres!$A$1:$I$89,3,0)*VLOOKUP('Données projet'!$B$11,Paramètres!$A$1:$I$89,5,0)</f>
        <v>3.8278358260868117E-13</v>
      </c>
      <c r="BF191" s="13">
        <f t="shared" si="167"/>
        <v>4.9186917125089072E-12</v>
      </c>
      <c r="BG191" s="20">
        <f t="shared" si="168"/>
        <v>9.2334028056631319E-12</v>
      </c>
      <c r="BH191" s="59">
        <f t="shared" si="116"/>
        <v>293.33333333334252</v>
      </c>
      <c r="BI191" s="59">
        <f ca="1">AVERAGE(OFFSET($BH$3,0,0,'Données projet'!$E$11+1,1))-AVERAGE(OFFSET($H$3,0,0,'Données projet'!$E$11+1,1))</f>
        <v>327.58421465651799</v>
      </c>
      <c r="BJ191" s="59">
        <f t="shared" si="146"/>
        <v>296.73904998640018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0.29485054985444287</v>
      </c>
      <c r="BQ191" s="21">
        <f>EXP(-LN(2)/25)*BQ190+(1-EXP(-LN(2)/25))/(LN(2)/25)*Calculateur!BL191*Calculateur!BN191*VLOOKUP('Données projet'!$B$11,Paramètres!$A$1:$I$89,3,0)*0.475*44/12</f>
        <v>0.16801359166602864</v>
      </c>
      <c r="BR191" s="21">
        <f>EXP(-LN(2)/2)*BR190+(1-EXP(-LN(2)/2))/(LN(2)/2)*BL191*BO191*VLOOKUP('Données projet'!$B$11,Paramètres!$A$1:$I$89,3,0)*0.475*44/12</f>
        <v>3.4597298012708885E-23</v>
      </c>
      <c r="BS191" s="22">
        <f t="shared" si="169"/>
        <v>0.46286414152047151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-5.6843418860808015E-13</v>
      </c>
      <c r="O192" s="13">
        <f>N192*VLOOKUP('Données projet'!$B$9,Paramètres!$A$1:$I$89,3,0)*VLOOKUP('Données projet'!$B$9,Paramètres!$A$1:$I$89,5,0)</f>
        <v>-3.177547114319168E-13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356.67698551373468</v>
      </c>
      <c r="T192" s="59">
        <f t="shared" si="142"/>
        <v>353.21836615408171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0.19596775187899851</v>
      </c>
      <c r="AA192" s="21">
        <f>EXP(-LN(2)/25)*AA191+(1-EXP(-LN(2)/25))/(LN(2)/25)*Calculateur!V192*Calculateur!X192*VLOOKUP('Données projet'!$B$9,Paramètres!$A$1:$I$89,3,0)*0.475*44/12</f>
        <v>0.36733894616830687</v>
      </c>
      <c r="AB192" s="21">
        <f>EXP(-LN(2)/2)*AB191+(1-EXP(-LN(2)/2))/(LN(2)/2)*V192*Y192*VLOOKUP('Données projet'!$B$9,Paramètres!$A$1:$I$89,3,0)*0.475*44/12</f>
        <v>3.8044665523668882E-23</v>
      </c>
      <c r="AC192" s="22">
        <f t="shared" si="163"/>
        <v>0.56330669804730538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285.77483300338548</v>
      </c>
      <c r="AO192" s="59">
        <f t="shared" si="144"/>
        <v>320.55212417690637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0.35796223599039023</v>
      </c>
      <c r="AV192" s="21">
        <f>EXP(-LN(2)/25)*AV191+(1-EXP(-LN(2)/25))/(LN(2)/25)*Calculateur!AQ192*Calculateur!AS192*VLOOKUP('Données projet'!$B$10,Paramètres!$A$1:$I$89,3,0)*0.475*44/12</f>
        <v>0.33930021498978713</v>
      </c>
      <c r="AW192" s="21">
        <f>EXP(-LN(2)/2)*AW191+(1-EXP(-LN(2)/2))/(LN(2)/2)*AQ192*AT192*VLOOKUP('Données projet'!$B$10,Paramètres!$A$1:$I$89,3,0)*0.475*44/12</f>
        <v>2.8544758399551148E-23</v>
      </c>
      <c r="AX192" s="21">
        <f t="shared" si="166"/>
        <v>0.69726245098017736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7.9580786405131221E-13</v>
      </c>
      <c r="BE192" s="13">
        <f>BD192*VLOOKUP('Données projet'!$B$11,Paramètres!$A$1:$I$89,3,0)*VLOOKUP('Données projet'!$B$11,Paramètres!$A$1:$I$89,5,0)</f>
        <v>3.8278358260868117E-13</v>
      </c>
      <c r="BF192" s="13">
        <f t="shared" si="167"/>
        <v>4.9186917125089072E-12</v>
      </c>
      <c r="BG192" s="20">
        <f t="shared" si="168"/>
        <v>9.2334028056631319E-12</v>
      </c>
      <c r="BH192" s="59">
        <f t="shared" si="116"/>
        <v>293.33333333334252</v>
      </c>
      <c r="BI192" s="59">
        <f ca="1">AVERAGE(OFFSET($BH$3,0,0,'Données projet'!$E$11+1,1))-AVERAGE(OFFSET($H$3,0,0,'Données projet'!$E$11+1,1))</f>
        <v>327.58421465651799</v>
      </c>
      <c r="BJ192" s="59">
        <f t="shared" si="146"/>
        <v>296.73904998640018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0.2890687104128748</v>
      </c>
      <c r="BQ192" s="21">
        <f>EXP(-LN(2)/25)*BQ191+(1-EXP(-LN(2)/25))/(LN(2)/25)*Calculateur!BL192*Calculateur!BN192*VLOOKUP('Données projet'!$B$11,Paramètres!$A$1:$I$89,3,0)*0.475*44/12</f>
        <v>0.1634192511664703</v>
      </c>
      <c r="BR192" s="21">
        <f>EXP(-LN(2)/2)*BR191+(1-EXP(-LN(2)/2))/(LN(2)/2)*BL192*BO192*VLOOKUP('Données projet'!$B$11,Paramètres!$A$1:$I$89,3,0)*0.475*44/12</f>
        <v>2.4463984035518318E-23</v>
      </c>
      <c r="BS192" s="22">
        <f t="shared" si="169"/>
        <v>0.45248796157934512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-5.6843418860808015E-13</v>
      </c>
      <c r="O193" s="13">
        <f>N193*VLOOKUP('Données projet'!$B$9,Paramètres!$A$1:$I$89,3,0)*VLOOKUP('Données projet'!$B$9,Paramètres!$A$1:$I$89,5,0)</f>
        <v>-3.177547114319168E-13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356.67698551373468</v>
      </c>
      <c r="T193" s="59">
        <f t="shared" si="142"/>
        <v>353.21836615408171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0.19212494379317754</v>
      </c>
      <c r="AA193" s="21">
        <f>EXP(-LN(2)/25)*AA192+(1-EXP(-LN(2)/25))/(LN(2)/25)*Calculateur!V193*Calculateur!X193*VLOOKUP('Données projet'!$B$9,Paramètres!$A$1:$I$89,3,0)*0.475*44/12</f>
        <v>0.35729404336781889</v>
      </c>
      <c r="AB193" s="21">
        <f>EXP(-LN(2)/2)*AB192+(1-EXP(-LN(2)/2))/(LN(2)/2)*V193*Y193*VLOOKUP('Données projet'!$B$9,Paramètres!$A$1:$I$89,3,0)*0.475*44/12</f>
        <v>2.6901640979760321E-23</v>
      </c>
      <c r="AC193" s="22">
        <f t="shared" si="163"/>
        <v>0.54941898716099646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285.77483300338548</v>
      </c>
      <c r="AO193" s="59">
        <f t="shared" si="144"/>
        <v>320.55212417690637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0.35094281487802381</v>
      </c>
      <c r="AV193" s="21">
        <f>EXP(-LN(2)/25)*AV192+(1-EXP(-LN(2)/25))/(LN(2)/25)*Calculateur!AQ193*Calculateur!AS193*VLOOKUP('Données projet'!$B$10,Paramètres!$A$1:$I$89,3,0)*0.475*44/12</f>
        <v>0.33002203276786857</v>
      </c>
      <c r="AW193" s="21">
        <f>EXP(-LN(2)/2)*AW192+(1-EXP(-LN(2)/2))/(LN(2)/2)*AQ193*AT193*VLOOKUP('Données projet'!$B$10,Paramètres!$A$1:$I$89,3,0)*0.475*44/12</f>
        <v>2.0184192231654279E-23</v>
      </c>
      <c r="AX193" s="21">
        <f t="shared" si="166"/>
        <v>0.68096484764589238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7.9580786405131221E-13</v>
      </c>
      <c r="BE193" s="13">
        <f>BD193*VLOOKUP('Données projet'!$B$11,Paramètres!$A$1:$I$89,3,0)*VLOOKUP('Données projet'!$B$11,Paramètres!$A$1:$I$89,5,0)</f>
        <v>3.8278358260868117E-13</v>
      </c>
      <c r="BF193" s="13">
        <f t="shared" si="167"/>
        <v>4.9186917125089072E-12</v>
      </c>
      <c r="BG193" s="20">
        <f t="shared" si="168"/>
        <v>9.2334028056631319E-12</v>
      </c>
      <c r="BH193" s="59">
        <f t="shared" si="116"/>
        <v>293.33333333334252</v>
      </c>
      <c r="BI193" s="59">
        <f ca="1">AVERAGE(OFFSET($BH$3,0,0,'Données projet'!$E$11+1,1))-AVERAGE(OFFSET($H$3,0,0,'Données projet'!$E$11+1,1))</f>
        <v>327.58421465651799</v>
      </c>
      <c r="BJ193" s="59">
        <f t="shared" si="146"/>
        <v>296.73904998640018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0.28340024931618207</v>
      </c>
      <c r="BQ193" s="21">
        <f>EXP(-LN(2)/25)*BQ192+(1-EXP(-LN(2)/25))/(LN(2)/25)*Calculateur!BL193*Calculateur!BN193*VLOOKUP('Données projet'!$B$11,Paramètres!$A$1:$I$89,3,0)*0.475*44/12</f>
        <v>0.15895054314947824</v>
      </c>
      <c r="BR193" s="21">
        <f>EXP(-LN(2)/2)*BR192+(1-EXP(-LN(2)/2))/(LN(2)/2)*BL193*BO193*VLOOKUP('Données projet'!$B$11,Paramètres!$A$1:$I$89,3,0)*0.475*44/12</f>
        <v>1.7298649006354443E-23</v>
      </c>
      <c r="BS193" s="22">
        <f t="shared" si="169"/>
        <v>0.44235079246566034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-5.6843418860808015E-13</v>
      </c>
      <c r="O194" s="13">
        <f>N194*VLOOKUP('Données projet'!$B$9,Paramètres!$A$1:$I$89,3,0)*VLOOKUP('Données projet'!$B$9,Paramètres!$A$1:$I$89,5,0)</f>
        <v>-3.177547114319168E-13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356.67698551373468</v>
      </c>
      <c r="T194" s="59">
        <f t="shared" si="142"/>
        <v>353.21836615408171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0.18835749083003803</v>
      </c>
      <c r="AA194" s="21">
        <f>EXP(-LN(2)/25)*AA193+(1-EXP(-LN(2)/25))/(LN(2)/25)*Calculateur!V194*Calculateur!X194*VLOOKUP('Données projet'!$B$9,Paramètres!$A$1:$I$89,3,0)*0.475*44/12</f>
        <v>0.34752381896264872</v>
      </c>
      <c r="AB194" s="21">
        <f>EXP(-LN(2)/2)*AB193+(1-EXP(-LN(2)/2))/(LN(2)/2)*V194*Y194*VLOOKUP('Données projet'!$B$9,Paramètres!$A$1:$I$89,3,0)*0.475*44/12</f>
        <v>1.9022332761834441E-23</v>
      </c>
      <c r="AC194" s="22">
        <f t="shared" si="163"/>
        <v>0.53588130979268678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285.77483300338548</v>
      </c>
      <c r="AO194" s="59">
        <f t="shared" si="144"/>
        <v>320.55212417690637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0.34406104033224677</v>
      </c>
      <c r="AV194" s="21">
        <f>EXP(-LN(2)/25)*AV193+(1-EXP(-LN(2)/25))/(LN(2)/25)*Calculateur!AQ194*Calculateur!AS194*VLOOKUP('Données projet'!$B$10,Paramètres!$A$1:$I$89,3,0)*0.475*44/12</f>
        <v>0.32099756292672676</v>
      </c>
      <c r="AW194" s="21">
        <f>EXP(-LN(2)/2)*AW193+(1-EXP(-LN(2)/2))/(LN(2)/2)*AQ194*AT194*VLOOKUP('Données projet'!$B$10,Paramètres!$A$1:$I$89,3,0)*0.475*44/12</f>
        <v>1.4272379199775574E-23</v>
      </c>
      <c r="AX194" s="21">
        <f t="shared" si="166"/>
        <v>0.66505860325897359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7.9580786405131221E-13</v>
      </c>
      <c r="BE194" s="13">
        <f>BD194*VLOOKUP('Données projet'!$B$11,Paramètres!$A$1:$I$89,3,0)*VLOOKUP('Données projet'!$B$11,Paramètres!$A$1:$I$89,5,0)</f>
        <v>3.8278358260868117E-13</v>
      </c>
      <c r="BF194" s="13">
        <f t="shared" si="167"/>
        <v>4.9186917125089072E-12</v>
      </c>
      <c r="BG194" s="20">
        <f t="shared" si="168"/>
        <v>9.2334028056631319E-12</v>
      </c>
      <c r="BH194" s="59">
        <f t="shared" si="116"/>
        <v>293.33333333334252</v>
      </c>
      <c r="BI194" s="59">
        <f ca="1">AVERAGE(OFFSET($BH$3,0,0,'Données projet'!$E$11+1,1))-AVERAGE(OFFSET($H$3,0,0,'Données projet'!$E$11+1,1))</f>
        <v>327.58421465651799</v>
      </c>
      <c r="BJ194" s="59">
        <f t="shared" si="146"/>
        <v>296.73904998640018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0.27784294328417558</v>
      </c>
      <c r="BQ194" s="21">
        <f>EXP(-LN(2)/25)*BQ193+(1-EXP(-LN(2)/25))/(LN(2)/25)*Calculateur!BL194*Calculateur!BN194*VLOOKUP('Données projet'!$B$11,Paramètres!$A$1:$I$89,3,0)*0.475*44/12</f>
        <v>0.15460403218820998</v>
      </c>
      <c r="BR194" s="21">
        <f>EXP(-LN(2)/2)*BR193+(1-EXP(-LN(2)/2))/(LN(2)/2)*BL194*BO194*VLOOKUP('Données projet'!$B$11,Paramètres!$A$1:$I$89,3,0)*0.475*44/12</f>
        <v>1.2231992017759159E-23</v>
      </c>
      <c r="BS194" s="22">
        <f t="shared" si="169"/>
        <v>0.43244697547238553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-5.6843418860808015E-13</v>
      </c>
      <c r="O195" s="13">
        <f>N195*VLOOKUP('Données projet'!$B$9,Paramètres!$A$1:$I$89,3,0)*VLOOKUP('Données projet'!$B$9,Paramètres!$A$1:$I$89,5,0)</f>
        <v>-3.177547114319168E-13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356.67698551373468</v>
      </c>
      <c r="T195" s="59">
        <f t="shared" si="142"/>
        <v>353.21836615408171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0.18466391532158627</v>
      </c>
      <c r="AA195" s="21">
        <f>EXP(-LN(2)/25)*AA194+(1-EXP(-LN(2)/25))/(LN(2)/25)*Calculateur!V195*Calculateur!X195*VLOOKUP('Données projet'!$B$9,Paramètres!$A$1:$I$89,3,0)*0.475*44/12</f>
        <v>0.33802076185763175</v>
      </c>
      <c r="AB195" s="21">
        <f>EXP(-LN(2)/2)*AB194+(1-EXP(-LN(2)/2))/(LN(2)/2)*V195*Y195*VLOOKUP('Données projet'!$B$9,Paramètres!$A$1:$I$89,3,0)*0.475*44/12</f>
        <v>1.345082048988016E-23</v>
      </c>
      <c r="AC195" s="22">
        <f t="shared" si="163"/>
        <v>0.52268467717921796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285.77483300338548</v>
      </c>
      <c r="AO195" s="59">
        <f t="shared" si="144"/>
        <v>320.55212417690637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0.33731421318784438</v>
      </c>
      <c r="AV195" s="21">
        <f>EXP(-LN(2)/25)*AV194+(1-EXP(-LN(2)/25))/(LN(2)/25)*Calculateur!AQ195*Calculateur!AS195*VLOOKUP('Données projet'!$B$10,Paramètres!$A$1:$I$89,3,0)*0.475*44/12</f>
        <v>0.31221986768796722</v>
      </c>
      <c r="AW195" s="21">
        <f>EXP(-LN(2)/2)*AW194+(1-EXP(-LN(2)/2))/(LN(2)/2)*AQ195*AT195*VLOOKUP('Données projet'!$B$10,Paramètres!$A$1:$I$89,3,0)*0.475*44/12</f>
        <v>1.0092096115827139E-23</v>
      </c>
      <c r="AX195" s="21">
        <f t="shared" si="166"/>
        <v>0.64953408087581166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7.9580786405131221E-13</v>
      </c>
      <c r="BE195" s="13">
        <f>BD195*VLOOKUP('Données projet'!$B$11,Paramètres!$A$1:$I$89,3,0)*VLOOKUP('Données projet'!$B$11,Paramètres!$A$1:$I$89,5,0)</f>
        <v>3.8278358260868117E-13</v>
      </c>
      <c r="BF195" s="13">
        <f t="shared" si="167"/>
        <v>4.9186917125089072E-12</v>
      </c>
      <c r="BG195" s="20">
        <f t="shared" si="168"/>
        <v>9.2334028056631319E-12</v>
      </c>
      <c r="BH195" s="59">
        <f t="shared" si="116"/>
        <v>293.33333333334252</v>
      </c>
      <c r="BI195" s="59">
        <f ca="1">AVERAGE(OFFSET($BH$3,0,0,'Données projet'!$E$11+1,1))-AVERAGE(OFFSET($H$3,0,0,'Données projet'!$E$11+1,1))</f>
        <v>327.58421465651799</v>
      </c>
      <c r="BJ195" s="59">
        <f t="shared" si="146"/>
        <v>296.73904998640018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0.2723946126338348</v>
      </c>
      <c r="BQ195" s="21">
        <f>EXP(-LN(2)/25)*BQ194+(1-EXP(-LN(2)/25))/(LN(2)/25)*Calculateur!BL195*Calculateur!BN195*VLOOKUP('Données projet'!$B$11,Paramètres!$A$1:$I$89,3,0)*0.475*44/12</f>
        <v>0.15037637679775068</v>
      </c>
      <c r="BR195" s="21">
        <f>EXP(-LN(2)/2)*BR194+(1-EXP(-LN(2)/2))/(LN(2)/2)*BL195*BO195*VLOOKUP('Données projet'!$B$11,Paramètres!$A$1:$I$89,3,0)*0.475*44/12</f>
        <v>8.6493245031772213E-24</v>
      </c>
      <c r="BS195" s="22">
        <f t="shared" si="169"/>
        <v>0.42277098943158548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-5.6843418860808015E-13</v>
      </c>
      <c r="O196" s="13">
        <f>N196*VLOOKUP('Données projet'!$B$9,Paramètres!$A$1:$I$89,3,0)*VLOOKUP('Données projet'!$B$9,Paramètres!$A$1:$I$89,5,0)</f>
        <v>-3.177547114319168E-13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356.67698551373468</v>
      </c>
      <c r="T196" s="59">
        <f t="shared" si="142"/>
        <v>353.21836615408171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0.18104276857599663</v>
      </c>
      <c r="AA196" s="21">
        <f>EXP(-LN(2)/25)*AA195+(1-EXP(-LN(2)/25))/(LN(2)/25)*Calculateur!V196*Calculateur!X196*VLOOKUP('Données projet'!$B$9,Paramètres!$A$1:$I$89,3,0)*0.475*44/12</f>
        <v>0.32877756634889549</v>
      </c>
      <c r="AB196" s="21">
        <f>EXP(-LN(2)/2)*AB195+(1-EXP(-LN(2)/2))/(LN(2)/2)*V196*Y196*VLOOKUP('Données projet'!$B$9,Paramètres!$A$1:$I$89,3,0)*0.475*44/12</f>
        <v>9.5111663809172205E-24</v>
      </c>
      <c r="AC196" s="22">
        <f t="shared" si="163"/>
        <v>0.50982033492489209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285.77483300338548</v>
      </c>
      <c r="AO196" s="59">
        <f t="shared" si="144"/>
        <v>320.55212417690637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0.3306996872085855</v>
      </c>
      <c r="AV196" s="21">
        <f>EXP(-LN(2)/25)*AV195+(1-EXP(-LN(2)/25))/(LN(2)/25)*Calculateur!AQ196*Calculateur!AS196*VLOOKUP('Données projet'!$B$10,Paramètres!$A$1:$I$89,3,0)*0.475*44/12</f>
        <v>0.30368219898711052</v>
      </c>
      <c r="AW196" s="21">
        <f>EXP(-LN(2)/2)*AW195+(1-EXP(-LN(2)/2))/(LN(2)/2)*AQ196*AT196*VLOOKUP('Données projet'!$B$10,Paramètres!$A$1:$I$89,3,0)*0.475*44/12</f>
        <v>7.1361895998877871E-24</v>
      </c>
      <c r="AX196" s="21">
        <f t="shared" si="166"/>
        <v>0.63438188619569602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7.9580786405131221E-13</v>
      </c>
      <c r="BE196" s="13">
        <f>BD196*VLOOKUP('Données projet'!$B$11,Paramètres!$A$1:$I$89,3,0)*VLOOKUP('Données projet'!$B$11,Paramètres!$A$1:$I$89,5,0)</f>
        <v>3.8278358260868117E-13</v>
      </c>
      <c r="BF196" s="13">
        <f t="shared" si="167"/>
        <v>4.9186917125089072E-12</v>
      </c>
      <c r="BG196" s="20">
        <f t="shared" si="168"/>
        <v>9.2334028056631319E-12</v>
      </c>
      <c r="BH196" s="59">
        <f t="shared" ref="BH196:BH203" si="194">BG196+(AY196+AZ196)*44/12</f>
        <v>293.33333333334252</v>
      </c>
      <c r="BI196" s="59">
        <f ca="1">AVERAGE(OFFSET($BH$3,0,0,'Données projet'!$E$11+1,1))-AVERAGE(OFFSET($H$3,0,0,'Données projet'!$E$11+1,1))</f>
        <v>327.58421465651799</v>
      </c>
      <c r="BJ196" s="59">
        <f t="shared" si="146"/>
        <v>296.73904998640018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0.26705312042439361</v>
      </c>
      <c r="BQ196" s="21">
        <f>EXP(-LN(2)/25)*BQ195+(1-EXP(-LN(2)/25))/(LN(2)/25)*Calculateur!BL196*Calculateur!BN196*VLOOKUP('Données projet'!$B$11,Paramètres!$A$1:$I$89,3,0)*0.475*44/12</f>
        <v>0.14626432686626623</v>
      </c>
      <c r="BR196" s="21">
        <f>EXP(-LN(2)/2)*BR195+(1-EXP(-LN(2)/2))/(LN(2)/2)*BL196*BO196*VLOOKUP('Données projet'!$B$11,Paramètres!$A$1:$I$89,3,0)*0.475*44/12</f>
        <v>6.1159960088795794E-24</v>
      </c>
      <c r="BS196" s="22">
        <f t="shared" si="169"/>
        <v>0.41331744729065983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-5.6843418860808015E-13</v>
      </c>
      <c r="O197" s="13">
        <f>N197*VLOOKUP('Données projet'!$B$9,Paramètres!$A$1:$I$89,3,0)*VLOOKUP('Données projet'!$B$9,Paramètres!$A$1:$I$89,5,0)</f>
        <v>-3.177547114319168E-13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356.67698551373468</v>
      </c>
      <c r="T197" s="59">
        <f t="shared" ref="T197:T203" si="204">$T$3</f>
        <v>353.21836615408171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0.1774926303094066</v>
      </c>
      <c r="AA197" s="21">
        <f>EXP(-LN(2)/25)*AA196+(1-EXP(-LN(2)/25))/(LN(2)/25)*Calculateur!V197*Calculateur!X197*VLOOKUP('Données projet'!$B$9,Paramètres!$A$1:$I$89,3,0)*0.475*44/12</f>
        <v>0.31978712650742414</v>
      </c>
      <c r="AB197" s="21">
        <f>EXP(-LN(2)/2)*AB196+(1-EXP(-LN(2)/2))/(LN(2)/2)*V197*Y197*VLOOKUP('Données projet'!$B$9,Paramètres!$A$1:$I$89,3,0)*0.475*44/12</f>
        <v>6.7254102449400802E-24</v>
      </c>
      <c r="AC197" s="22">
        <f t="shared" si="163"/>
        <v>0.49727975681683073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285.77483300338548</v>
      </c>
      <c r="AO197" s="59">
        <f t="shared" ref="AO197:AO203" si="205">$AO$3</f>
        <v>320.55212417690637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0.32421486804931743</v>
      </c>
      <c r="AV197" s="21">
        <f>EXP(-LN(2)/25)*AV196+(1-EXP(-LN(2)/25))/(LN(2)/25)*Calculateur!AQ197*Calculateur!AS197*VLOOKUP('Données projet'!$B$10,Paramètres!$A$1:$I$89,3,0)*0.475*44/12</f>
        <v>0.29537799328585523</v>
      </c>
      <c r="AW197" s="21">
        <f>EXP(-LN(2)/2)*AW196+(1-EXP(-LN(2)/2))/(LN(2)/2)*AQ197*AT197*VLOOKUP('Données projet'!$B$10,Paramètres!$A$1:$I$89,3,0)*0.475*44/12</f>
        <v>5.0460480579135697E-24</v>
      </c>
      <c r="AX197" s="21">
        <f t="shared" si="166"/>
        <v>0.61959286133517266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7.9580786405131221E-13</v>
      </c>
      <c r="BE197" s="13">
        <f>BD197*VLOOKUP('Données projet'!$B$11,Paramètres!$A$1:$I$89,3,0)*VLOOKUP('Données projet'!$B$11,Paramètres!$A$1:$I$89,5,0)</f>
        <v>3.8278358260868117E-13</v>
      </c>
      <c r="BF197" s="13">
        <f t="shared" si="167"/>
        <v>4.9186917125089072E-12</v>
      </c>
      <c r="BG197" s="20">
        <f t="shared" si="168"/>
        <v>9.2334028056631319E-12</v>
      </c>
      <c r="BH197" s="59">
        <f t="shared" si="194"/>
        <v>293.33333333334252</v>
      </c>
      <c r="BI197" s="59">
        <f ca="1">AVERAGE(OFFSET($BH$3,0,0,'Données projet'!$E$11+1,1))-AVERAGE(OFFSET($H$3,0,0,'Données projet'!$E$11+1,1))</f>
        <v>327.58421465651799</v>
      </c>
      <c r="BJ197" s="59">
        <f t="shared" ref="BJ197:BJ203" si="206">$BJ$3</f>
        <v>296.73904998640018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0.26181637161919102</v>
      </c>
      <c r="BQ197" s="21">
        <f>EXP(-LN(2)/25)*BQ196+(1-EXP(-LN(2)/25))/(LN(2)/25)*Calculateur!BL197*Calculateur!BN197*VLOOKUP('Données projet'!$B$11,Paramètres!$A$1:$I$89,3,0)*0.475*44/12</f>
        <v>0.14226472115640151</v>
      </c>
      <c r="BR197" s="21">
        <f>EXP(-LN(2)/2)*BR196+(1-EXP(-LN(2)/2))/(LN(2)/2)*BL197*BO197*VLOOKUP('Données projet'!$B$11,Paramètres!$A$1:$I$89,3,0)*0.475*44/12</f>
        <v>4.3246622515886107E-24</v>
      </c>
      <c r="BS197" s="22">
        <f t="shared" si="169"/>
        <v>0.40408109277559257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-5.6843418860808015E-13</v>
      </c>
      <c r="O198" s="13">
        <f>N198*VLOOKUP('Données projet'!$B$9,Paramètres!$A$1:$I$89,3,0)*VLOOKUP('Données projet'!$B$9,Paramètres!$A$1:$I$89,5,0)</f>
        <v>-3.177547114319168E-13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356.67698551373468</v>
      </c>
      <c r="T198" s="59">
        <f t="shared" si="204"/>
        <v>353.21836615408171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0.17401210808885384</v>
      </c>
      <c r="AA198" s="21">
        <f>EXP(-LN(2)/25)*AA197+(1-EXP(-LN(2)/25))/(LN(2)/25)*Calculateur!V198*Calculateur!X198*VLOOKUP('Données projet'!$B$9,Paramètres!$A$1:$I$89,3,0)*0.475*44/12</f>
        <v>0.31104253071620452</v>
      </c>
      <c r="AB198" s="21">
        <f>EXP(-LN(2)/2)*AB197+(1-EXP(-LN(2)/2))/(LN(2)/2)*V198*Y198*VLOOKUP('Données projet'!$B$9,Paramètres!$A$1:$I$89,3,0)*0.475*44/12</f>
        <v>4.7555831904586103E-24</v>
      </c>
      <c r="AC198" s="22">
        <f t="shared" si="163"/>
        <v>0.48505463880505839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285.77483300338548</v>
      </c>
      <c r="AO198" s="59">
        <f t="shared" si="205"/>
        <v>320.55212417690637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0.31785721223841346</v>
      </c>
      <c r="AV198" s="21">
        <f>EXP(-LN(2)/25)*AV197+(1-EXP(-LN(2)/25))/(LN(2)/25)*Calculateur!AQ198*Calculateur!AS198*VLOOKUP('Données projet'!$B$10,Paramètres!$A$1:$I$89,3,0)*0.475*44/12</f>
        <v>0.28730086652619996</v>
      </c>
      <c r="AW198" s="21">
        <f>EXP(-LN(2)/2)*AW197+(1-EXP(-LN(2)/2))/(LN(2)/2)*AQ198*AT198*VLOOKUP('Données projet'!$B$10,Paramètres!$A$1:$I$89,3,0)*0.475*44/12</f>
        <v>3.5680947999438935E-24</v>
      </c>
      <c r="AX198" s="21">
        <f t="shared" si="166"/>
        <v>0.60515807876461336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7.9580786405131221E-13</v>
      </c>
      <c r="BE198" s="13">
        <f>BD198*VLOOKUP('Données projet'!$B$11,Paramètres!$A$1:$I$89,3,0)*VLOOKUP('Données projet'!$B$11,Paramètres!$A$1:$I$89,5,0)</f>
        <v>3.8278358260868117E-13</v>
      </c>
      <c r="BF198" s="13">
        <f t="shared" si="167"/>
        <v>4.9186917125089072E-12</v>
      </c>
      <c r="BG198" s="20">
        <f t="shared" si="168"/>
        <v>9.2334028056631319E-12</v>
      </c>
      <c r="BH198" s="59">
        <f t="shared" si="194"/>
        <v>293.33333333334252</v>
      </c>
      <c r="BI198" s="59">
        <f ca="1">AVERAGE(OFFSET($BH$3,0,0,'Données projet'!$E$11+1,1))-AVERAGE(OFFSET($H$3,0,0,'Données projet'!$E$11+1,1))</f>
        <v>327.58421465651799</v>
      </c>
      <c r="BJ198" s="59">
        <f t="shared" si="206"/>
        <v>296.73904998640018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0.2566823122639571</v>
      </c>
      <c r="BQ198" s="21">
        <f>EXP(-LN(2)/25)*BQ197+(1-EXP(-LN(2)/25))/(LN(2)/25)*Calculateur!BL198*Calculateur!BN198*VLOOKUP('Données projet'!$B$11,Paramètres!$A$1:$I$89,3,0)*0.475*44/12</f>
        <v>0.13837448487500317</v>
      </c>
      <c r="BR198" s="21">
        <f>EXP(-LN(2)/2)*BR197+(1-EXP(-LN(2)/2))/(LN(2)/2)*BL198*BO198*VLOOKUP('Données projet'!$B$11,Paramètres!$A$1:$I$89,3,0)*0.475*44/12</f>
        <v>3.0579980044397897E-24</v>
      </c>
      <c r="BS198" s="22">
        <f t="shared" si="169"/>
        <v>0.39505679713896025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-5.6843418860808015E-13</v>
      </c>
      <c r="O199" s="13">
        <f>N199*VLOOKUP('Données projet'!$B$9,Paramètres!$A$1:$I$89,3,0)*VLOOKUP('Données projet'!$B$9,Paramètres!$A$1:$I$89,5,0)</f>
        <v>-3.177547114319168E-13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356.67698551373468</v>
      </c>
      <c r="T199" s="59">
        <f t="shared" si="204"/>
        <v>353.21836615408171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0.17059983678613719</v>
      </c>
      <c r="AA199" s="21">
        <f>EXP(-LN(2)/25)*AA198+(1-EXP(-LN(2)/25))/(LN(2)/25)*Calculateur!V199*Calculateur!X199*VLOOKUP('Données projet'!$B$9,Paramètres!$A$1:$I$89,3,0)*0.475*44/12</f>
        <v>0.3025370563567541</v>
      </c>
      <c r="AB199" s="21">
        <f>EXP(-LN(2)/2)*AB198+(1-EXP(-LN(2)/2))/(LN(2)/2)*V199*Y199*VLOOKUP('Données projet'!$B$9,Paramètres!$A$1:$I$89,3,0)*0.475*44/12</f>
        <v>3.3627051224700401E-24</v>
      </c>
      <c r="AC199" s="22">
        <f t="shared" si="163"/>
        <v>0.47313689314289131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285.77483300338548</v>
      </c>
      <c r="AO199" s="59">
        <f t="shared" si="205"/>
        <v>320.55212417690637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0.31162422618017421</v>
      </c>
      <c r="AV199" s="21">
        <f>EXP(-LN(2)/25)*AV198+(1-EXP(-LN(2)/25))/(LN(2)/25)*Calculateur!AQ199*Calculateur!AS199*VLOOKUP('Données projet'!$B$10,Paramètres!$A$1:$I$89,3,0)*0.475*44/12</f>
        <v>0.2794446092225451</v>
      </c>
      <c r="AW199" s="21">
        <f>EXP(-LN(2)/2)*AW198+(1-EXP(-LN(2)/2))/(LN(2)/2)*AQ199*AT199*VLOOKUP('Données projet'!$B$10,Paramètres!$A$1:$I$89,3,0)*0.475*44/12</f>
        <v>2.5230240289567848E-24</v>
      </c>
      <c r="AX199" s="21">
        <f t="shared" si="166"/>
        <v>0.59106883540271937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7.9580786405131221E-13</v>
      </c>
      <c r="BE199" s="13">
        <f>BD199*VLOOKUP('Données projet'!$B$11,Paramètres!$A$1:$I$89,3,0)*VLOOKUP('Données projet'!$B$11,Paramètres!$A$1:$I$89,5,0)</f>
        <v>3.8278358260868117E-13</v>
      </c>
      <c r="BF199" s="13">
        <f t="shared" si="167"/>
        <v>4.9186917125089072E-12</v>
      </c>
      <c r="BG199" s="20">
        <f t="shared" si="168"/>
        <v>9.2334028056631319E-12</v>
      </c>
      <c r="BH199" s="59">
        <f t="shared" si="194"/>
        <v>293.33333333334252</v>
      </c>
      <c r="BI199" s="59">
        <f ca="1">AVERAGE(OFFSET($BH$3,0,0,'Données projet'!$E$11+1,1))-AVERAGE(OFFSET($H$3,0,0,'Données projet'!$E$11+1,1))</f>
        <v>327.58421465651799</v>
      </c>
      <c r="BJ199" s="59">
        <f t="shared" si="206"/>
        <v>296.73904998640018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0.2516489286812123</v>
      </c>
      <c r="BQ199" s="21">
        <f>EXP(-LN(2)/25)*BQ198+(1-EXP(-LN(2)/25))/(LN(2)/25)*Calculateur!BL199*Calculateur!BN199*VLOOKUP('Données projet'!$B$11,Paramètres!$A$1:$I$89,3,0)*0.475*44/12</f>
        <v>0.1345906273092983</v>
      </c>
      <c r="BR199" s="21">
        <f>EXP(-LN(2)/2)*BR198+(1-EXP(-LN(2)/2))/(LN(2)/2)*BL199*BO199*VLOOKUP('Données projet'!$B$11,Paramètres!$A$1:$I$89,3,0)*0.475*44/12</f>
        <v>2.1623311257943053E-24</v>
      </c>
      <c r="BS199" s="22">
        <f t="shared" si="169"/>
        <v>0.38623955599051063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-5.6843418860808015E-13</v>
      </c>
      <c r="O200" s="13">
        <f>N200*VLOOKUP('Données projet'!$B$9,Paramètres!$A$1:$I$89,3,0)*VLOOKUP('Données projet'!$B$9,Paramètres!$A$1:$I$89,5,0)</f>
        <v>-3.177547114319168E-13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356.67698551373468</v>
      </c>
      <c r="T200" s="59">
        <f t="shared" si="204"/>
        <v>353.21836615408171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0.16725447804238683</v>
      </c>
      <c r="AA200" s="21">
        <f>EXP(-LN(2)/25)*AA199+(1-EXP(-LN(2)/25))/(LN(2)/25)*Calculateur!V200*Calculateur!X200*VLOOKUP('Données projet'!$B$9,Paramètres!$A$1:$I$89,3,0)*0.475*44/12</f>
        <v>0.29426416464094635</v>
      </c>
      <c r="AB200" s="21">
        <f>EXP(-LN(2)/2)*AB199+(1-EXP(-LN(2)/2))/(LN(2)/2)*V200*Y200*VLOOKUP('Données projet'!$B$9,Paramètres!$A$1:$I$89,3,0)*0.475*44/12</f>
        <v>2.3777915952293051E-24</v>
      </c>
      <c r="AC200" s="22">
        <f t="shared" si="163"/>
        <v>0.4615186426833332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285.77483300338548</v>
      </c>
      <c r="AO200" s="59">
        <f t="shared" si="205"/>
        <v>320.55212417690637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0.3055134651767909</v>
      </c>
      <c r="AV200" s="21">
        <f>EXP(-LN(2)/25)*AV199+(1-EXP(-LN(2)/25))/(LN(2)/25)*Calculateur!AQ200*Calculateur!AS200*VLOOKUP('Données projet'!$B$10,Paramètres!$A$1:$I$89,3,0)*0.475*44/12</f>
        <v>0.27180318168800127</v>
      </c>
      <c r="AW200" s="21">
        <f>EXP(-LN(2)/2)*AW199+(1-EXP(-LN(2)/2))/(LN(2)/2)*AQ200*AT200*VLOOKUP('Données projet'!$B$10,Paramètres!$A$1:$I$89,3,0)*0.475*44/12</f>
        <v>1.7840473999719468E-24</v>
      </c>
      <c r="AX200" s="21">
        <f t="shared" si="166"/>
        <v>0.57731664686479212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7.9580786405131221E-13</v>
      </c>
      <c r="BE200" s="13">
        <f>BD200*VLOOKUP('Données projet'!$B$11,Paramètres!$A$1:$I$89,3,0)*VLOOKUP('Données projet'!$B$11,Paramètres!$A$1:$I$89,5,0)</f>
        <v>3.8278358260868117E-13</v>
      </c>
      <c r="BF200" s="13">
        <f t="shared" si="167"/>
        <v>4.9186917125089072E-12</v>
      </c>
      <c r="BG200" s="20">
        <f t="shared" si="168"/>
        <v>9.2334028056631319E-12</v>
      </c>
      <c r="BH200" s="59">
        <f t="shared" si="194"/>
        <v>293.33333333334252</v>
      </c>
      <c r="BI200" s="59">
        <f ca="1">AVERAGE(OFFSET($BH$3,0,0,'Données projet'!$E$11+1,1))-AVERAGE(OFFSET($H$3,0,0,'Données projet'!$E$11+1,1))</f>
        <v>327.58421465651799</v>
      </c>
      <c r="BJ200" s="59">
        <f t="shared" si="206"/>
        <v>296.73904998640018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0.24671424668046427</v>
      </c>
      <c r="BQ200" s="21">
        <f>EXP(-LN(2)/25)*BQ199+(1-EXP(-LN(2)/25))/(LN(2)/25)*Calculateur!BL200*Calculateur!BN200*VLOOKUP('Données projet'!$B$11,Paramètres!$A$1:$I$89,3,0)*0.475*44/12</f>
        <v>0.13091023952771205</v>
      </c>
      <c r="BR200" s="21">
        <f>EXP(-LN(2)/2)*BR199+(1-EXP(-LN(2)/2))/(LN(2)/2)*BL200*BO200*VLOOKUP('Données projet'!$B$11,Paramètres!$A$1:$I$89,3,0)*0.475*44/12</f>
        <v>1.5289990022198948E-24</v>
      </c>
      <c r="BS200" s="22">
        <f t="shared" si="169"/>
        <v>0.37762448620817635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-5.6843418860808015E-13</v>
      </c>
      <c r="O201" s="13">
        <f>N201*VLOOKUP('Données projet'!$B$9,Paramètres!$A$1:$I$89,3,0)*VLOOKUP('Données projet'!$B$9,Paramètres!$A$1:$I$89,5,0)</f>
        <v>-3.177547114319168E-13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356.67698551373468</v>
      </c>
      <c r="T201" s="59">
        <f t="shared" si="204"/>
        <v>353.21836615408171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0.16397471974313407</v>
      </c>
      <c r="AA201" s="21">
        <f>EXP(-LN(2)/25)*AA200+(1-EXP(-LN(2)/25))/(LN(2)/25)*Calculateur!V201*Calculateur!X201*VLOOKUP('Données projet'!$B$9,Paramètres!$A$1:$I$89,3,0)*0.475*44/12</f>
        <v>0.28621749558415982</v>
      </c>
      <c r="AB201" s="21">
        <f>EXP(-LN(2)/2)*AB200+(1-EXP(-LN(2)/2))/(LN(2)/2)*V201*Y201*VLOOKUP('Données projet'!$B$9,Paramètres!$A$1:$I$89,3,0)*0.475*44/12</f>
        <v>1.6813525612350201E-24</v>
      </c>
      <c r="AC201" s="22">
        <f t="shared" si="163"/>
        <v>0.45019221532729392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285.77483300338548</v>
      </c>
      <c r="AO201" s="59">
        <f t="shared" si="205"/>
        <v>320.55212417690637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0.29952253246948779</v>
      </c>
      <c r="AV201" s="21">
        <f>EXP(-LN(2)/25)*AV200+(1-EXP(-LN(2)/25))/(LN(2)/25)*Calculateur!AQ201*Calculateur!AS201*VLOOKUP('Données projet'!$B$10,Paramètres!$A$1:$I$89,3,0)*0.475*44/12</f>
        <v>0.26437070939123475</v>
      </c>
      <c r="AW201" s="21">
        <f>EXP(-LN(2)/2)*AW200+(1-EXP(-LN(2)/2))/(LN(2)/2)*AQ201*AT201*VLOOKUP('Données projet'!$B$10,Paramètres!$A$1:$I$89,3,0)*0.475*44/12</f>
        <v>1.2615120144783924E-24</v>
      </c>
      <c r="AX201" s="21">
        <f t="shared" si="166"/>
        <v>0.56389324186072254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7.9580786405131221E-13</v>
      </c>
      <c r="BE201" s="13">
        <f>BD201*VLOOKUP('Données projet'!$B$11,Paramètres!$A$1:$I$89,3,0)*VLOOKUP('Données projet'!$B$11,Paramètres!$A$1:$I$89,5,0)</f>
        <v>3.8278358260868117E-13</v>
      </c>
      <c r="BF201" s="13">
        <f t="shared" si="167"/>
        <v>4.9186917125089072E-12</v>
      </c>
      <c r="BG201" s="20">
        <f t="shared" si="168"/>
        <v>9.2334028056631319E-12</v>
      </c>
      <c r="BH201" s="59">
        <f t="shared" si="194"/>
        <v>293.33333333334252</v>
      </c>
      <c r="BI201" s="59">
        <f ca="1">AVERAGE(OFFSET($BH$3,0,0,'Données projet'!$E$11+1,1))-AVERAGE(OFFSET($H$3,0,0,'Données projet'!$E$11+1,1))</f>
        <v>327.58421465651799</v>
      </c>
      <c r="BJ201" s="59">
        <f t="shared" si="206"/>
        <v>296.73904998640018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0.24187633078389209</v>
      </c>
      <c r="BQ201" s="21">
        <f>EXP(-LN(2)/25)*BQ200+(1-EXP(-LN(2)/25))/(LN(2)/25)*Calculateur!BL201*Calculateur!BN201*VLOOKUP('Données projet'!$B$11,Paramètres!$A$1:$I$89,3,0)*0.475*44/12</f>
        <v>0.12733049214355646</v>
      </c>
      <c r="BR201" s="21">
        <f>EXP(-LN(2)/2)*BR200+(1-EXP(-LN(2)/2))/(LN(2)/2)*BL201*BO201*VLOOKUP('Données projet'!$B$11,Paramètres!$A$1:$I$89,3,0)*0.475*44/12</f>
        <v>1.0811655628971527E-24</v>
      </c>
      <c r="BS201" s="22">
        <f t="shared" si="169"/>
        <v>0.36920682292744855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-5.6843418860808015E-13</v>
      </c>
      <c r="O202" s="13">
        <f>N202*VLOOKUP('Données projet'!$B$9,Paramètres!$A$1:$I$89,3,0)*VLOOKUP('Données projet'!$B$9,Paramètres!$A$1:$I$89,5,0)</f>
        <v>-3.177547114319168E-13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356.67698551373468</v>
      </c>
      <c r="T202" s="59">
        <f t="shared" si="204"/>
        <v>353.21836615408171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0.16075927550367464</v>
      </c>
      <c r="AA202" s="21">
        <f>EXP(-LN(2)/25)*AA201+(1-EXP(-LN(2)/25))/(LN(2)/25)*Calculateur!V202*Calculateur!X202*VLOOKUP('Données projet'!$B$9,Paramètres!$A$1:$I$89,3,0)*0.475*44/12</f>
        <v>0.27839086311588701</v>
      </c>
      <c r="AB202" s="21">
        <f>EXP(-LN(2)/2)*AB201+(1-EXP(-LN(2)/2))/(LN(2)/2)*V202*Y202*VLOOKUP('Données projet'!$B$9,Paramètres!$A$1:$I$89,3,0)*0.475*44/12</f>
        <v>1.1888957976146526E-24</v>
      </c>
      <c r="AC202" s="22">
        <f t="shared" si="163"/>
        <v>0.43915013861956165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285.77483300338548</v>
      </c>
      <c r="AO202" s="59">
        <f t="shared" si="205"/>
        <v>320.55212417690637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0.29364907829846676</v>
      </c>
      <c r="AV202" s="21">
        <f>EXP(-LN(2)/25)*AV201+(1-EXP(-LN(2)/25))/(LN(2)/25)*Calculateur!AQ202*Calculateur!AS202*VLOOKUP('Données projet'!$B$10,Paramètres!$A$1:$I$89,3,0)*0.475*44/12</f>
        <v>0.25714147844028007</v>
      </c>
      <c r="AW202" s="21">
        <f>EXP(-LN(2)/2)*AW201+(1-EXP(-LN(2)/2))/(LN(2)/2)*AQ202*AT202*VLOOKUP('Données projet'!$B$10,Paramètres!$A$1:$I$89,3,0)*0.475*44/12</f>
        <v>8.9202369998597338E-25</v>
      </c>
      <c r="AX202" s="21">
        <f t="shared" si="166"/>
        <v>0.55079055673874677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7.9580786405131221E-13</v>
      </c>
      <c r="BE202" s="13">
        <f>BD202*VLOOKUP('Données projet'!$B$11,Paramètres!$A$1:$I$89,3,0)*VLOOKUP('Données projet'!$B$11,Paramètres!$A$1:$I$89,5,0)</f>
        <v>3.8278358260868117E-13</v>
      </c>
      <c r="BF202" s="13">
        <f t="shared" si="167"/>
        <v>4.9186917125089072E-12</v>
      </c>
      <c r="BG202" s="20">
        <f t="shared" si="168"/>
        <v>9.2334028056631319E-12</v>
      </c>
      <c r="BH202" s="59">
        <f t="shared" si="194"/>
        <v>293.33333333334252</v>
      </c>
      <c r="BI202" s="59">
        <f ca="1">AVERAGE(OFFSET($BH$3,0,0,'Données projet'!$E$11+1,1))-AVERAGE(OFFSET($H$3,0,0,'Données projet'!$E$11+1,1))</f>
        <v>327.58421465651799</v>
      </c>
      <c r="BJ202" s="59">
        <f t="shared" si="206"/>
        <v>296.73904998640018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0.23713328346721438</v>
      </c>
      <c r="BQ202" s="21">
        <f>EXP(-LN(2)/25)*BQ201+(1-EXP(-LN(2)/25))/(LN(2)/25)*Calculateur!BL202*Calculateur!BN202*VLOOKUP('Données projet'!$B$11,Paramètres!$A$1:$I$89,3,0)*0.475*44/12</f>
        <v>0.12384863313987135</v>
      </c>
      <c r="BR202" s="21">
        <f>EXP(-LN(2)/2)*BR201+(1-EXP(-LN(2)/2))/(LN(2)/2)*BL202*BO202*VLOOKUP('Données projet'!$B$11,Paramètres!$A$1:$I$89,3,0)*0.475*44/12</f>
        <v>7.6449950110994742E-25</v>
      </c>
      <c r="BS202" s="22">
        <f t="shared" si="169"/>
        <v>0.36098191660708573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-5.6843418860808015E-13</v>
      </c>
      <c r="O203" s="13">
        <f>N203*VLOOKUP('Données projet'!$B$9,Paramètres!$A$1:$I$89,3,0)*VLOOKUP('Données projet'!$B$9,Paramètres!$A$1:$I$89,5,0)</f>
        <v>-3.177547114319168E-13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356.67698551373468</v>
      </c>
      <c r="T203" s="59">
        <f t="shared" si="204"/>
        <v>353.21836615408171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0.15760688416452365</v>
      </c>
      <c r="AA203" s="21">
        <f>EXP(-LN(2)/25)*AA202+(1-EXP(-LN(2)/25))/(LN(2)/25)*Calculateur!V203*Calculateur!X203*VLOOKUP('Données projet'!$B$9,Paramètres!$A$1:$I$89,3,0)*0.475*44/12</f>
        <v>0.27077825032404385</v>
      </c>
      <c r="AB203" s="21">
        <f>EXP(-LN(2)/2)*AB202+(1-EXP(-LN(2)/2))/(LN(2)/2)*V203*Y203*VLOOKUP('Données projet'!$B$9,Paramètres!$A$1:$I$89,3,0)*0.475*44/12</f>
        <v>8.4067628061751003E-25</v>
      </c>
      <c r="AC203" s="22">
        <f t="shared" si="163"/>
        <v>0.42838513448856752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285.77483300338548</v>
      </c>
      <c r="AO203" s="59">
        <f t="shared" si="205"/>
        <v>320.55212417690637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0.28789079898128611</v>
      </c>
      <c r="AV203" s="21">
        <f>EXP(-LN(2)/25)*AV202+(1-EXP(-LN(2)/25))/(LN(2)/25)*Calculateur!AQ203*Calculateur!AS203*VLOOKUP('Données projet'!$B$10,Paramètres!$A$1:$I$89,3,0)*0.475*44/12</f>
        <v>0.25010993118984798</v>
      </c>
      <c r="AW203" s="21">
        <f>EXP(-LN(2)/2)*AW202+(1-EXP(-LN(2)/2))/(LN(2)/2)*AQ203*AT203*VLOOKUP('Données projet'!$B$10,Paramètres!$A$1:$I$89,3,0)*0.475*44/12</f>
        <v>6.3075600723919621E-25</v>
      </c>
      <c r="AX203" s="21">
        <f t="shared" si="166"/>
        <v>0.53800073017113403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7.9580786405131221E-13</v>
      </c>
      <c r="BE203" s="13">
        <f>BD203*VLOOKUP('Données projet'!$B$11,Paramètres!$A$1:$I$89,3,0)*VLOOKUP('Données projet'!$B$11,Paramètres!$A$1:$I$89,5,0)</f>
        <v>3.8278358260868117E-13</v>
      </c>
      <c r="BF203" s="13">
        <f t="shared" si="167"/>
        <v>4.9186917125089072E-12</v>
      </c>
      <c r="BG203" s="20">
        <f t="shared" si="168"/>
        <v>9.2334028056631319E-12</v>
      </c>
      <c r="BH203" s="59">
        <f t="shared" si="194"/>
        <v>293.33333333334252</v>
      </c>
      <c r="BI203" s="59">
        <f ca="1">AVERAGE(OFFSET($BH$3,0,0,'Données projet'!$E$11+1,1))-AVERAGE(OFFSET($H$3,0,0,'Données projet'!$E$11+1,1))</f>
        <v>327.58421465651799</v>
      </c>
      <c r="BJ203" s="59">
        <f t="shared" si="206"/>
        <v>296.73904998640018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0.23248324441544349</v>
      </c>
      <c r="BQ203" s="21">
        <f>EXP(-LN(2)/25)*BQ202+(1-EXP(-LN(2)/25))/(LN(2)/25)*Calculateur!BL203*Calculateur!BN203*VLOOKUP('Données projet'!$B$11,Paramètres!$A$1:$I$89,3,0)*0.475*44/12</f>
        <v>0.120461985753745</v>
      </c>
      <c r="BR203" s="21">
        <f>EXP(-LN(2)/2)*BR202+(1-EXP(-LN(2)/2))/(LN(2)/2)*BL203*BO203*VLOOKUP('Données projet'!$B$11,Paramètres!$A$1:$I$89,3,0)*0.475*44/12</f>
        <v>5.4058278144857633E-25</v>
      </c>
      <c r="BS203" s="22">
        <f t="shared" si="169"/>
        <v>0.3529452301691885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1.2820888539868154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1.2880503926580862</v>
      </c>
      <c r="BA205" s="82">
        <f>EXP(LN('Données projet'!B88)/'Données projet'!A88)</f>
        <v>1.2563584400948855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opLeftCell="A50" zoomScale="90" zoomScaleNormal="90" workbookViewId="0">
      <selection activeCell="K46" sqref="K4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4.7945000000000002</v>
      </c>
      <c r="C6" s="147">
        <f ca="1">IF(OR('Données projet'!B9="",'Données projet'!C9="",'Données projet'!C9=0%),0,Calculateur!S3)</f>
        <v>356.67698551373468</v>
      </c>
      <c r="D6" s="147">
        <f>IF(OR('Données projet'!B9="",'Données projet'!C9="",'Données projet'!C9=0%),0,Calculateur!T3)</f>
        <v>353.21836615408171</v>
      </c>
      <c r="E6" s="147">
        <f ca="1">MIN(C6,D6)</f>
        <v>353.21836615408171</v>
      </c>
      <c r="F6" s="147">
        <f ca="1">E6*B6</f>
        <v>1693.5054565257449</v>
      </c>
      <c r="G6" s="147">
        <f ca="1">F6*(100%-'Données projet'!$C$24)*(100%-'Données projet'!$C$25)*(100%-'Données projet'!$C$26)*(100%-'Données projet'!$C$27)</f>
        <v>1524.1549108731704</v>
      </c>
      <c r="H6" s="148">
        <f>IF(OR('Données projet'!B9="",'Données projet'!C9="",'Données projet'!C9=0%),0,AVERAGE(Calculateur!$AC$3:$AC$33)*B6)</f>
        <v>38.127197097552283</v>
      </c>
      <c r="I6" s="149">
        <f>H6*(100%-'Données projet'!$C$24)*(100%-'Données projet'!$C$25)*(100%-'Données projet'!$C$26)*(100%-'Données projet'!$C$27)</f>
        <v>34.314477387797055</v>
      </c>
      <c r="J6" s="150">
        <f>IF(OR('Données projet'!B9="",'Données projet'!C9="",'Données projet'!C9=0%),0,SUM(Calculateur!$V$3:$V$33)*VLOOKUP('Données projet'!$B$9,Paramètres!$A$1:$I$89,9,0)*B6)</f>
        <v>360.78612500000003</v>
      </c>
      <c r="K6" s="151">
        <f>J6*(100%-'Données projet'!$C$24)*(100%-'Données projet'!$C$25)*(100%-'Données projet'!$C$26)*(100%-'Données projet'!$C$27)</f>
        <v>324.70751250000001</v>
      </c>
      <c r="L6" s="152">
        <f ca="1">G6+I6+K6</f>
        <v>1883.1769007609673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Mélèze d'Europe</v>
      </c>
      <c r="B7" s="154">
        <f>'Données projet'!D10</f>
        <v>5.5750000000000002</v>
      </c>
      <c r="C7" s="147">
        <f ca="1">IF(OR('Données projet'!B10="",'Données projet'!C10="",'Données projet'!C10=0%),0,Calculateur!AN3)</f>
        <v>285.77483300338548</v>
      </c>
      <c r="D7" s="147">
        <f>IF(OR('Données projet'!B10="",'Données projet'!C10="",'Données projet'!C10=0%),0,Calculateur!AO3)</f>
        <v>320.55212417690637</v>
      </c>
      <c r="E7" s="147">
        <f t="shared" ref="E7:E15" ca="1" si="0">MIN(C7,D7)</f>
        <v>285.77483300338548</v>
      </c>
      <c r="F7" s="147">
        <f t="shared" ref="F7:F15" ca="1" si="1">E7*B7</f>
        <v>1593.1946939938741</v>
      </c>
      <c r="G7" s="147">
        <f ca="1">F7*(100%-'Données projet'!$C$24)*(100%-'Données projet'!$C$25)*(100%-'Données projet'!$C$26)*(100%-'Données projet'!$C$27)</f>
        <v>1433.8752245944868</v>
      </c>
      <c r="H7" s="155">
        <f>IF(OR('Données projet'!B10="",'Données projet'!C10="",'Données projet'!C10=0%),0,AVERAGE(Calculateur!$AX$3:$AX$33)*B7)</f>
        <v>47.142856615043748</v>
      </c>
      <c r="I7" s="149">
        <f>H7*(100%-'Données projet'!$C$24)*(100%-'Données projet'!$C$25)*(100%-'Données projet'!$C$26)*(100%-'Données projet'!$C$27)</f>
        <v>42.428570953539371</v>
      </c>
      <c r="J7" s="150">
        <f>IF(OR('Données projet'!B10="",'Données projet'!C10="",'Données projet'!C10=0%),0,SUM(Calculateur!$AQ$3:$AQ$33)*VLOOKUP('Données projet'!$B$10,Paramètres!$A$1:$I$89,9,0)*B7)</f>
        <v>345.20400000000001</v>
      </c>
      <c r="K7" s="151">
        <f>J7*(100%-'Données projet'!$C$24)*(100%-'Données projet'!$C$25)*(100%-'Données projet'!$C$26)*(100%-'Données projet'!$C$27)</f>
        <v>310.68360000000001</v>
      </c>
      <c r="L7" s="152">
        <f t="shared" ref="L7:L15" ca="1" si="2">G7+I7+K7</f>
        <v>1786.9873955480261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Sapin méditerranéen</v>
      </c>
      <c r="B8" s="154">
        <f>'Données projet'!D11</f>
        <v>0.78050000000000008</v>
      </c>
      <c r="C8" s="147">
        <f ca="1">IF(OR('Données projet'!B11="",'Données projet'!C11="",'Données projet'!C11=0%),0,Calculateur!BI3)</f>
        <v>327.58421465651799</v>
      </c>
      <c r="D8" s="147">
        <f>IF(OR('Données projet'!B11="",'Données projet'!C11="",'Données projet'!C11=0%),0,Calculateur!BJ3)</f>
        <v>296.73904998640018</v>
      </c>
      <c r="E8" s="147">
        <f t="shared" ca="1" si="0"/>
        <v>296.73904998640018</v>
      </c>
      <c r="F8" s="147">
        <f t="shared" ca="1" si="1"/>
        <v>231.60482851438536</v>
      </c>
      <c r="G8" s="147">
        <f ca="1">F8*(100%-'Données projet'!$C$24)*(100%-'Données projet'!$C$25)*(100%-'Données projet'!$C$26)*(100%-'Données projet'!$C$27)</f>
        <v>208.44434566294683</v>
      </c>
      <c r="H8" s="155">
        <f>IF(OR('Données projet'!B11="",'Données projet'!C11="",'Données projet'!C11=0%),0,AVERAGE(Calculateur!$BS$3:$BS$33)*B8)</f>
        <v>1.0341377708264996</v>
      </c>
      <c r="I8" s="149">
        <f>H8*(100%-'Données projet'!$C$24)*(100%-'Données projet'!$C$25)*(100%-'Données projet'!$C$26)*(100%-'Données projet'!$C$27)</f>
        <v>0.93072399374384962</v>
      </c>
      <c r="J8" s="150">
        <f>IF(OR('Données projet'!B11="",'Données projet'!C11="",'Données projet'!C11=0%),0,SUM(Calculateur!$BL$3:$BL$33)*VLOOKUP('Données projet'!$B$11,Paramètres!$A$1:$I$89,9,0)*B8)</f>
        <v>32.219040000000007</v>
      </c>
      <c r="K8" s="151">
        <f>J8*(100%-'Données projet'!$C$24)*(100%-'Données projet'!$C$25)*(100%-'Données projet'!$C$26)*(100%-'Données projet'!$C$27)</f>
        <v>28.997136000000008</v>
      </c>
      <c r="L8" s="152">
        <f t="shared" ca="1" si="2"/>
        <v>238.37220565669068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3518.3049790340042</v>
      </c>
      <c r="G16" s="166">
        <f t="shared" ca="1" si="3"/>
        <v>3166.4744811306041</v>
      </c>
      <c r="H16" s="167">
        <f t="shared" si="3"/>
        <v>86.304191483422528</v>
      </c>
      <c r="I16" s="167">
        <f t="shared" si="3"/>
        <v>77.673772335080272</v>
      </c>
      <c r="J16" s="168">
        <f t="shared" si="3"/>
        <v>738.20916499999998</v>
      </c>
      <c r="K16" s="168">
        <f t="shared" si="3"/>
        <v>664.38824849999992</v>
      </c>
      <c r="L16" s="169">
        <f t="shared" ca="1" si="3"/>
        <v>3908.5365019656842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Sapin méditerranéen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1" zoomScale="80" zoomScaleNormal="80" workbookViewId="0">
      <selection activeCell="G57" sqref="G5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1993.0283322905343</v>
      </c>
      <c r="U10" s="178">
        <f>'Données projet'!D9</f>
        <v>4.7945000000000002</v>
      </c>
      <c r="V10" s="177">
        <f>U10*T10</f>
        <v>9555.5743391669675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-800.72286902600615</v>
      </c>
      <c r="U11" s="178">
        <f>'Données projet'!D10</f>
        <v>5.5750000000000002</v>
      </c>
      <c r="V11" s="177">
        <f t="shared" ref="V11" si="0">U11*T11</f>
        <v>-4464.0299948199845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Sapin méditerranéen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-2639</v>
      </c>
      <c r="U12" s="178">
        <f>'Données projet'!D11</f>
        <v>0.78050000000000008</v>
      </c>
      <c r="V12" s="177">
        <f t="shared" ref="V12:V19" si="1">U12*T12</f>
        <v>-2059.7395000000001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2496</v>
      </c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0</v>
      </c>
      <c r="I20" s="191">
        <v>1300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500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-25623.648714199015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63</v>
      </c>
      <c r="C24" s="191">
        <v>12</v>
      </c>
      <c r="D24" s="182">
        <f t="shared" ref="D24:D42" si="2">B24*C24</f>
        <v>756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1054.68218423131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112</v>
      </c>
      <c r="C25" s="191">
        <v>35</v>
      </c>
      <c r="D25" s="182">
        <f t="shared" si="2"/>
        <v>3920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0">
        <f ca="1">T23-T24</f>
        <v>-26678.330898430326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112</v>
      </c>
      <c r="C26" s="191">
        <v>45</v>
      </c>
      <c r="D26" s="182">
        <f t="shared" si="2"/>
        <v>5040</v>
      </c>
      <c r="E26" s="193"/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108</v>
      </c>
      <c r="C27" s="191">
        <v>50</v>
      </c>
      <c r="D27" s="182">
        <f t="shared" si="2"/>
        <v>5400</v>
      </c>
      <c r="E27" s="193"/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83</v>
      </c>
      <c r="C28" s="191">
        <v>55</v>
      </c>
      <c r="D28" s="182">
        <f t="shared" si="2"/>
        <v>4565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67</v>
      </c>
      <c r="C29" s="191">
        <v>60</v>
      </c>
      <c r="D29" s="182">
        <f t="shared" si="2"/>
        <v>4020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651</v>
      </c>
      <c r="C30" s="191">
        <v>60</v>
      </c>
      <c r="D30" s="182">
        <f t="shared" si="2"/>
        <v>39060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2639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60</v>
      </c>
      <c r="C54" s="193">
        <v>10</v>
      </c>
      <c r="D54" s="179">
        <f>B54*C54</f>
        <v>600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84</v>
      </c>
      <c r="C55" s="193">
        <v>25</v>
      </c>
      <c r="D55" s="179">
        <f t="shared" ref="D55:D73" si="4">B55*C55</f>
        <v>2100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82</v>
      </c>
      <c r="C56" s="193">
        <v>30</v>
      </c>
      <c r="D56" s="179">
        <f t="shared" si="4"/>
        <v>2460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68</v>
      </c>
      <c r="C57" s="193">
        <v>35</v>
      </c>
      <c r="D57" s="179">
        <f t="shared" si="4"/>
        <v>2380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55</v>
      </c>
      <c r="C58" s="193">
        <v>40</v>
      </c>
      <c r="D58" s="179">
        <f t="shared" si="4"/>
        <v>2200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45</v>
      </c>
      <c r="C59" s="193">
        <v>45</v>
      </c>
      <c r="D59" s="179">
        <f t="shared" si="4"/>
        <v>2025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442</v>
      </c>
      <c r="C60" s="193">
        <v>50</v>
      </c>
      <c r="D60" s="179">
        <f t="shared" si="4"/>
        <v>22100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Sapin méditerranéen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2639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96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132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132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106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88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753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Florent Corniaux</cp:lastModifiedBy>
  <cp:lastPrinted>2023-02-22T08:40:34Z</cp:lastPrinted>
  <dcterms:created xsi:type="dcterms:W3CDTF">2021-02-01T08:22:39Z</dcterms:created>
  <dcterms:modified xsi:type="dcterms:W3CDTF">2023-06-20T05:51:21Z</dcterms:modified>
</cp:coreProperties>
</file>