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191-R-GUTH-NOR(61)-ARNETTES-indivTeilhardDeChardin-LesYveteaux/"/>
    </mc:Choice>
  </mc:AlternateContent>
  <xr:revisionPtr revIDLastSave="3" documentId="13_ncr:1_{4B8FE27B-C49E-4345-B2BF-3798B565BD01}" xr6:coauthVersionLast="47" xr6:coauthVersionMax="47" xr10:uidLastSave="{DC69B1B6-3AB3-49AA-B738-A384A437C6B9}"/>
  <bookViews>
    <workbookView xWindow="-390" yWindow="2400" windowWidth="21600" windowHeight="1123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6" l="1"/>
  <c r="I24" i="6"/>
  <c r="I22" i="6"/>
  <c r="I21" i="6"/>
  <c r="I20" i="6"/>
  <c r="E79" i="6"/>
  <c r="E48" i="6"/>
  <c r="E17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4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5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51" i="2" a="1"/>
  <c r="AH151" i="2" s="1"/>
  <c r="AH163" i="2" a="1"/>
  <c r="AH163" i="2" s="1"/>
  <c r="AH62" i="2" a="1"/>
  <c r="AH62" i="2" s="1"/>
  <c r="BC38" i="2" a="1"/>
  <c r="BC38" i="2" s="1"/>
  <c r="BC83" i="2" a="1"/>
  <c r="BC83" i="2" s="1"/>
  <c r="BC185" i="2" a="1"/>
  <c r="BC185" i="2" s="1"/>
  <c r="BC143" i="2" a="1"/>
  <c r="BC143" i="2" s="1"/>
  <c r="BC126" i="2" a="1"/>
  <c r="BC126" i="2" s="1"/>
  <c r="BC151" i="2" a="1"/>
  <c r="BC151" i="2" s="1"/>
  <c r="BC164" i="2" a="1"/>
  <c r="BC164" i="2" s="1"/>
  <c r="BC18" i="2" a="1"/>
  <c r="BC18" i="2" s="1"/>
  <c r="BC7" i="2" a="1"/>
  <c r="BC7" i="2" s="1"/>
  <c r="BC31" i="2" a="1"/>
  <c r="BC31" i="2" s="1"/>
  <c r="BC192" i="2" a="1"/>
  <c r="BC192" i="2" s="1"/>
  <c r="BC58" i="2" a="1"/>
  <c r="BC58" i="2" s="1"/>
  <c r="BC84" i="2" a="1"/>
  <c r="BC84" i="2" s="1"/>
  <c r="BC55" i="2" a="1"/>
  <c r="BC55" i="2" s="1"/>
  <c r="BC117" i="2" a="1"/>
  <c r="BC117" i="2" s="1"/>
  <c r="BC32" i="2" a="1"/>
  <c r="BC32" i="2" s="1"/>
  <c r="BC130" i="2" a="1"/>
  <c r="BC130" i="2" s="1"/>
  <c r="BC65" i="2" a="1"/>
  <c r="BC65" i="2" s="1"/>
  <c r="BC181" i="2" a="1"/>
  <c r="BC181" i="2" s="1"/>
  <c r="BC82" i="2" a="1"/>
  <c r="BC82" i="2" s="1"/>
  <c r="BC34" i="2" a="1"/>
  <c r="BC34" i="2" s="1"/>
  <c r="BC47" i="2" a="1"/>
  <c r="BC47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<sst xmlns="http://schemas.openxmlformats.org/spreadsheetml/2006/main" count="1172" uniqueCount="324">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</sst>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247.33750950241213</c:v>
                </c:pt>
                <c:pt idx="22">
                  <c:v>246.20993843849078</c:v>
                </c:pt>
                <c:pt idx="23">
                  <c:v>245.08225003541108</c:v>
                </c:pt>
                <c:pt idx="24">
                  <c:v>243.95444367508637</c:v>
                </c:pt>
                <c:pt idx="25">
                  <c:v>242.82651873322865</c:v>
                </c:pt>
                <c:pt idx="26">
                  <c:v>251.47094266035688</c:v>
                </c:pt>
                <c:pt idx="27">
                  <c:v>260.10863290775893</c:v>
                </c:pt>
                <c:pt idx="28">
                  <c:v>268.73984484198553</c:v>
                </c:pt>
                <c:pt idx="29">
                  <c:v>277.36481607055674</c:v>
                </c:pt>
                <c:pt idx="30">
                  <c:v>285.9837682029551</c:v>
                </c:pt>
                <c:pt idx="31">
                  <c:v>293.09937981445825</c:v>
                </c:pt>
                <c:pt idx="32">
                  <c:v>300.21113544922036</c:v>
                </c:pt>
                <c:pt idx="33">
                  <c:v>307.31913943961331</c:v>
                </c:pt>
                <c:pt idx="34">
                  <c:v>314.42349089260648</c:v>
                </c:pt>
                <c:pt idx="35">
                  <c:v>321.52428406625796</c:v>
                </c:pt>
                <c:pt idx="36">
                  <c:v>287.48211750444813</c:v>
                </c:pt>
                <c:pt idx="37">
                  <c:v>303.95265143464252</c:v>
                </c:pt>
                <c:pt idx="38">
                  <c:v>320.40333904330799</c:v>
                </c:pt>
                <c:pt idx="39">
                  <c:v>336.8353426069354</c:v>
                </c:pt>
                <c:pt idx="40">
                  <c:v>353.2497017480693</c:v>
                </c:pt>
                <c:pt idx="41">
                  <c:v>317.78746245668054</c:v>
                </c:pt>
                <c:pt idx="42">
                  <c:v>332.72903457884473</c:v>
                </c:pt>
                <c:pt idx="43">
                  <c:v>347.65581965898099</c:v>
                </c:pt>
                <c:pt idx="44">
                  <c:v>362.56854195764816</c:v>
                </c:pt>
                <c:pt idx="45">
                  <c:v>377.46786129486048</c:v>
                </c:pt>
                <c:pt idx="46">
                  <c:v>342.80619071488087</c:v>
                </c:pt>
                <c:pt idx="47">
                  <c:v>356.60509700107553</c:v>
                </c:pt>
                <c:pt idx="48">
                  <c:v>370.39231631024148</c:v>
                </c:pt>
                <c:pt idx="49">
                  <c:v>384.16834495549682</c:v>
                </c:pt>
                <c:pt idx="50">
                  <c:v>397.93364074958521</c:v>
                </c:pt>
                <c:pt idx="51">
                  <c:v>365.54945798588693</c:v>
                </c:pt>
                <c:pt idx="52">
                  <c:v>377.84017788163442</c:v>
                </c:pt>
                <c:pt idx="53">
                  <c:v>390.12219684408723</c:v>
                </c:pt>
                <c:pt idx="54">
                  <c:v>402.3958274365429</c:v>
                </c:pt>
                <c:pt idx="55">
                  <c:v>414.66136159701711</c:v>
                </c:pt>
                <c:pt idx="56">
                  <c:v>383.05177541071242</c:v>
                </c:pt>
                <c:pt idx="57">
                  <c:v>394.2143242613547</c:v>
                </c:pt>
                <c:pt idx="58">
                  <c:v>405.37002304691265</c:v>
                </c:pt>
                <c:pt idx="59">
                  <c:v>416.51908689232147</c:v>
                </c:pt>
                <c:pt idx="60">
                  <c:v>427.66171846396509</c:v>
                </c:pt>
                <c:pt idx="61">
                  <c:v>2.7736540643801645E-12</c:v>
                </c:pt>
                <c:pt idx="62">
                  <c:v>2.7736540643801645E-12</c:v>
                </c:pt>
                <c:pt idx="63">
                  <c:v>2.7736540643801645E-12</c:v>
                </c:pt>
                <c:pt idx="64">
                  <c:v>2.7736540643801645E-12</c:v>
                </c:pt>
                <c:pt idx="65">
                  <c:v>2.7736540643801645E-12</c:v>
                </c:pt>
                <c:pt idx="66">
                  <c:v>2.7736540643801645E-12</c:v>
                </c:pt>
                <c:pt idx="67">
                  <c:v>2.7736540643801645E-12</c:v>
                </c:pt>
                <c:pt idx="68">
                  <c:v>2.7736540643801645E-12</c:v>
                </c:pt>
                <c:pt idx="69">
                  <c:v>2.7736540643801645E-12</c:v>
                </c:pt>
                <c:pt idx="70">
                  <c:v>2.7736540643801645E-12</c:v>
                </c:pt>
                <c:pt idx="71">
                  <c:v>2.7736540643801645E-12</c:v>
                </c:pt>
                <c:pt idx="72">
                  <c:v>2.7736540643801645E-12</c:v>
                </c:pt>
                <c:pt idx="73">
                  <c:v>2.7736540643801645E-12</c:v>
                </c:pt>
                <c:pt idx="74">
                  <c:v>2.7736540643801645E-12</c:v>
                </c:pt>
                <c:pt idx="75">
                  <c:v>2.7736540643801645E-12</c:v>
                </c:pt>
                <c:pt idx="76">
                  <c:v>2.7736540643801645E-12</c:v>
                </c:pt>
                <c:pt idx="77">
                  <c:v>2.7736540643801645E-12</c:v>
                </c:pt>
                <c:pt idx="78">
                  <c:v>2.7736540643801645E-12</c:v>
                </c:pt>
                <c:pt idx="79">
                  <c:v>2.7736540643801645E-12</c:v>
                </c:pt>
                <c:pt idx="80">
                  <c:v>2.7736540643801645E-12</c:v>
                </c:pt>
                <c:pt idx="81">
                  <c:v>2.7736540643801645E-12</c:v>
                </c:pt>
                <c:pt idx="82">
                  <c:v>2.7736540643801645E-12</c:v>
                </c:pt>
                <c:pt idx="83">
                  <c:v>2.7736540643801645E-12</c:v>
                </c:pt>
                <c:pt idx="84">
                  <c:v>2.7736540643801645E-12</c:v>
                </c:pt>
                <c:pt idx="85">
                  <c:v>2.7736540643801645E-12</c:v>
                </c:pt>
                <c:pt idx="86">
                  <c:v>2.7736540643801645E-12</c:v>
                </c:pt>
                <c:pt idx="87">
                  <c:v>2.7736540643801645E-12</c:v>
                </c:pt>
                <c:pt idx="88">
                  <c:v>2.7736540643801645E-12</c:v>
                </c:pt>
                <c:pt idx="89">
                  <c:v>2.7736540643801645E-12</c:v>
                </c:pt>
                <c:pt idx="90">
                  <c:v>2.7736540643801645E-12</c:v>
                </c:pt>
                <c:pt idx="91">
                  <c:v>2.7736540643801645E-12</c:v>
                </c:pt>
                <c:pt idx="92">
                  <c:v>2.7736540643801645E-12</c:v>
                </c:pt>
                <c:pt idx="93">
                  <c:v>2.7736540643801645E-12</c:v>
                </c:pt>
                <c:pt idx="94">
                  <c:v>2.7736540643801645E-12</c:v>
                </c:pt>
                <c:pt idx="95">
                  <c:v>2.7736540643801645E-12</c:v>
                </c:pt>
                <c:pt idx="96">
                  <c:v>2.7736540643801645E-12</c:v>
                </c:pt>
                <c:pt idx="97">
                  <c:v>2.7736540643801645E-12</c:v>
                </c:pt>
                <c:pt idx="98">
                  <c:v>2.7736540643801645E-12</c:v>
                </c:pt>
                <c:pt idx="99">
                  <c:v>2.7736540643801645E-12</c:v>
                </c:pt>
                <c:pt idx="100">
                  <c:v>2.7736540643801645E-12</c:v>
                </c:pt>
                <c:pt idx="101">
                  <c:v>2.7736540643801645E-12</c:v>
                </c:pt>
                <c:pt idx="102">
                  <c:v>2.7736540643801645E-12</c:v>
                </c:pt>
                <c:pt idx="103">
                  <c:v>2.7736540643801645E-12</c:v>
                </c:pt>
                <c:pt idx="104">
                  <c:v>2.7736540643801645E-12</c:v>
                </c:pt>
                <c:pt idx="105">
                  <c:v>2.7736540643801645E-12</c:v>
                </c:pt>
                <c:pt idx="106">
                  <c:v>2.7736540643801645E-12</c:v>
                </c:pt>
                <c:pt idx="107">
                  <c:v>2.7736540643801645E-12</c:v>
                </c:pt>
                <c:pt idx="108">
                  <c:v>2.7736540643801645E-12</c:v>
                </c:pt>
                <c:pt idx="109">
                  <c:v>2.7736540643801645E-12</c:v>
                </c:pt>
                <c:pt idx="110">
                  <c:v>2.7736540643801645E-12</c:v>
                </c:pt>
                <c:pt idx="111">
                  <c:v>2.7736540643801645E-12</c:v>
                </c:pt>
                <c:pt idx="112">
                  <c:v>2.7736540643801645E-12</c:v>
                </c:pt>
                <c:pt idx="113">
                  <c:v>2.7736540643801645E-12</c:v>
                </c:pt>
                <c:pt idx="114">
                  <c:v>2.7736540643801645E-12</c:v>
                </c:pt>
                <c:pt idx="115">
                  <c:v>2.7736540643801645E-12</c:v>
                </c:pt>
                <c:pt idx="116">
                  <c:v>2.7736540643801645E-12</c:v>
                </c:pt>
                <c:pt idx="117">
                  <c:v>2.7736540643801645E-12</c:v>
                </c:pt>
                <c:pt idx="118">
                  <c:v>2.7736540643801645E-12</c:v>
                </c:pt>
                <c:pt idx="119">
                  <c:v>2.7736540643801645E-12</c:v>
                </c:pt>
                <c:pt idx="120">
                  <c:v>2.7736540643801645E-12</c:v>
                </c:pt>
                <c:pt idx="121">
                  <c:v>2.7736540643801645E-12</c:v>
                </c:pt>
                <c:pt idx="122">
                  <c:v>2.7736540643801645E-12</c:v>
                </c:pt>
                <c:pt idx="123">
                  <c:v>2.7736540643801645E-12</c:v>
                </c:pt>
                <c:pt idx="124">
                  <c:v>2.7736540643801645E-12</c:v>
                </c:pt>
                <c:pt idx="125">
                  <c:v>2.7736540643801645E-12</c:v>
                </c:pt>
                <c:pt idx="126">
                  <c:v>2.7736540643801645E-12</c:v>
                </c:pt>
                <c:pt idx="127">
                  <c:v>2.7736540643801645E-12</c:v>
                </c:pt>
                <c:pt idx="128">
                  <c:v>2.7736540643801645E-12</c:v>
                </c:pt>
                <c:pt idx="129">
                  <c:v>2.7736540643801645E-12</c:v>
                </c:pt>
                <c:pt idx="130">
                  <c:v>2.7736540643801645E-12</c:v>
                </c:pt>
                <c:pt idx="131">
                  <c:v>2.7736540643801645E-12</c:v>
                </c:pt>
                <c:pt idx="132">
                  <c:v>2.7736540643801645E-12</c:v>
                </c:pt>
                <c:pt idx="133">
                  <c:v>2.7736540643801645E-12</c:v>
                </c:pt>
                <c:pt idx="134">
                  <c:v>2.7736540643801645E-12</c:v>
                </c:pt>
                <c:pt idx="135">
                  <c:v>2.7736540643801645E-12</c:v>
                </c:pt>
                <c:pt idx="136">
                  <c:v>2.7736540643801645E-12</c:v>
                </c:pt>
                <c:pt idx="137">
                  <c:v>2.7736540643801645E-12</c:v>
                </c:pt>
                <c:pt idx="138">
                  <c:v>2.7736540643801645E-12</c:v>
                </c:pt>
                <c:pt idx="139">
                  <c:v>2.7736540643801645E-12</c:v>
                </c:pt>
                <c:pt idx="140">
                  <c:v>2.7736540643801645E-12</c:v>
                </c:pt>
                <c:pt idx="141">
                  <c:v>2.7736540643801645E-12</c:v>
                </c:pt>
                <c:pt idx="142">
                  <c:v>2.7736540643801645E-12</c:v>
                </c:pt>
                <c:pt idx="143">
                  <c:v>2.7736540643801645E-12</c:v>
                </c:pt>
                <c:pt idx="144">
                  <c:v>2.7736540643801645E-12</c:v>
                </c:pt>
                <c:pt idx="145">
                  <c:v>2.7736540643801645E-12</c:v>
                </c:pt>
                <c:pt idx="146">
                  <c:v>2.7736540643801645E-12</c:v>
                </c:pt>
                <c:pt idx="147">
                  <c:v>2.7736540643801645E-12</c:v>
                </c:pt>
                <c:pt idx="148">
                  <c:v>2.7736540643801645E-12</c:v>
                </c:pt>
                <c:pt idx="149">
                  <c:v>2.7736540643801645E-12</c:v>
                </c:pt>
                <c:pt idx="150">
                  <c:v>2.7736540643801645E-12</c:v>
                </c:pt>
                <c:pt idx="151">
                  <c:v>2.7736540643801645E-12</c:v>
                </c:pt>
                <c:pt idx="152">
                  <c:v>2.7736540643801645E-12</c:v>
                </c:pt>
                <c:pt idx="153">
                  <c:v>2.7736540643801645E-12</c:v>
                </c:pt>
                <c:pt idx="154">
                  <c:v>2.7736540643801645E-12</c:v>
                </c:pt>
                <c:pt idx="155">
                  <c:v>2.7736540643801645E-12</c:v>
                </c:pt>
                <c:pt idx="156">
                  <c:v>2.7736540643801645E-12</c:v>
                </c:pt>
                <c:pt idx="157">
                  <c:v>2.7736540643801645E-12</c:v>
                </c:pt>
                <c:pt idx="158">
                  <c:v>2.7736540643801645E-12</c:v>
                </c:pt>
                <c:pt idx="159">
                  <c:v>2.7736540643801645E-12</c:v>
                </c:pt>
                <c:pt idx="160">
                  <c:v>2.7736540643801645E-12</c:v>
                </c:pt>
                <c:pt idx="161">
                  <c:v>2.7736540643801645E-12</c:v>
                </c:pt>
                <c:pt idx="162">
                  <c:v>2.7736540643801645E-12</c:v>
                </c:pt>
                <c:pt idx="163">
                  <c:v>2.7736540643801645E-12</c:v>
                </c:pt>
                <c:pt idx="164">
                  <c:v>2.7736540643801645E-12</c:v>
                </c:pt>
                <c:pt idx="165">
                  <c:v>2.7736540643801645E-12</c:v>
                </c:pt>
                <c:pt idx="166">
                  <c:v>2.7736540643801645E-12</c:v>
                </c:pt>
                <c:pt idx="167">
                  <c:v>2.7736540643801645E-12</c:v>
                </c:pt>
                <c:pt idx="168">
                  <c:v>2.7736540643801645E-12</c:v>
                </c:pt>
                <c:pt idx="169">
                  <c:v>2.7736540643801645E-12</c:v>
                </c:pt>
                <c:pt idx="170">
                  <c:v>2.7736540643801645E-12</c:v>
                </c:pt>
                <c:pt idx="171">
                  <c:v>2.7736540643801645E-12</c:v>
                </c:pt>
                <c:pt idx="172">
                  <c:v>2.7736540643801645E-12</c:v>
                </c:pt>
                <c:pt idx="173">
                  <c:v>2.7736540643801645E-12</c:v>
                </c:pt>
                <c:pt idx="174">
                  <c:v>2.7736540643801645E-12</c:v>
                </c:pt>
                <c:pt idx="175">
                  <c:v>2.7736540643801645E-12</c:v>
                </c:pt>
                <c:pt idx="176">
                  <c:v>2.7736540643801645E-12</c:v>
                </c:pt>
                <c:pt idx="177">
                  <c:v>2.7736540643801645E-12</c:v>
                </c:pt>
                <c:pt idx="178">
                  <c:v>2.7736540643801645E-12</c:v>
                </c:pt>
                <c:pt idx="179">
                  <c:v>2.7736540643801645E-12</c:v>
                </c:pt>
                <c:pt idx="180">
                  <c:v>2.7736540643801645E-12</c:v>
                </c:pt>
                <c:pt idx="181">
                  <c:v>2.7736540643801645E-12</c:v>
                </c:pt>
                <c:pt idx="182">
                  <c:v>2.7736540643801645E-12</c:v>
                </c:pt>
                <c:pt idx="183">
                  <c:v>2.7736540643801645E-12</c:v>
                </c:pt>
                <c:pt idx="184">
                  <c:v>2.7736540643801645E-12</c:v>
                </c:pt>
                <c:pt idx="185">
                  <c:v>2.7736540643801645E-12</c:v>
                </c:pt>
                <c:pt idx="186">
                  <c:v>2.7736540643801645E-12</c:v>
                </c:pt>
                <c:pt idx="187">
                  <c:v>2.7736540643801645E-12</c:v>
                </c:pt>
                <c:pt idx="188">
                  <c:v>2.7736540643801645E-12</c:v>
                </c:pt>
                <c:pt idx="189">
                  <c:v>2.7736540643801645E-12</c:v>
                </c:pt>
                <c:pt idx="190">
                  <c:v>2.7736540643801645E-12</c:v>
                </c:pt>
                <c:pt idx="191">
                  <c:v>2.7736540643801645E-12</c:v>
                </c:pt>
                <c:pt idx="192">
                  <c:v>2.7736540643801645E-12</c:v>
                </c:pt>
                <c:pt idx="193">
                  <c:v>2.7736540643801645E-12</c:v>
                </c:pt>
                <c:pt idx="194">
                  <c:v>2.7736540643801645E-12</c:v>
                </c:pt>
                <c:pt idx="195">
                  <c:v>2.7736540643801645E-12</c:v>
                </c:pt>
                <c:pt idx="196">
                  <c:v>2.7736540643801645E-12</c:v>
                </c:pt>
                <c:pt idx="197">
                  <c:v>2.7736540643801645E-12</c:v>
                </c:pt>
                <c:pt idx="198">
                  <c:v>2.7736540643801645E-12</c:v>
                </c:pt>
                <c:pt idx="199">
                  <c:v>2.7736540643801645E-12</c:v>
                </c:pt>
                <c:pt idx="200">
                  <c:v>2.7736540643801645E-12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76.066396503410189</c:v>
                </c:pt>
                <c:pt idx="17">
                  <c:v>89.990173613778268</c:v>
                </c:pt>
                <c:pt idx="18">
                  <c:v>103.85987935040144</c:v>
                </c:pt>
                <c:pt idx="19">
                  <c:v>117.68377040108562</c:v>
                </c:pt>
                <c:pt idx="20">
                  <c:v>131.46799611812642</c:v>
                </c:pt>
                <c:pt idx="21">
                  <c:v>142.66175528595952</c:v>
                </c:pt>
                <c:pt idx="22">
                  <c:v>153.83447144183339</c:v>
                </c:pt>
                <c:pt idx="23">
                  <c:v>164.98788980812975</c:v>
                </c:pt>
                <c:pt idx="24">
                  <c:v>176.12349999795001</c:v>
                </c:pt>
                <c:pt idx="25">
                  <c:v>187.24258760716552</c:v>
                </c:pt>
                <c:pt idx="26">
                  <c:v>197.07802743045988</c:v>
                </c:pt>
                <c:pt idx="27">
                  <c:v>206.90207469254895</c:v>
                </c:pt>
                <c:pt idx="28">
                  <c:v>216.71534710393681</c:v>
                </c:pt>
                <c:pt idx="29">
                  <c:v>226.51840180248891</c:v>
                </c:pt>
                <c:pt idx="30">
                  <c:v>236.31174371498548</c:v>
                </c:pt>
                <c:pt idx="31">
                  <c:v>244.51836163877581</c:v>
                </c:pt>
                <c:pt idx="32">
                  <c:v>252.7187207405434</c:v>
                </c:pt>
                <c:pt idx="33">
                  <c:v>260.91305297407376</c:v>
                </c:pt>
                <c:pt idx="34">
                  <c:v>269.1015745179181</c:v>
                </c:pt>
                <c:pt idx="35">
                  <c:v>277.28448730625297</c:v>
                </c:pt>
                <c:pt idx="36">
                  <c:v>248.30390605743364</c:v>
                </c:pt>
                <c:pt idx="37">
                  <c:v>263.43320731240277</c:v>
                </c:pt>
                <c:pt idx="38">
                  <c:v>278.54291135662521</c:v>
                </c:pt>
                <c:pt idx="39">
                  <c:v>293.63423101263379</c:v>
                </c:pt>
                <c:pt idx="40">
                  <c:v>308.70824422691618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305.88313923039232</c:v>
                </c:pt>
                <c:pt idx="47">
                  <c:v>317.18013732431143</c:v>
                </c:pt>
                <c:pt idx="48">
                  <c:v>328.46822517413642</c:v>
                </c:pt>
                <c:pt idx="49">
                  <c:v>339.74775226555494</c:v>
                </c:pt>
                <c:pt idx="50">
                  <c:v>351.01904297525931</c:v>
                </c:pt>
                <c:pt idx="51">
                  <c:v>333.79571492319047</c:v>
                </c:pt>
                <c:pt idx="52">
                  <c:v>343.19261724903907</c:v>
                </c:pt>
                <c:pt idx="53">
                  <c:v>352.58386588275067</c:v>
                </c:pt>
                <c:pt idx="54">
                  <c:v>361.96963273404771</c:v>
                </c:pt>
                <c:pt idx="55">
                  <c:v>371.35008006494337</c:v>
                </c:pt>
                <c:pt idx="56">
                  <c:v>359.15446843311383</c:v>
                </c:pt>
                <c:pt idx="57">
                  <c:v>367.28586264352089</c:v>
                </c:pt>
                <c:pt idx="58">
                  <c:v>375.41332750586349</c:v>
                </c:pt>
                <c:pt idx="59">
                  <c:v>383.53696014432597</c:v>
                </c:pt>
                <c:pt idx="60">
                  <c:v>391.65685323028862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F100" sqref="F10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3.5708000000000002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0.73862300000000003</v>
      </c>
      <c r="D9" s="33">
        <f t="shared" ref="D9:D18" si="0">C9*$C$5</f>
        <v>2.6374750084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0.130688</v>
      </c>
      <c r="D10" s="33">
        <f t="shared" si="0"/>
        <v>0.46666071040000001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</v>
      </c>
      <c r="C11" s="32">
        <v>0.130688</v>
      </c>
      <c r="D11" s="33">
        <f t="shared" si="0"/>
        <v>0.46666071040000001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0.99999900000000008</v>
      </c>
      <c r="D19" s="38">
        <f>SUM(D9:D18)</f>
        <v>3.5707964292000005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19</v>
      </c>
      <c r="B36" s="60">
        <v>162</v>
      </c>
      <c r="C36" s="60">
        <v>1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335</v>
      </c>
      <c r="C37" s="60">
        <v>2</v>
      </c>
      <c r="D37" s="60">
        <v>54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421</v>
      </c>
      <c r="C38" s="60">
        <v>3</v>
      </c>
      <c r="D38" s="60">
        <v>54</v>
      </c>
      <c r="E38" s="51">
        <v>0.2</v>
      </c>
      <c r="F38" s="51">
        <v>0.45</v>
      </c>
      <c r="G38" s="51">
        <v>0.35</v>
      </c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505</v>
      </c>
      <c r="C39" s="60">
        <v>4</v>
      </c>
      <c r="D39" s="60">
        <v>69</v>
      </c>
      <c r="E39" s="51">
        <v>0.4</v>
      </c>
      <c r="F39" s="51">
        <v>0.34</v>
      </c>
      <c r="G39" s="51">
        <v>0.26</v>
      </c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564</v>
      </c>
      <c r="C40" s="60">
        <v>5</v>
      </c>
      <c r="D40" s="60">
        <v>72</v>
      </c>
      <c r="E40" s="51">
        <v>0.4</v>
      </c>
      <c r="F40" s="51">
        <v>0.34</v>
      </c>
      <c r="G40" s="51">
        <v>0.26</v>
      </c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606</v>
      </c>
      <c r="C41" s="60">
        <v>6</v>
      </c>
      <c r="D41" s="60">
        <v>66</v>
      </c>
      <c r="E41" s="51">
        <v>0.5</v>
      </c>
      <c r="F41" s="51">
        <v>0.28000000000000003</v>
      </c>
      <c r="G41" s="51">
        <v>0.22</v>
      </c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629</v>
      </c>
      <c r="C42" s="60">
        <v>7</v>
      </c>
      <c r="D42" s="60">
        <v>48</v>
      </c>
      <c r="E42" s="51">
        <v>0.6</v>
      </c>
      <c r="F42" s="51">
        <v>0.22</v>
      </c>
      <c r="G42" s="51">
        <v>0.18</v>
      </c>
      <c r="H42" s="51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650</v>
      </c>
      <c r="C43" s="60">
        <v>8</v>
      </c>
      <c r="D43" s="60">
        <v>35</v>
      </c>
      <c r="E43" s="51">
        <v>0.7</v>
      </c>
      <c r="F43" s="51">
        <v>0.17</v>
      </c>
      <c r="G43" s="51">
        <v>0.13</v>
      </c>
      <c r="H43" s="51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666</v>
      </c>
      <c r="C44" s="60">
        <v>9</v>
      </c>
      <c r="D44" s="60">
        <v>666</v>
      </c>
      <c r="E44" s="51">
        <v>0.8</v>
      </c>
      <c r="F44" s="51">
        <v>0.11</v>
      </c>
      <c r="G44" s="51">
        <v>0.09</v>
      </c>
      <c r="H44" s="51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29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15</v>
      </c>
      <c r="B63" s="60">
        <v>73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8.8000000000000007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129</v>
      </c>
      <c r="C64" s="60">
        <v>3</v>
      </c>
      <c r="D64" s="60">
        <v>0</v>
      </c>
      <c r="E64" s="51">
        <v>0</v>
      </c>
      <c r="F64" s="51"/>
      <c r="G64" s="51"/>
      <c r="H64" s="51">
        <v>1</v>
      </c>
      <c r="I64" s="49">
        <f>IF(A64&lt;&gt;0,(B64-(B63-D63))/(A64-A63),"")</f>
        <v>11.2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25</v>
      </c>
      <c r="B65" s="60">
        <v>126</v>
      </c>
      <c r="C65" s="60">
        <v>4</v>
      </c>
      <c r="D65" s="60">
        <v>0</v>
      </c>
      <c r="E65" s="51">
        <v>0</v>
      </c>
      <c r="F65" s="51"/>
      <c r="G65" s="51"/>
      <c r="H65" s="51">
        <v>1</v>
      </c>
      <c r="I65" s="49">
        <f>IF(A65&lt;&gt;0,(B65-(B64-D64))/(A65-A64),"")</f>
        <v>-0.6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30</v>
      </c>
      <c r="B66" s="60">
        <v>149</v>
      </c>
      <c r="C66" s="60">
        <v>5</v>
      </c>
      <c r="D66" s="60">
        <v>0</v>
      </c>
      <c r="E66" s="51">
        <v>0</v>
      </c>
      <c r="F66" s="51"/>
      <c r="G66" s="51"/>
      <c r="H66" s="51">
        <v>1</v>
      </c>
      <c r="I66" s="49">
        <f t="shared" ref="I66:I81" si="2">IF(A66&lt;&gt;0,(B66-(B65-D65))/(A66-A65),"")</f>
        <v>4.5999999999999996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35</v>
      </c>
      <c r="B67" s="60">
        <v>168</v>
      </c>
      <c r="C67" s="60">
        <v>6</v>
      </c>
      <c r="D67" s="60">
        <v>27</v>
      </c>
      <c r="E67" s="51">
        <v>0.2</v>
      </c>
      <c r="F67" s="51"/>
      <c r="G67" s="51"/>
      <c r="H67" s="51">
        <v>0.8</v>
      </c>
      <c r="I67" s="49">
        <f t="shared" si="2"/>
        <v>3.8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40</v>
      </c>
      <c r="B68" s="60">
        <v>185</v>
      </c>
      <c r="C68" s="60">
        <v>7</v>
      </c>
      <c r="D68" s="60">
        <v>27</v>
      </c>
      <c r="E68" s="51">
        <v>0.3</v>
      </c>
      <c r="F68" s="51"/>
      <c r="G68" s="51"/>
      <c r="H68" s="51">
        <v>0.7</v>
      </c>
      <c r="I68" s="49">
        <f t="shared" si="2"/>
        <v>8.8000000000000007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45</v>
      </c>
      <c r="B69" s="50">
        <v>198</v>
      </c>
      <c r="C69" s="50">
        <v>8</v>
      </c>
      <c r="D69" s="50">
        <v>26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50</v>
      </c>
      <c r="B70" s="50">
        <v>209</v>
      </c>
      <c r="C70" s="50">
        <v>9</v>
      </c>
      <c r="D70" s="50">
        <v>24</v>
      </c>
      <c r="E70" s="51">
        <v>0.4</v>
      </c>
      <c r="F70" s="51"/>
      <c r="G70" s="51"/>
      <c r="H70" s="51">
        <v>0.6</v>
      </c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55</v>
      </c>
      <c r="B71" s="50">
        <v>218</v>
      </c>
      <c r="C71" s="50">
        <v>10</v>
      </c>
      <c r="D71" s="50">
        <v>23</v>
      </c>
      <c r="E71" s="51">
        <v>0.4</v>
      </c>
      <c r="F71" s="51"/>
      <c r="G71" s="51"/>
      <c r="H71" s="51">
        <v>0.6</v>
      </c>
      <c r="I71" s="49">
        <f t="shared" si="2"/>
        <v>6.6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60</v>
      </c>
      <c r="B72" s="50">
        <v>225</v>
      </c>
      <c r="C72" s="50">
        <v>11</v>
      </c>
      <c r="D72" s="50">
        <v>225</v>
      </c>
      <c r="E72" s="51">
        <v>0.5</v>
      </c>
      <c r="F72" s="51"/>
      <c r="G72" s="51"/>
      <c r="H72" s="51">
        <v>0.5</v>
      </c>
      <c r="I72" s="49">
        <f t="shared" si="2"/>
        <v>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Châtaignier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v>37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80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8.6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25</v>
      </c>
      <c r="B90" s="60">
        <v>115</v>
      </c>
      <c r="C90" s="60">
        <v>3</v>
      </c>
      <c r="D90" s="60">
        <v>0</v>
      </c>
      <c r="E90" s="87">
        <v>0</v>
      </c>
      <c r="F90" s="87"/>
      <c r="G90" s="87"/>
      <c r="H90" s="87">
        <v>1</v>
      </c>
      <c r="I90" s="53">
        <f t="shared" si="3"/>
        <v>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146</v>
      </c>
      <c r="C91" s="60">
        <v>4</v>
      </c>
      <c r="D91" s="60">
        <v>0</v>
      </c>
      <c r="E91" s="87">
        <v>0.4</v>
      </c>
      <c r="F91" s="87"/>
      <c r="G91" s="87"/>
      <c r="H91" s="87">
        <v>0.6</v>
      </c>
      <c r="I91" s="53">
        <f t="shared" si="3"/>
        <v>6.2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35</v>
      </c>
      <c r="B92" s="60">
        <v>172</v>
      </c>
      <c r="C92" s="60">
        <v>5</v>
      </c>
      <c r="D92" s="60">
        <v>28</v>
      </c>
      <c r="E92" s="87">
        <v>0.4</v>
      </c>
      <c r="F92" s="87"/>
      <c r="G92" s="87"/>
      <c r="H92" s="87">
        <v>0.6</v>
      </c>
      <c r="I92" s="53">
        <f t="shared" si="3"/>
        <v>5.2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40</v>
      </c>
      <c r="B93" s="60">
        <v>192</v>
      </c>
      <c r="C93" s="60">
        <v>6</v>
      </c>
      <c r="D93" s="60">
        <v>28</v>
      </c>
      <c r="E93" s="87">
        <v>0.5</v>
      </c>
      <c r="F93" s="87"/>
      <c r="G93" s="87"/>
      <c r="H93" s="87">
        <v>0.5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45</v>
      </c>
      <c r="B94" s="60">
        <v>205</v>
      </c>
      <c r="C94" s="60">
        <v>7</v>
      </c>
      <c r="D94" s="60">
        <v>22</v>
      </c>
      <c r="E94" s="87">
        <v>0.5</v>
      </c>
      <c r="F94" s="87"/>
      <c r="G94" s="87"/>
      <c r="H94" s="87">
        <v>0.5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50</v>
      </c>
      <c r="B95" s="60">
        <v>219</v>
      </c>
      <c r="C95" s="60">
        <v>8</v>
      </c>
      <c r="D95" s="60">
        <v>17</v>
      </c>
      <c r="E95" s="87">
        <v>0.6</v>
      </c>
      <c r="F95" s="87"/>
      <c r="G95" s="87"/>
      <c r="H95" s="87">
        <v>0.4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55</v>
      </c>
      <c r="B96" s="60">
        <v>232</v>
      </c>
      <c r="C96" s="60">
        <v>9</v>
      </c>
      <c r="D96" s="60">
        <v>13</v>
      </c>
      <c r="E96" s="87">
        <v>0.6</v>
      </c>
      <c r="F96" s="87"/>
      <c r="G96" s="87"/>
      <c r="H96" s="87">
        <v>0.4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60</v>
      </c>
      <c r="B97" s="60">
        <v>245</v>
      </c>
      <c r="C97" s="60">
        <v>10</v>
      </c>
      <c r="D97" s="60">
        <v>245</v>
      </c>
      <c r="E97" s="87">
        <v>0.7</v>
      </c>
      <c r="F97" s="87"/>
      <c r="G97" s="87"/>
      <c r="H97" s="87">
        <v>0.3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5" sqref="C3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rouge d'Amérique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Châtaignier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378.17323480030268</v>
      </c>
      <c r="T3" s="59">
        <f>IF('Données projet'!E9&gt;30,$R$33-$H$33,LOOKUP('Données projet'!$E$9,$A$3:$A$203,R3:R203)-LOOKUP('Données projet'!$E$9,$A$3:$A$203,$H$3:$H$203))</f>
        <v>471.89239871617241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208.92731420103507</v>
      </c>
      <c r="AO3" s="59">
        <f>IF('Données projet'!E10&gt;30,$AM$33-$H$33,LOOKUP('Données projet'!$E$10,$A$3:$A$203,AM3:AM203)-LOOKUP('Données projet'!$E$10,$A$3:$A$203,$H$3:$H$203))</f>
        <v>247.96048911281395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162.3892440844827</v>
      </c>
      <c r="BJ3" s="59">
        <f>IF('Données projet'!E11&gt;30,$BH$33-$H$33,LOOKUP('Données projet'!$E$11,$A$3:$A$203,BH3:BH203)-LOOKUP('Données projet'!$E$11,$A$3:$A$203,$H$3:$H$203))</f>
        <v>198.28846462484438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378.17323480030268</v>
      </c>
      <c r="T4" s="59">
        <f>$T$3</f>
        <v>471.89239871617241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</v>
      </c>
      <c r="AI4" s="13">
        <f>IF('Données projet'!$A$62&gt;35,AI3+AH4-AQ3,IF(A4&lt;'Données projet'!$A$62,$AF$205^A4,IF(A4='Données projet'!$A$62,'Données projet'!$B$62,AI3+AH4-AQ3)))</f>
        <v>1.4003603312913959</v>
      </c>
      <c r="AJ4" s="13">
        <f>AI4*VLOOKUP('Données projet'!$B$10,Paramètres!$A$1:$I$89,3,0)*VLOOKUP('Données projet'!$B$10,Paramètres!$A$1:$I$89,5,0)</f>
        <v>1.2233547854161635</v>
      </c>
      <c r="AK4" s="13">
        <f>EXP(-1.0587+0.8836*LN(AJ4)+0.284)</f>
        <v>0.55069785861405296</v>
      </c>
      <c r="AL4" s="20">
        <f t="shared" ref="AL4:AL67" si="4">(AJ4+AK4)*0.475*44/12</f>
        <v>3.0898083550192936</v>
      </c>
      <c r="AM4" s="59">
        <f t="shared" ref="AM4:AM67" si="5">AL4+(AD4+AE4)*44/12</f>
        <v>296.42314168835259</v>
      </c>
      <c r="AN4" s="59">
        <f ca="1">AVERAGE(OFFSET($AM$3,0,0,'Données projet'!$E$10+1,1))-AVERAGE(OFFSET($H$3,0,0,'Données projet'!$E$10+1,1))</f>
        <v>208.92731420103507</v>
      </c>
      <c r="AO4" s="59">
        <f>$AO$3</f>
        <v>247.96048911281395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0.9327585484198414</v>
      </c>
      <c r="BF4" s="13">
        <f>EXP(-1.0587+0.8836*LN(BE4)+0.284)</f>
        <v>0.43335135961225768</v>
      </c>
      <c r="BG4" s="20">
        <f t="shared" ref="BG4:BG67" si="7">(BE4+BF4)*0.475*44/12</f>
        <v>2.3793080898225729</v>
      </c>
      <c r="BH4" s="59">
        <f t="shared" ref="BH4:BH67" si="8">BG4+(AY4+AZ4)*44/12</f>
        <v>295.7126414231559</v>
      </c>
      <c r="BI4" s="59">
        <f ca="1">AVERAGE(OFFSET($BH$3,0,0,'Données projet'!$E$11+1,1))-AVERAGE(OFFSET($H$3,0,0,'Données projet'!$E$11+1,1))</f>
        <v>162.3892440844827</v>
      </c>
      <c r="BJ4" s="59">
        <f>$BJ$3</f>
        <v>198.28846462484438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378.17323480030268</v>
      </c>
      <c r="T5" s="59">
        <f t="shared" ref="T5:T68" si="34">$T$3</f>
        <v>471.89239871617241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</v>
      </c>
      <c r="AI5" s="13">
        <f>IF('Données projet'!$A$62&gt;35,AI4+AH5-AQ4,IF(A5&lt;'Données projet'!$A$62,$AF$205^A5,IF(A5='Données projet'!$A$62,'Données projet'!$B$62,AI4+AH5-AQ4)))</f>
        <v>1.9610090574545482</v>
      </c>
      <c r="AJ5" s="13">
        <f>AI5*VLOOKUP('Données projet'!$B$10,Paramètres!$A$1:$I$89,3,0)*VLOOKUP('Données projet'!$B$10,Paramètres!$A$1:$I$89,5,0)</f>
        <v>1.7131375125922934</v>
      </c>
      <c r="AK5" s="13">
        <f t="shared" ref="AK5:AK68" si="35">EXP(-1.0587+0.8836*LN(AJ5)+0.284)</f>
        <v>0.74153366912094132</v>
      </c>
      <c r="AL5" s="20">
        <f t="shared" si="4"/>
        <v>4.2752189748172169</v>
      </c>
      <c r="AM5" s="59">
        <f t="shared" si="5"/>
        <v>297.60855230815054</v>
      </c>
      <c r="AN5" s="59">
        <f ca="1">AVERAGE(OFFSET($AM$3,0,0,'Données projet'!$E$10+1,1))-AVERAGE(OFFSET($H$3,0,0,'Données projet'!$E$10+1,1))</f>
        <v>208.92731420103507</v>
      </c>
      <c r="AO5" s="59">
        <f t="shared" ref="AO5:AO68" si="36">$AO$3</f>
        <v>247.96048911281395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1.1866319007778094</v>
      </c>
      <c r="BF5" s="13">
        <f t="shared" ref="BF5:BF68" si="37">EXP(-1.0587+0.8836*LN(BE5)+0.284)</f>
        <v>0.53606530474621483</v>
      </c>
      <c r="BG5" s="20">
        <f t="shared" si="7"/>
        <v>3.0003642996210083</v>
      </c>
      <c r="BH5" s="59">
        <f t="shared" si="8"/>
        <v>296.33369763295434</v>
      </c>
      <c r="BI5" s="59">
        <f ca="1">AVERAGE(OFFSET($BH$3,0,0,'Données projet'!$E$11+1,1))-AVERAGE(OFFSET($H$3,0,0,'Données projet'!$E$11+1,1))</f>
        <v>162.3892440844827</v>
      </c>
      <c r="BJ5" s="59">
        <f t="shared" ref="BJ5:BJ68" si="38">$BJ$3</f>
        <v>198.28846462484438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378.17323480030268</v>
      </c>
      <c r="T6" s="59">
        <f t="shared" si="34"/>
        <v>471.89239871617241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</v>
      </c>
      <c r="AI6" s="13">
        <f>IF('Données projet'!$A$62&gt;35,AI5+AH6-AQ5,IF(A6&lt;'Données projet'!$A$62,$AF$205^A6,IF(A6='Données projet'!$A$62,'Données projet'!$B$62,AI5+AH6-AQ5)))</f>
        <v>2.7461192933624794</v>
      </c>
      <c r="AJ6" s="13">
        <f>AI6*VLOOKUP('Données projet'!$B$10,Paramètres!$A$1:$I$89,3,0)*VLOOKUP('Données projet'!$B$10,Paramètres!$A$1:$I$89,5,0)</f>
        <v>2.3990098146814622</v>
      </c>
      <c r="AK6" s="13">
        <f t="shared" si="35"/>
        <v>0.99850067298942213</v>
      </c>
      <c r="AL6" s="20">
        <f t="shared" si="4"/>
        <v>5.9173307660267902</v>
      </c>
      <c r="AM6" s="59">
        <f t="shared" si="5"/>
        <v>299.25066409936011</v>
      </c>
      <c r="AN6" s="59">
        <f ca="1">AVERAGE(OFFSET($AM$3,0,0,'Données projet'!$E$10+1,1))-AVERAGE(OFFSET($H$3,0,0,'Données projet'!$E$10+1,1))</f>
        <v>208.92731420103507</v>
      </c>
      <c r="AO6" s="59">
        <f t="shared" si="36"/>
        <v>247.96048911281395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1.5096031768660487</v>
      </c>
      <c r="BF6" s="13">
        <f t="shared" si="37"/>
        <v>0.66312474757151718</v>
      </c>
      <c r="BG6" s="20">
        <f t="shared" si="7"/>
        <v>3.7841678017287599</v>
      </c>
      <c r="BH6" s="59">
        <f t="shared" si="8"/>
        <v>297.11750113506207</v>
      </c>
      <c r="BI6" s="59">
        <f ca="1">AVERAGE(OFFSET($BH$3,0,0,'Données projet'!$E$11+1,1))-AVERAGE(OFFSET($H$3,0,0,'Données projet'!$E$11+1,1))</f>
        <v>162.3892440844827</v>
      </c>
      <c r="BJ6" s="59">
        <f t="shared" si="38"/>
        <v>198.28846462484438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378.17323480030268</v>
      </c>
      <c r="T7" s="59">
        <f t="shared" si="34"/>
        <v>471.89239871617241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</v>
      </c>
      <c r="AI7" s="13">
        <f>IF('Données projet'!$A$62&gt;35,AI6+AH7-AQ6,IF(A7&lt;'Données projet'!$A$62,$AF$205^A7,IF(A7='Données projet'!$A$62,'Données projet'!$B$62,AI6+AH7-AQ6)))</f>
        <v>3.8455565234187756</v>
      </c>
      <c r="AJ7" s="13">
        <f>AI7*VLOOKUP('Données projet'!$B$10,Paramètres!$A$1:$I$89,3,0)*VLOOKUP('Données projet'!$B$10,Paramètres!$A$1:$I$89,5,0)</f>
        <v>3.3594781788586427</v>
      </c>
      <c r="AK7" s="13">
        <f t="shared" si="35"/>
        <v>1.3445156106562728</v>
      </c>
      <c r="AL7" s="20">
        <f t="shared" si="4"/>
        <v>8.1927891834051447</v>
      </c>
      <c r="AM7" s="59">
        <f t="shared" si="5"/>
        <v>301.52612251673844</v>
      </c>
      <c r="AN7" s="59">
        <f ca="1">AVERAGE(OFFSET($AM$3,0,0,'Données projet'!$E$10+1,1))-AVERAGE(OFFSET($H$3,0,0,'Données projet'!$E$10+1,1))</f>
        <v>208.92731420103507</v>
      </c>
      <c r="AO7" s="59">
        <f t="shared" si="36"/>
        <v>247.96048911281395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1.9204790888482772</v>
      </c>
      <c r="BF7" s="13">
        <f t="shared" si="37"/>
        <v>0.82030011446080875</v>
      </c>
      <c r="BG7" s="20">
        <f t="shared" si="7"/>
        <v>4.7735237790966574</v>
      </c>
      <c r="BH7" s="59">
        <f t="shared" si="8"/>
        <v>298.10685711242996</v>
      </c>
      <c r="BI7" s="59">
        <f ca="1">AVERAGE(OFFSET($BH$3,0,0,'Données projet'!$E$11+1,1))-AVERAGE(OFFSET($H$3,0,0,'Données projet'!$E$11+1,1))</f>
        <v>162.3892440844827</v>
      </c>
      <c r="BJ7" s="59">
        <f t="shared" si="38"/>
        <v>198.28846462484438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378.17323480030268</v>
      </c>
      <c r="T8" s="59">
        <f t="shared" si="34"/>
        <v>471.89239871617241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</v>
      </c>
      <c r="AI8" s="13">
        <f>IF('Données projet'!$A$62&gt;35,AI7+AH8-AQ7,IF(A8&lt;'Données projet'!$A$62,$AF$205^A8,IF(A8='Données projet'!$A$62,'Données projet'!$B$62,AI7+AH8-AQ7)))</f>
        <v>5.3851648071345055</v>
      </c>
      <c r="AJ8" s="13">
        <f>AI8*VLOOKUP('Données projet'!$B$10,Paramètres!$A$1:$I$89,3,0)*VLOOKUP('Données projet'!$B$10,Paramètres!$A$1:$I$89,5,0)</f>
        <v>4.7044799755127045</v>
      </c>
      <c r="AK8" s="13">
        <f t="shared" si="35"/>
        <v>1.8104366638895204</v>
      </c>
      <c r="AL8" s="20">
        <f t="shared" si="4"/>
        <v>11.346813146958874</v>
      </c>
      <c r="AM8" s="59">
        <f t="shared" si="5"/>
        <v>304.68014648029219</v>
      </c>
      <c r="AN8" s="59">
        <f ca="1">AVERAGE(OFFSET($AM$3,0,0,'Données projet'!$E$10+1,1))-AVERAGE(OFFSET($H$3,0,0,'Données projet'!$E$10+1,1))</f>
        <v>208.92731420103507</v>
      </c>
      <c r="AO8" s="59">
        <f t="shared" si="36"/>
        <v>247.96048911281395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2.4431850616268127</v>
      </c>
      <c r="BF8" s="13">
        <f t="shared" si="37"/>
        <v>1.0147295516396715</v>
      </c>
      <c r="BG8" s="20">
        <f t="shared" si="7"/>
        <v>6.0225346181057935</v>
      </c>
      <c r="BH8" s="59">
        <f t="shared" si="8"/>
        <v>299.35586795143911</v>
      </c>
      <c r="BI8" s="59">
        <f ca="1">AVERAGE(OFFSET($BH$3,0,0,'Données projet'!$E$11+1,1))-AVERAGE(OFFSET($H$3,0,0,'Données projet'!$E$11+1,1))</f>
        <v>162.3892440844827</v>
      </c>
      <c r="BJ8" s="59">
        <f t="shared" si="38"/>
        <v>198.28846462484438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378.17323480030268</v>
      </c>
      <c r="T9" s="59">
        <f t="shared" si="34"/>
        <v>471.89239871617241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</v>
      </c>
      <c r="AI9" s="13">
        <f>IF('Données projet'!$A$62&gt;35,AI8+AH9-AQ8,IF(A9&lt;'Données projet'!$A$62,$AF$205^A9,IF(A9='Données projet'!$A$62,'Données projet'!$B$62,AI8+AH9-AQ8)))</f>
        <v>7.5411711733776423</v>
      </c>
      <c r="AJ9" s="13">
        <f>AI9*VLOOKUP('Données projet'!$B$10,Paramètres!$A$1:$I$89,3,0)*VLOOKUP('Données projet'!$B$10,Paramètres!$A$1:$I$89,5,0)</f>
        <v>6.5879671370627086</v>
      </c>
      <c r="AK9" s="13">
        <f t="shared" si="35"/>
        <v>2.4378154392387783</v>
      </c>
      <c r="AL9" s="20">
        <f t="shared" si="4"/>
        <v>15.71990465372509</v>
      </c>
      <c r="AM9" s="59">
        <f t="shared" si="5"/>
        <v>309.05323798705842</v>
      </c>
      <c r="AN9" s="59">
        <f ca="1">AVERAGE(OFFSET($AM$3,0,0,'Données projet'!$E$10+1,1))-AVERAGE(OFFSET($H$3,0,0,'Données projet'!$E$10+1,1))</f>
        <v>208.92731420103507</v>
      </c>
      <c r="AO9" s="59">
        <f t="shared" si="36"/>
        <v>247.96048911281395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3.1081584173541552</v>
      </c>
      <c r="BF9" s="13">
        <f t="shared" si="37"/>
        <v>1.2552431053208675</v>
      </c>
      <c r="BG9" s="20">
        <f t="shared" si="7"/>
        <v>7.5995909853256647</v>
      </c>
      <c r="BH9" s="59">
        <f t="shared" si="8"/>
        <v>300.93292431865899</v>
      </c>
      <c r="BI9" s="59">
        <f ca="1">AVERAGE(OFFSET($BH$3,0,0,'Données projet'!$E$11+1,1))-AVERAGE(OFFSET($H$3,0,0,'Données projet'!$E$11+1,1))</f>
        <v>162.3892440844827</v>
      </c>
      <c r="BJ9" s="59">
        <f t="shared" si="38"/>
        <v>198.28846462484438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378.17323480030268</v>
      </c>
      <c r="T10" s="59">
        <f t="shared" si="34"/>
        <v>471.89239871617241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</v>
      </c>
      <c r="AI10" s="13">
        <f>IF('Données projet'!$A$62&gt;35,AI9+AH10-AQ9,IF(A10&lt;'Données projet'!$A$62,$AF$205^A10,IF(A10='Données projet'!$A$62,'Données projet'!$B$62,AI9+AH10-AQ9)))</f>
        <v>10.560356962676241</v>
      </c>
      <c r="AJ10" s="13">
        <f>AI10*VLOOKUP('Données projet'!$B$10,Paramètres!$A$1:$I$89,3,0)*VLOOKUP('Données projet'!$B$10,Paramètres!$A$1:$I$89,5,0)</f>
        <v>9.2255278425939657</v>
      </c>
      <c r="AK10" s="13">
        <f t="shared" si="35"/>
        <v>3.282602608711652</v>
      </c>
      <c r="AL10" s="20">
        <f t="shared" si="4"/>
        <v>21.784993869357283</v>
      </c>
      <c r="AM10" s="59">
        <f t="shared" si="5"/>
        <v>315.11832720269058</v>
      </c>
      <c r="AN10" s="59">
        <f ca="1">AVERAGE(OFFSET($AM$3,0,0,'Données projet'!$E$10+1,1))-AVERAGE(OFFSET($H$3,0,0,'Données projet'!$E$10+1,1))</f>
        <v>208.92731420103507</v>
      </c>
      <c r="AO10" s="59">
        <f t="shared" si="36"/>
        <v>247.96048911281395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3.9541207496319881</v>
      </c>
      <c r="BF10" s="13">
        <f t="shared" si="37"/>
        <v>1.5527637397664751</v>
      </c>
      <c r="BG10" s="20">
        <f t="shared" si="7"/>
        <v>9.5911571523689911</v>
      </c>
      <c r="BH10" s="59">
        <f t="shared" si="8"/>
        <v>302.92449048570228</v>
      </c>
      <c r="BI10" s="59">
        <f ca="1">AVERAGE(OFFSET($BH$3,0,0,'Données projet'!$E$11+1,1))-AVERAGE(OFFSET($H$3,0,0,'Données projet'!$E$11+1,1))</f>
        <v>162.3892440844827</v>
      </c>
      <c r="BJ10" s="59">
        <f t="shared" si="38"/>
        <v>198.28846462484438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378.17323480030268</v>
      </c>
      <c r="T11" s="59">
        <f t="shared" si="34"/>
        <v>471.89239871617241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</v>
      </c>
      <c r="AI11" s="13">
        <f>IF('Données projet'!$A$62&gt;35,AI10+AH11-AQ10,IF(A11&lt;'Données projet'!$A$62,$AF$205^A11,IF(A11='Données projet'!$A$62,'Données projet'!$B$62,AI10+AH11-AQ10)))</f>
        <v>14.7883049748087</v>
      </c>
      <c r="AJ11" s="13">
        <f>AI11*VLOOKUP('Données projet'!$B$10,Paramètres!$A$1:$I$89,3,0)*VLOOKUP('Données projet'!$B$10,Paramètres!$A$1:$I$89,5,0)</f>
        <v>12.919063225992881</v>
      </c>
      <c r="AK11" s="13">
        <f t="shared" si="35"/>
        <v>4.4201376828121335</v>
      </c>
      <c r="AL11" s="20">
        <f t="shared" si="4"/>
        <v>30.199108249502064</v>
      </c>
      <c r="AM11" s="59">
        <f t="shared" si="5"/>
        <v>323.53244158283536</v>
      </c>
      <c r="AN11" s="59">
        <f ca="1">AVERAGE(OFFSET($AM$3,0,0,'Données projet'!$E$10+1,1))-AVERAGE(OFFSET($H$3,0,0,'Données projet'!$E$10+1,1))</f>
        <v>208.92731420103507</v>
      </c>
      <c r="AO11" s="59">
        <f t="shared" si="36"/>
        <v>247.96048911281395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5.0303326932671979</v>
      </c>
      <c r="BF11" s="13">
        <f t="shared" si="37"/>
        <v>1.9208034055819379</v>
      </c>
      <c r="BG11" s="20">
        <f t="shared" si="7"/>
        <v>12.106562038828912</v>
      </c>
      <c r="BH11" s="59">
        <f t="shared" si="8"/>
        <v>305.43989537216225</v>
      </c>
      <c r="BI11" s="59">
        <f ca="1">AVERAGE(OFFSET($BH$3,0,0,'Données projet'!$E$11+1,1))-AVERAGE(OFFSET($H$3,0,0,'Données projet'!$E$11+1,1))</f>
        <v>162.3892440844827</v>
      </c>
      <c r="BJ11" s="59">
        <f t="shared" si="38"/>
        <v>198.28846462484438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378.17323480030268</v>
      </c>
      <c r="T12" s="59">
        <f t="shared" si="34"/>
        <v>471.89239871617241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</v>
      </c>
      <c r="AI12" s="13">
        <f>IF('Données projet'!$A$62&gt;35,AI11+AH12-AQ11,IF(A12&lt;'Données projet'!$A$62,$AF$205^A12,IF(A12='Données projet'!$A$62,'Données projet'!$B$62,AI11+AH12-AQ11)))</f>
        <v>20.708955653761308</v>
      </c>
      <c r="AJ12" s="13">
        <f>AI12*VLOOKUP('Données projet'!$B$10,Paramètres!$A$1:$I$89,3,0)*VLOOKUP('Données projet'!$B$10,Paramètres!$A$1:$I$89,5,0)</f>
        <v>18.091343659125879</v>
      </c>
      <c r="AK12" s="13">
        <f t="shared" si="35"/>
        <v>5.9518679121149844</v>
      </c>
      <c r="AL12" s="20">
        <f t="shared" si="4"/>
        <v>41.875260153244504</v>
      </c>
      <c r="AM12" s="59">
        <f t="shared" si="5"/>
        <v>335.2085934865778</v>
      </c>
      <c r="AN12" s="59">
        <f ca="1">AVERAGE(OFFSET($AM$3,0,0,'Données projet'!$E$10+1,1))-AVERAGE(OFFSET($H$3,0,0,'Données projet'!$E$10+1,1))</f>
        <v>208.92731420103507</v>
      </c>
      <c r="AO12" s="59">
        <f t="shared" si="36"/>
        <v>247.96048911281395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6.399462385489338</v>
      </c>
      <c r="BF12" s="13">
        <f t="shared" si="37"/>
        <v>2.3760766872686268</v>
      </c>
      <c r="BG12" s="20">
        <f t="shared" si="7"/>
        <v>15.284063885053456</v>
      </c>
      <c r="BH12" s="59">
        <f t="shared" si="8"/>
        <v>308.61739721838677</v>
      </c>
      <c r="BI12" s="59">
        <f ca="1">AVERAGE(OFFSET($BH$3,0,0,'Données projet'!$E$11+1,1))-AVERAGE(OFFSET($H$3,0,0,'Données projet'!$E$11+1,1))</f>
        <v>162.3892440844827</v>
      </c>
      <c r="BJ12" s="59">
        <f t="shared" si="38"/>
        <v>198.28846462484438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378.17323480030268</v>
      </c>
      <c r="T13" s="59">
        <f t="shared" si="34"/>
        <v>471.89239871617241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29</v>
      </c>
      <c r="AG13" s="12">
        <f>VLOOKUP(A13,'Données projet'!$A$61:$I$81,9,0)</f>
        <v>2.9</v>
      </c>
      <c r="AH13" s="12">
        <f t="array" ref="AH13">INDEX(AG:AG,MIN(IF(ISNUMBER(AG13:AG209),ROW(AG13:AG209),"")))</f>
        <v>2.9</v>
      </c>
      <c r="AI13" s="13">
        <f>IF('Données projet'!$A$62&gt;35,AI12+AH13-AQ12,IF(A13&lt;'Données projet'!$A$62,$AF$205^A13,IF(A13='Données projet'!$A$62,'Données projet'!$B$62,AI12+AH13-AQ12)))</f>
        <v>29</v>
      </c>
      <c r="AJ13" s="13">
        <f>AI13*VLOOKUP('Données projet'!$B$10,Paramètres!$A$1:$I$89,3,0)*VLOOKUP('Données projet'!$B$10,Paramètres!$A$1:$I$89,5,0)</f>
        <v>25.334400000000002</v>
      </c>
      <c r="AK13" s="13">
        <f t="shared" si="35"/>
        <v>8.0143955200794572</v>
      </c>
      <c r="AL13" s="20">
        <f t="shared" si="4"/>
        <v>58.082485530805059</v>
      </c>
      <c r="AM13" s="59">
        <f t="shared" si="5"/>
        <v>351.41581886413837</v>
      </c>
      <c r="AN13" s="59">
        <f ca="1">AVERAGE(OFFSET($AM$3,0,0,'Données projet'!$E$10+1,1))-AVERAGE(OFFSET($H$3,0,0,'Données projet'!$E$10+1,1))</f>
        <v>208.92731420103507</v>
      </c>
      <c r="AO13" s="59">
        <f t="shared" si="36"/>
        <v>247.96048911281395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8.1412346499678296</v>
      </c>
      <c r="BF13" s="13">
        <f t="shared" si="37"/>
        <v>2.9392598989436851</v>
      </c>
      <c r="BG13" s="20">
        <f t="shared" si="7"/>
        <v>19.298528006020888</v>
      </c>
      <c r="BH13" s="59">
        <f t="shared" si="8"/>
        <v>312.6318613393542</v>
      </c>
      <c r="BI13" s="59">
        <f ca="1">AVERAGE(OFFSET($BH$3,0,0,'Données projet'!$E$11+1,1))-AVERAGE(OFFSET($H$3,0,0,'Données projet'!$E$11+1,1))</f>
        <v>162.3892440844827</v>
      </c>
      <c r="BJ13" s="59">
        <f t="shared" si="38"/>
        <v>198.28846462484438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378.17323480030268</v>
      </c>
      <c r="T14" s="59">
        <f t="shared" si="34"/>
        <v>471.89239871617241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8.8000000000000007</v>
      </c>
      <c r="AI14" s="13">
        <f>IF('Données projet'!$A$62&gt;35,AI13+AH14-AQ13,IF(A14&lt;'Données projet'!$A$62,$AF$205^A14,IF(A14='Données projet'!$A$62,'Données projet'!$B$62,AI13+AH14-AQ13)))</f>
        <v>37.799999999999997</v>
      </c>
      <c r="AJ14" s="13">
        <f>AI14*VLOOKUP('Données projet'!$B$10,Paramètres!$A$1:$I$89,3,0)*VLOOKUP('Données projet'!$B$10,Paramètres!$A$1:$I$89,5,0)</f>
        <v>33.022080000000003</v>
      </c>
      <c r="AK14" s="13">
        <f t="shared" si="35"/>
        <v>10.129025278332465</v>
      </c>
      <c r="AL14" s="20">
        <f t="shared" si="4"/>
        <v>75.154841693095705</v>
      </c>
      <c r="AM14" s="59">
        <f t="shared" si="5"/>
        <v>368.48817502642902</v>
      </c>
      <c r="AN14" s="59">
        <f ca="1">AVERAGE(OFFSET($AM$3,0,0,'Données projet'!$E$10+1,1))-AVERAGE(OFFSET($H$3,0,0,'Données projet'!$E$10+1,1))</f>
        <v>208.92731420103507</v>
      </c>
      <c r="AO14" s="59">
        <f t="shared" si="36"/>
        <v>247.96048911281395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10.357073396684818</v>
      </c>
      <c r="BF14" s="13">
        <f t="shared" si="37"/>
        <v>3.6359301026893722</v>
      </c>
      <c r="BG14" s="20">
        <f t="shared" si="7"/>
        <v>24.371147761410047</v>
      </c>
      <c r="BH14" s="59">
        <f t="shared" si="8"/>
        <v>317.70448109474336</v>
      </c>
      <c r="BI14" s="59">
        <f ca="1">AVERAGE(OFFSET($BH$3,0,0,'Données projet'!$E$11+1,1))-AVERAGE(OFFSET($H$3,0,0,'Données projet'!$E$11+1,1))</f>
        <v>162.3892440844827</v>
      </c>
      <c r="BJ14" s="59">
        <f t="shared" si="38"/>
        <v>198.28846462484438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378.17323480030268</v>
      </c>
      <c r="T15" s="59">
        <f t="shared" si="34"/>
        <v>471.89239871617241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8.8000000000000007</v>
      </c>
      <c r="AI15" s="13">
        <f>IF('Données projet'!$A$62&gt;35,AI14+AH15-AQ14,IF(A15&lt;'Données projet'!$A$62,$AF$205^A15,IF(A15='Données projet'!$A$62,'Données projet'!$B$62,AI14+AH15-AQ14)))</f>
        <v>46.599999999999994</v>
      </c>
      <c r="AJ15" s="13">
        <f>AI15*VLOOKUP('Données projet'!$B$10,Paramètres!$A$1:$I$89,3,0)*VLOOKUP('Données projet'!$B$10,Paramètres!$A$1:$I$89,5,0)</f>
        <v>40.709760000000003</v>
      </c>
      <c r="AK15" s="13">
        <f t="shared" si="35"/>
        <v>12.186575870088381</v>
      </c>
      <c r="AL15" s="20">
        <f t="shared" si="4"/>
        <v>92.127784973737278</v>
      </c>
      <c r="AM15" s="59">
        <f t="shared" si="5"/>
        <v>385.46111830707059</v>
      </c>
      <c r="AN15" s="59">
        <f ca="1">AVERAGE(OFFSET($AM$3,0,0,'Données projet'!$E$10+1,1))-AVERAGE(OFFSET($H$3,0,0,'Données projet'!$E$10+1,1))</f>
        <v>208.92731420103507</v>
      </c>
      <c r="AO15" s="59">
        <f t="shared" si="36"/>
        <v>247.96048911281395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13.176007565970389</v>
      </c>
      <c r="BF15" s="13">
        <f t="shared" si="37"/>
        <v>4.4977266952111856</v>
      </c>
      <c r="BG15" s="20">
        <f t="shared" si="7"/>
        <v>30.781753838224574</v>
      </c>
      <c r="BH15" s="59">
        <f t="shared" si="8"/>
        <v>324.11508717155789</v>
      </c>
      <c r="BI15" s="59">
        <f ca="1">AVERAGE(OFFSET($BH$3,0,0,'Données projet'!$E$11+1,1))-AVERAGE(OFFSET($H$3,0,0,'Données projet'!$E$11+1,1))</f>
        <v>162.3892440844827</v>
      </c>
      <c r="BJ15" s="59">
        <f t="shared" si="38"/>
        <v>198.28846462484438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378.17323480030268</v>
      </c>
      <c r="T16" s="59">
        <f t="shared" si="34"/>
        <v>471.89239871617241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8.8000000000000007</v>
      </c>
      <c r="AI16" s="13">
        <f>IF('Données projet'!$A$62&gt;35,AI15+AH16-AQ15,IF(A16&lt;'Données projet'!$A$62,$AF$205^A16,IF(A16='Données projet'!$A$62,'Données projet'!$B$62,AI15+AH16-AQ15)))</f>
        <v>55.399999999999991</v>
      </c>
      <c r="AJ16" s="13">
        <f>AI16*VLOOKUP('Données projet'!$B$10,Paramètres!$A$1:$I$89,3,0)*VLOOKUP('Données projet'!$B$10,Paramètres!$A$1:$I$89,5,0)</f>
        <v>48.397439999999996</v>
      </c>
      <c r="AK16" s="13">
        <f t="shared" si="35"/>
        <v>14.199110166340073</v>
      </c>
      <c r="AL16" s="20">
        <f t="shared" si="4"/>
        <v>109.02232487304228</v>
      </c>
      <c r="AM16" s="59">
        <f t="shared" si="5"/>
        <v>402.35565820637561</v>
      </c>
      <c r="AN16" s="59">
        <f ca="1">AVERAGE(OFFSET($AM$3,0,0,'Données projet'!$E$10+1,1))-AVERAGE(OFFSET($H$3,0,0,'Données projet'!$E$10+1,1))</f>
        <v>208.92731420103507</v>
      </c>
      <c r="AO16" s="59">
        <f t="shared" si="36"/>
        <v>247.96048911281395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16.762184521553994</v>
      </c>
      <c r="BF16" s="13">
        <f t="shared" si="37"/>
        <v>5.5637883164619248</v>
      </c>
      <c r="BG16" s="20">
        <f t="shared" si="7"/>
        <v>38.884402692877721</v>
      </c>
      <c r="BH16" s="59">
        <f t="shared" si="8"/>
        <v>332.21773602621101</v>
      </c>
      <c r="BI16" s="59">
        <f ca="1">AVERAGE(OFFSET($BH$3,0,0,'Données projet'!$E$11+1,1))-AVERAGE(OFFSET($H$3,0,0,'Données projet'!$E$11+1,1))</f>
        <v>162.3892440844827</v>
      </c>
      <c r="BJ16" s="59">
        <f t="shared" si="38"/>
        <v>198.28846462484438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378.17323480030268</v>
      </c>
      <c r="T17" s="59">
        <f t="shared" si="34"/>
        <v>471.89239871617241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8.8000000000000007</v>
      </c>
      <c r="AI17" s="13">
        <f>IF('Données projet'!$A$62&gt;35,AI16+AH17-AQ16,IF(A17&lt;'Données projet'!$A$62,$AF$205^A17,IF(A17='Données projet'!$A$62,'Données projet'!$B$62,AI16+AH17-AQ16)))</f>
        <v>64.199999999999989</v>
      </c>
      <c r="AJ17" s="13">
        <f>AI17*VLOOKUP('Données projet'!$B$10,Paramètres!$A$1:$I$89,3,0)*VLOOKUP('Données projet'!$B$10,Paramètres!$A$1:$I$89,5,0)</f>
        <v>56.085119999999996</v>
      </c>
      <c r="AK17" s="13">
        <f t="shared" si="35"/>
        <v>16.174611252215492</v>
      </c>
      <c r="AL17" s="20">
        <f t="shared" si="4"/>
        <v>125.85236526427531</v>
      </c>
      <c r="AM17" s="59">
        <f t="shared" si="5"/>
        <v>419.18569859760862</v>
      </c>
      <c r="AN17" s="59">
        <f ca="1">AVERAGE(OFFSET($AM$3,0,0,'Données projet'!$E$10+1,1))-AVERAGE(OFFSET($H$3,0,0,'Données projet'!$E$10+1,1))</f>
        <v>208.92731420103507</v>
      </c>
      <c r="AO17" s="59">
        <f t="shared" si="36"/>
        <v>247.96048911281395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21.324428399713909</v>
      </c>
      <c r="BF17" s="13">
        <f t="shared" si="37"/>
        <v>6.8825303376831179</v>
      </c>
      <c r="BG17" s="20">
        <f t="shared" si="7"/>
        <v>49.127119800966483</v>
      </c>
      <c r="BH17" s="59">
        <f t="shared" si="8"/>
        <v>342.46045313429977</v>
      </c>
      <c r="BI17" s="59">
        <f ca="1">AVERAGE(OFFSET($BH$3,0,0,'Données projet'!$E$11+1,1))-AVERAGE(OFFSET($H$3,0,0,'Données projet'!$E$11+1,1))</f>
        <v>162.3892440844827</v>
      </c>
      <c r="BJ17" s="59">
        <f t="shared" si="38"/>
        <v>198.28846462484438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378.17323480030268</v>
      </c>
      <c r="T18" s="59">
        <f t="shared" si="34"/>
        <v>471.89239871617241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73</v>
      </c>
      <c r="AG18" s="12">
        <f>VLOOKUP(A18,'Données projet'!$A$61:$I$81,9,0)</f>
        <v>8.8000000000000007</v>
      </c>
      <c r="AH18" s="12">
        <f t="array" ref="AH18">INDEX(AG:AG,MIN(IF(ISNUMBER(AG18:AG214),ROW(AG18:AG214),"")))</f>
        <v>8.8000000000000007</v>
      </c>
      <c r="AI18" s="13">
        <f>IF('Données projet'!$A$62&gt;35,AI17+AH18-AQ17,IF(A18&lt;'Données projet'!$A$62,$AF$205^A18,IF(A18='Données projet'!$A$62,'Données projet'!$B$62,AI17+AH18-AQ17)))</f>
        <v>72.999999999999986</v>
      </c>
      <c r="AJ18" s="13">
        <f>AI18*VLOOKUP('Données projet'!$B$10,Paramètres!$A$1:$I$89,3,0)*VLOOKUP('Données projet'!$B$10,Paramètres!$A$1:$I$89,5,0)</f>
        <v>63.772799999999997</v>
      </c>
      <c r="AK18" s="13">
        <f t="shared" si="35"/>
        <v>18.118739450759566</v>
      </c>
      <c r="AL18" s="20">
        <f t="shared" si="4"/>
        <v>142.62776454340624</v>
      </c>
      <c r="AM18" s="59">
        <f t="shared" si="5"/>
        <v>435.96109787673959</v>
      </c>
      <c r="AN18" s="59">
        <f ca="1">AVERAGE(OFFSET($AM$3,0,0,'Données projet'!$E$10+1,1))-AVERAGE(OFFSET($H$3,0,0,'Données projet'!$E$10+1,1))</f>
        <v>208.92731420103507</v>
      </c>
      <c r="AO18" s="59">
        <f t="shared" si="36"/>
        <v>247.96048911281395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27.128400000000003</v>
      </c>
      <c r="BF18" s="13">
        <f t="shared" si="37"/>
        <v>8.5138436537878839</v>
      </c>
      <c r="BG18" s="20">
        <f t="shared" si="7"/>
        <v>62.076907697013901</v>
      </c>
      <c r="BH18" s="59">
        <f t="shared" si="8"/>
        <v>355.41024103034721</v>
      </c>
      <c r="BI18" s="59">
        <f ca="1">AVERAGE(OFFSET($BH$3,0,0,'Données projet'!$E$11+1,1))-AVERAGE(OFFSET($H$3,0,0,'Données projet'!$E$11+1,1))</f>
        <v>162.3892440844827</v>
      </c>
      <c r="BJ18" s="59">
        <f t="shared" si="38"/>
        <v>198.28846462484438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378.17323480030268</v>
      </c>
      <c r="T19" s="59">
        <f t="shared" si="34"/>
        <v>471.89239871617241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11.2</v>
      </c>
      <c r="AI19" s="13">
        <f>IF('Données projet'!$A$62&gt;35,AI18+AH19-AQ18,IF(A19&lt;'Données projet'!$A$62,$AF$205^A19,IF(A19='Données projet'!$A$62,'Données projet'!$B$62,AI18+AH19-AQ18)))</f>
        <v>84.199999999999989</v>
      </c>
      <c r="AJ19" s="13">
        <f>AI19*VLOOKUP('Données projet'!$B$10,Paramètres!$A$1:$I$89,3,0)*VLOOKUP('Données projet'!$B$10,Paramètres!$A$1:$I$89,5,0)</f>
        <v>73.557119999999998</v>
      </c>
      <c r="AK19" s="13">
        <f t="shared" si="35"/>
        <v>20.554251427792224</v>
      </c>
      <c r="AL19" s="20">
        <f t="shared" si="4"/>
        <v>163.91063857007143</v>
      </c>
      <c r="AM19" s="59">
        <f t="shared" si="5"/>
        <v>457.24397190340471</v>
      </c>
      <c r="AN19" s="59">
        <f ca="1">AVERAGE(OFFSET($AM$3,0,0,'Données projet'!$E$10+1,1))-AVERAGE(OFFSET($H$3,0,0,'Données projet'!$E$10+1,1))</f>
        <v>208.92731420103507</v>
      </c>
      <c r="AO19" s="59">
        <f t="shared" si="36"/>
        <v>247.96048911281395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8.6</v>
      </c>
      <c r="BD19" s="12">
        <f>IF('Données projet'!$A$88&gt;35,BD18+BC19-BL18,IF(A19&lt;'Données projet'!$A$88,$BA$205^A19,IF(A19='Données projet'!$A$88,'Données projet'!$B$88,BD18+BC19-BL18)))</f>
        <v>45.6</v>
      </c>
      <c r="BE19" s="13">
        <f>BD19*VLOOKUP('Données projet'!$B$11,Paramètres!$A$1:$I$89,3,0)*VLOOKUP('Données projet'!$B$11,Paramètres!$A$1:$I$89,5,0)</f>
        <v>33.433920000000001</v>
      </c>
      <c r="BF19" s="13">
        <f t="shared" si="37"/>
        <v>10.240566030666143</v>
      </c>
      <c r="BG19" s="20">
        <f t="shared" si="7"/>
        <v>76.066396503410189</v>
      </c>
      <c r="BH19" s="59">
        <f t="shared" si="8"/>
        <v>369.39972983674352</v>
      </c>
      <c r="BI19" s="59">
        <f ca="1">AVERAGE(OFFSET($BH$3,0,0,'Données projet'!$E$11+1,1))-AVERAGE(OFFSET($H$3,0,0,'Données projet'!$E$11+1,1))</f>
        <v>162.3892440844827</v>
      </c>
      <c r="BJ19" s="59">
        <f t="shared" si="38"/>
        <v>198.28846462484438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378.17323480030268</v>
      </c>
      <c r="T20" s="59">
        <f t="shared" si="34"/>
        <v>471.89239871617241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11.2</v>
      </c>
      <c r="AI20" s="13">
        <f>IF('Données projet'!$A$62&gt;35,AI19+AH20-AQ19,IF(A20&lt;'Données projet'!$A$62,$AF$205^A20,IF(A20='Données projet'!$A$62,'Données projet'!$B$62,AI19+AH20-AQ19)))</f>
        <v>95.399999999999991</v>
      </c>
      <c r="AJ20" s="13">
        <f>AI20*VLOOKUP('Données projet'!$B$10,Paramètres!$A$1:$I$89,3,0)*VLOOKUP('Données projet'!$B$10,Paramètres!$A$1:$I$89,5,0)</f>
        <v>83.341440000000006</v>
      </c>
      <c r="AK20" s="13">
        <f t="shared" si="35"/>
        <v>22.952227742446681</v>
      </c>
      <c r="AL20" s="20">
        <f t="shared" si="4"/>
        <v>185.12813798476131</v>
      </c>
      <c r="AM20" s="59">
        <f t="shared" si="5"/>
        <v>478.4614713180946</v>
      </c>
      <c r="AN20" s="59">
        <f ca="1">AVERAGE(OFFSET($AM$3,0,0,'Données projet'!$E$10+1,1))-AVERAGE(OFFSET($H$3,0,0,'Données projet'!$E$10+1,1))</f>
        <v>208.92731420103507</v>
      </c>
      <c r="AO20" s="59">
        <f t="shared" si="36"/>
        <v>247.96048911281395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8.6</v>
      </c>
      <c r="BD20" s="12">
        <f>IF('Données projet'!$A$88&gt;35,BD19+BC20-BL19,IF(A20&lt;'Données projet'!$A$88,$BA$205^A20,IF(A20='Données projet'!$A$88,'Données projet'!$B$88,BD19+BC20-BL19)))</f>
        <v>54.2</v>
      </c>
      <c r="BE20" s="13">
        <f>BD20*VLOOKUP('Données projet'!$B$11,Paramètres!$A$1:$I$89,3,0)*VLOOKUP('Données projet'!$B$11,Paramètres!$A$1:$I$89,5,0)</f>
        <v>39.739440000000002</v>
      </c>
      <c r="BF20" s="13">
        <f t="shared" si="37"/>
        <v>11.929559204083212</v>
      </c>
      <c r="BG20" s="20">
        <f t="shared" si="7"/>
        <v>89.990173613778268</v>
      </c>
      <c r="BH20" s="59">
        <f t="shared" si="8"/>
        <v>383.32350694711158</v>
      </c>
      <c r="BI20" s="59">
        <f ca="1">AVERAGE(OFFSET($BH$3,0,0,'Données projet'!$E$11+1,1))-AVERAGE(OFFSET($H$3,0,0,'Données projet'!$E$11+1,1))</f>
        <v>162.3892440844827</v>
      </c>
      <c r="BJ20" s="59">
        <f t="shared" si="38"/>
        <v>198.28846462484438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378.17323480030268</v>
      </c>
      <c r="T21" s="59">
        <f t="shared" si="34"/>
        <v>471.89239871617241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11.2</v>
      </c>
      <c r="AI21" s="13">
        <f>IF('Données projet'!$A$62&gt;35,AI20+AH21-AQ20,IF(A21&lt;'Données projet'!$A$62,$AF$205^A21,IF(A21='Données projet'!$A$62,'Données projet'!$B$62,AI20+AH21-AQ20)))</f>
        <v>106.6</v>
      </c>
      <c r="AJ21" s="13">
        <f>AI21*VLOOKUP('Données projet'!$B$10,Paramètres!$A$1:$I$89,3,0)*VLOOKUP('Données projet'!$B$10,Paramètres!$A$1:$I$89,5,0)</f>
        <v>93.125760000000014</v>
      </c>
      <c r="AK21" s="13">
        <f t="shared" si="35"/>
        <v>25.317578585717406</v>
      </c>
      <c r="AL21" s="20">
        <f t="shared" si="4"/>
        <v>206.2888147034578</v>
      </c>
      <c r="AM21" s="59">
        <f t="shared" si="5"/>
        <v>499.62214803679115</v>
      </c>
      <c r="AN21" s="59">
        <f ca="1">AVERAGE(OFFSET($AM$3,0,0,'Données projet'!$E$10+1,1))-AVERAGE(OFFSET($H$3,0,0,'Données projet'!$E$10+1,1))</f>
        <v>208.92731420103507</v>
      </c>
      <c r="AO21" s="59">
        <f t="shared" si="36"/>
        <v>247.96048911281395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8.6</v>
      </c>
      <c r="BD21" s="12">
        <f>IF('Données projet'!$A$88&gt;35,BD20+BC21-BL20,IF(A21&lt;'Données projet'!$A$88,$BA$205^A21,IF(A21='Données projet'!$A$88,'Données projet'!$B$88,BD20+BC21-BL20)))</f>
        <v>62.800000000000004</v>
      </c>
      <c r="BE21" s="13">
        <f>BD21*VLOOKUP('Données projet'!$B$11,Paramètres!$A$1:$I$89,3,0)*VLOOKUP('Données projet'!$B$11,Paramètres!$A$1:$I$89,5,0)</f>
        <v>46.044960000000003</v>
      </c>
      <c r="BF21" s="13">
        <f t="shared" si="37"/>
        <v>13.587506612670687</v>
      </c>
      <c r="BG21" s="20">
        <f t="shared" si="7"/>
        <v>103.85987935040144</v>
      </c>
      <c r="BH21" s="59">
        <f t="shared" si="8"/>
        <v>397.19321268373477</v>
      </c>
      <c r="BI21" s="59">
        <f ca="1">AVERAGE(OFFSET($BH$3,0,0,'Données projet'!$E$11+1,1))-AVERAGE(OFFSET($H$3,0,0,'Données projet'!$E$11+1,1))</f>
        <v>162.3892440844827</v>
      </c>
      <c r="BJ21" s="59">
        <f t="shared" si="38"/>
        <v>198.28846462484438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378.17323480030268</v>
      </c>
      <c r="T22" s="59">
        <f t="shared" si="34"/>
        <v>471.89239871617241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0.30800000000000005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11.2</v>
      </c>
      <c r="AI22" s="13">
        <f>IF('Données projet'!$A$62&gt;35,AI21+AH22-AQ21,IF(A22&lt;'Données projet'!$A$62,$AF$205^A22,IF(A22='Données projet'!$A$62,'Données projet'!$B$62,AI21+AH22-AQ21)))</f>
        <v>117.8</v>
      </c>
      <c r="AJ22" s="13">
        <f>AI22*VLOOKUP('Données projet'!$B$10,Paramètres!$A$1:$I$89,3,0)*VLOOKUP('Données projet'!$B$10,Paramètres!$A$1:$I$89,5,0)</f>
        <v>102.91008000000001</v>
      </c>
      <c r="AK22" s="13">
        <f t="shared" si="35"/>
        <v>27.654122306790427</v>
      </c>
      <c r="AL22" s="20">
        <f t="shared" si="4"/>
        <v>227.39931901765999</v>
      </c>
      <c r="AM22" s="59">
        <f t="shared" si="5"/>
        <v>520.73265235099325</v>
      </c>
      <c r="AN22" s="59">
        <f ca="1">AVERAGE(OFFSET($AM$3,0,0,'Données projet'!$E$10+1,1))-AVERAGE(OFFSET($H$3,0,0,'Données projet'!$E$10+1,1))</f>
        <v>208.92731420103507</v>
      </c>
      <c r="AO22" s="59">
        <f t="shared" si="36"/>
        <v>247.96048911281395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8.6</v>
      </c>
      <c r="BD22" s="12">
        <f>IF('Données projet'!$A$88&gt;35,BD21+BC22-BL21,IF(A22&lt;'Données projet'!$A$88,$BA$205^A22,IF(A22='Données projet'!$A$88,'Données projet'!$B$88,BD21+BC22-BL21)))</f>
        <v>71.400000000000006</v>
      </c>
      <c r="BE22" s="13">
        <f>BD22*VLOOKUP('Données projet'!$B$11,Paramètres!$A$1:$I$89,3,0)*VLOOKUP('Données projet'!$B$11,Paramètres!$A$1:$I$89,5,0)</f>
        <v>52.350480000000005</v>
      </c>
      <c r="BF22" s="13">
        <f t="shared" si="37"/>
        <v>15.219148938422377</v>
      </c>
      <c r="BG22" s="20">
        <f t="shared" si="7"/>
        <v>117.68377040108562</v>
      </c>
      <c r="BH22" s="59">
        <f t="shared" si="8"/>
        <v>411.01710373441892</v>
      </c>
      <c r="BI22" s="59">
        <f ca="1">AVERAGE(OFFSET($BH$3,0,0,'Données projet'!$E$11+1,1))-AVERAGE(OFFSET($H$3,0,0,'Données projet'!$E$11+1,1))</f>
        <v>162.3892440844827</v>
      </c>
      <c r="BJ22" s="59">
        <f t="shared" si="38"/>
        <v>198.28846462484438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378.17323480030268</v>
      </c>
      <c r="T23" s="59">
        <f t="shared" si="34"/>
        <v>471.89239871617241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11.2</v>
      </c>
      <c r="AH23" s="12">
        <f t="array" ref="AH23">INDEX(AG:AG,MIN(IF(ISNUMBER(AG23:AG219),ROW(AG23:AG219),"")))</f>
        <v>11.2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112.69440000000002</v>
      </c>
      <c r="AK23" s="13">
        <f t="shared" si="35"/>
        <v>29.964909381330632</v>
      </c>
      <c r="AL23" s="20">
        <f t="shared" si="4"/>
        <v>248.46496383915087</v>
      </c>
      <c r="AM23" s="59">
        <f t="shared" si="5"/>
        <v>541.79829717248413</v>
      </c>
      <c r="AN23" s="59">
        <f ca="1">AVERAGE(OFFSET($AM$3,0,0,'Données projet'!$E$10+1,1))-AVERAGE(OFFSET($H$3,0,0,'Données projet'!$E$10+1,1))</f>
        <v>208.92731420103507</v>
      </c>
      <c r="AO23" s="59">
        <f t="shared" si="36"/>
        <v>247.96048911281395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80</v>
      </c>
      <c r="BB23" s="12">
        <f>VLOOKUP(A23,'Données projet'!$A$87:$I$107,9,0)</f>
        <v>8.6</v>
      </c>
      <c r="BC23" s="12">
        <f t="array" ref="BC23">INDEX(BB:BB,MIN(IF(ISNUMBER(BB23:BB219),ROW(BB23:BB219),"")))</f>
        <v>8.6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58.655999999999992</v>
      </c>
      <c r="BF23" s="13">
        <f t="shared" si="37"/>
        <v>16.828016909929062</v>
      </c>
      <c r="BG23" s="20">
        <f t="shared" si="7"/>
        <v>131.46799611812642</v>
      </c>
      <c r="BH23" s="59">
        <f t="shared" si="8"/>
        <v>424.80132945145976</v>
      </c>
      <c r="BI23" s="59">
        <f ca="1">AVERAGE(OFFSET($BH$3,0,0,'Données projet'!$E$11+1,1))-AVERAGE(OFFSET($H$3,0,0,'Données projet'!$E$11+1,1))</f>
        <v>162.3892440844827</v>
      </c>
      <c r="BJ23" s="59">
        <f t="shared" si="38"/>
        <v>198.28846462484438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378.17323480030268</v>
      </c>
      <c r="T24" s="59">
        <f t="shared" si="34"/>
        <v>471.89239871617241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-0.6</v>
      </c>
      <c r="AI24" s="13">
        <f>IF('Données projet'!$A$62&gt;35,AI23+AH24-AQ23,IF(A24&lt;'Données projet'!$A$62,$AF$205^A24,IF(A24='Données projet'!$A$62,'Données projet'!$B$62,AI23+AH24-AQ23)))</f>
        <v>128.4</v>
      </c>
      <c r="AJ24" s="13">
        <f>AI24*VLOOKUP('Données projet'!$B$10,Paramètres!$A$1:$I$89,3,0)*VLOOKUP('Données projet'!$B$10,Paramètres!$A$1:$I$89,5,0)</f>
        <v>112.17024000000002</v>
      </c>
      <c r="AK24" s="13">
        <f t="shared" si="35"/>
        <v>29.841727178418456</v>
      </c>
      <c r="AL24" s="20">
        <f t="shared" si="4"/>
        <v>247.33750950241213</v>
      </c>
      <c r="AM24" s="59">
        <f t="shared" si="5"/>
        <v>540.67084283574547</v>
      </c>
      <c r="AN24" s="59">
        <f ca="1">AVERAGE(OFFSET($AM$3,0,0,'Données projet'!$E$10+1,1))-AVERAGE(OFFSET($H$3,0,0,'Données projet'!$E$10+1,1))</f>
        <v>208.92731420103507</v>
      </c>
      <c r="AO24" s="59">
        <f t="shared" si="36"/>
        <v>247.96048911281395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</v>
      </c>
      <c r="BD24" s="12">
        <f>IF('Données projet'!$A$88&gt;35,BD23+BC24-BL23,IF(A24&lt;'Données projet'!$A$88,$BA$205^A24,IF(A24='Données projet'!$A$88,'Données projet'!$B$88,BD23+BC24-BL23)))</f>
        <v>87</v>
      </c>
      <c r="BE24" s="13">
        <f>BD24*VLOOKUP('Données projet'!$B$11,Paramètres!$A$1:$I$89,3,0)*VLOOKUP('Données projet'!$B$11,Paramètres!$A$1:$I$89,5,0)</f>
        <v>63.788400000000003</v>
      </c>
      <c r="BF24" s="13">
        <f t="shared" si="37"/>
        <v>18.122655666579625</v>
      </c>
      <c r="BG24" s="20">
        <f t="shared" si="7"/>
        <v>142.66175528595952</v>
      </c>
      <c r="BH24" s="59">
        <f t="shared" si="8"/>
        <v>435.9950886192928</v>
      </c>
      <c r="BI24" s="59">
        <f ca="1">AVERAGE(OFFSET($BH$3,0,0,'Données projet'!$E$11+1,1))-AVERAGE(OFFSET($H$3,0,0,'Données projet'!$E$11+1,1))</f>
        <v>162.3892440844827</v>
      </c>
      <c r="BJ24" s="59">
        <f t="shared" si="38"/>
        <v>198.28846462484438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378.17323480030268</v>
      </c>
      <c r="T25" s="59">
        <f t="shared" si="34"/>
        <v>471.89239871617241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-0.6</v>
      </c>
      <c r="AI25" s="13">
        <f>IF('Données projet'!$A$62&gt;35,AI24+AH25-AQ24,IF(A25&lt;'Données projet'!$A$62,$AF$205^A25,IF(A25='Données projet'!$A$62,'Données projet'!$B$62,AI24+AH25-AQ24)))</f>
        <v>127.80000000000001</v>
      </c>
      <c r="AJ25" s="13">
        <f>AI25*VLOOKUP('Données projet'!$B$10,Paramètres!$A$1:$I$89,3,0)*VLOOKUP('Données projet'!$B$10,Paramètres!$A$1:$I$89,5,0)</f>
        <v>111.64608000000003</v>
      </c>
      <c r="AK25" s="13">
        <f t="shared" si="35"/>
        <v>29.718477955114288</v>
      </c>
      <c r="AL25" s="20">
        <f t="shared" si="4"/>
        <v>246.20993843849078</v>
      </c>
      <c r="AM25" s="59">
        <f t="shared" si="5"/>
        <v>539.54327177182404</v>
      </c>
      <c r="AN25" s="59">
        <f ca="1">AVERAGE(OFFSET($AM$3,0,0,'Données projet'!$E$10+1,1))-AVERAGE(OFFSET($H$3,0,0,'Données projet'!$E$10+1,1))</f>
        <v>208.92731420103507</v>
      </c>
      <c r="AO25" s="59">
        <f t="shared" si="36"/>
        <v>247.96048911281395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</v>
      </c>
      <c r="BD25" s="12">
        <f>IF('Données projet'!$A$88&gt;35,BD24+BC25-BL24,IF(A25&lt;'Données projet'!$A$88,$BA$205^A25,IF(A25='Données projet'!$A$88,'Données projet'!$B$88,BD24+BC25-BL24)))</f>
        <v>94</v>
      </c>
      <c r="BE25" s="13">
        <f>BD25*VLOOKUP('Données projet'!$B$11,Paramètres!$A$1:$I$89,3,0)*VLOOKUP('Données projet'!$B$11,Paramètres!$A$1:$I$89,5,0)</f>
        <v>68.9208</v>
      </c>
      <c r="BF25" s="13">
        <f t="shared" si="37"/>
        <v>19.405212311100517</v>
      </c>
      <c r="BG25" s="20">
        <f t="shared" si="7"/>
        <v>153.83447144183339</v>
      </c>
      <c r="BH25" s="59">
        <f t="shared" si="8"/>
        <v>447.1678047751667</v>
      </c>
      <c r="BI25" s="59">
        <f ca="1">AVERAGE(OFFSET($BH$3,0,0,'Données projet'!$E$11+1,1))-AVERAGE(OFFSET($H$3,0,0,'Données projet'!$E$11+1,1))</f>
        <v>162.3892440844827</v>
      </c>
      <c r="BJ25" s="59">
        <f t="shared" si="38"/>
        <v>198.28846462484438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378.17323480030268</v>
      </c>
      <c r="T26" s="59">
        <f t="shared" si="34"/>
        <v>471.89239871617241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-0.6</v>
      </c>
      <c r="AI26" s="13">
        <f>IF('Données projet'!$A$62&gt;35,AI25+AH26-AQ25,IF(A26&lt;'Données projet'!$A$62,$AF$205^A26,IF(A26='Données projet'!$A$62,'Données projet'!$B$62,AI25+AH26-AQ25)))</f>
        <v>127.20000000000002</v>
      </c>
      <c r="AJ26" s="13">
        <f>AI26*VLOOKUP('Données projet'!$B$10,Paramètres!$A$1:$I$89,3,0)*VLOOKUP('Données projet'!$B$10,Paramètres!$A$1:$I$89,5,0)</f>
        <v>111.12192000000003</v>
      </c>
      <c r="AK26" s="13">
        <f t="shared" si="35"/>
        <v>29.595161360044589</v>
      </c>
      <c r="AL26" s="20">
        <f t="shared" si="4"/>
        <v>245.08225003541108</v>
      </c>
      <c r="AM26" s="59">
        <f t="shared" si="5"/>
        <v>538.41558336874436</v>
      </c>
      <c r="AN26" s="59">
        <f ca="1">AVERAGE(OFFSET($AM$3,0,0,'Données projet'!$E$10+1,1))-AVERAGE(OFFSET($H$3,0,0,'Données projet'!$E$10+1,1))</f>
        <v>208.92731420103507</v>
      </c>
      <c r="AO26" s="59">
        <f t="shared" si="36"/>
        <v>247.96048911281395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</v>
      </c>
      <c r="BD26" s="12">
        <f>IF('Données projet'!$A$88&gt;35,BD25+BC26-BL25,IF(A26&lt;'Données projet'!$A$88,$BA$205^A26,IF(A26='Données projet'!$A$88,'Données projet'!$B$88,BD25+BC26-BL25)))</f>
        <v>101</v>
      </c>
      <c r="BE26" s="13">
        <f>BD26*VLOOKUP('Données projet'!$B$11,Paramètres!$A$1:$I$89,3,0)*VLOOKUP('Données projet'!$B$11,Paramètres!$A$1:$I$89,5,0)</f>
        <v>74.053200000000004</v>
      </c>
      <c r="BF26" s="13">
        <f t="shared" si="37"/>
        <v>20.676688885050559</v>
      </c>
      <c r="BG26" s="20">
        <f t="shared" si="7"/>
        <v>164.98788980812975</v>
      </c>
      <c r="BH26" s="59">
        <f t="shared" si="8"/>
        <v>458.32122314146307</v>
      </c>
      <c r="BI26" s="59">
        <f ca="1">AVERAGE(OFFSET($BH$3,0,0,'Données projet'!$E$11+1,1))-AVERAGE(OFFSET($H$3,0,0,'Données projet'!$E$11+1,1))</f>
        <v>162.3892440844827</v>
      </c>
      <c r="BJ26" s="59">
        <f t="shared" si="38"/>
        <v>198.28846462484438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378.17323480030268</v>
      </c>
      <c r="T27" s="59">
        <f t="shared" si="34"/>
        <v>471.89239871617241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-0.6</v>
      </c>
      <c r="AI27" s="13">
        <f>IF('Données projet'!$A$62&gt;35,AI26+AH27-AQ26,IF(A27&lt;'Données projet'!$A$62,$AF$205^A27,IF(A27='Données projet'!$A$62,'Données projet'!$B$62,AI26+AH27-AQ26)))</f>
        <v>126.60000000000002</v>
      </c>
      <c r="AJ27" s="13">
        <f>AI27*VLOOKUP('Données projet'!$B$10,Paramètres!$A$1:$I$89,3,0)*VLOOKUP('Données projet'!$B$10,Paramètres!$A$1:$I$89,5,0)</f>
        <v>110.59776000000002</v>
      </c>
      <c r="AK27" s="13">
        <f t="shared" si="35"/>
        <v>29.471777038327073</v>
      </c>
      <c r="AL27" s="20">
        <f t="shared" si="4"/>
        <v>243.95444367508637</v>
      </c>
      <c r="AM27" s="59">
        <f t="shared" si="5"/>
        <v>537.28777700841965</v>
      </c>
      <c r="AN27" s="59">
        <f ca="1">AVERAGE(OFFSET($AM$3,0,0,'Données projet'!$E$10+1,1))-AVERAGE(OFFSET($H$3,0,0,'Données projet'!$E$10+1,1))</f>
        <v>208.92731420103507</v>
      </c>
      <c r="AO27" s="59">
        <f t="shared" si="36"/>
        <v>247.96048911281395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</v>
      </c>
      <c r="BD27" s="12">
        <f>IF('Données projet'!$A$88&gt;35,BD26+BC27-BL26,IF(A27&lt;'Données projet'!$A$88,$BA$205^A27,IF(A27='Données projet'!$A$88,'Données projet'!$B$88,BD26+BC27-BL26)))</f>
        <v>108</v>
      </c>
      <c r="BE27" s="13">
        <f>BD27*VLOOKUP('Données projet'!$B$11,Paramètres!$A$1:$I$89,3,0)*VLOOKUP('Données projet'!$B$11,Paramètres!$A$1:$I$89,5,0)</f>
        <v>79.185599999999994</v>
      </c>
      <c r="BF27" s="13">
        <f t="shared" si="37"/>
        <v>21.937940668679424</v>
      </c>
      <c r="BG27" s="20">
        <f t="shared" si="7"/>
        <v>176.12349999795001</v>
      </c>
      <c r="BH27" s="59">
        <f t="shared" si="8"/>
        <v>469.45683333128329</v>
      </c>
      <c r="BI27" s="59">
        <f ca="1">AVERAGE(OFFSET($BH$3,0,0,'Données projet'!$E$11+1,1))-AVERAGE(OFFSET($H$3,0,0,'Données projet'!$E$11+1,1))</f>
        <v>162.3892440844827</v>
      </c>
      <c r="BJ27" s="59">
        <f t="shared" si="38"/>
        <v>198.28846462484438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378.17323480030268</v>
      </c>
      <c r="T28" s="59">
        <f t="shared" si="34"/>
        <v>471.89239871617241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0.11000000000000001</v>
      </c>
      <c r="X28" s="16">
        <f>IF(ISNA(VLOOKUP(A28,'Données projet'!$A$35:$I$55,6,0)),0%,VLOOKUP(A28,'Données projet'!$A$35:$I$55,6,0)*VLOOKUP('Données projet'!$B$9,Paramètres!$A$1:$I$89,7,0))</f>
        <v>0.24750000000000003</v>
      </c>
      <c r="Y28" s="16">
        <f>IF(ISNA(VLOOKUP(A28,'Données projet'!$A$35:$I$55,7,0)),0%,VLOOKUP(A28,'Données projet'!$A$35:$I$55,7,0))</f>
        <v>0.35</v>
      </c>
      <c r="Z28" s="21">
        <f>EXP(-LN(2)/35)*Z27+(1-EXP(-LN(2)/35))/(LN(2)/35)*V28*W28*VLOOKUP('Données projet'!$B$9,Paramètres!$A$1:$I$89,3,0)*0.475*44/12</f>
        <v>4.4048042117087762</v>
      </c>
      <c r="AA28" s="21">
        <f>EXP(-LN(2)/25)*AA27+(1-EXP(-LN(2)/25))/(LN(2)/25)*Calculateur!V28*Calculateur!X28*VLOOKUP('Données projet'!$B$9,Paramètres!$A$1:$I$89,3,0)*0.475*44/12</f>
        <v>9.8717868431219085</v>
      </c>
      <c r="AB28" s="21">
        <f>EXP(-LN(2)/2)*AB27+(1-EXP(-LN(2)/2))/(LN(2)/2)*V28*Y28*VLOOKUP('Données projet'!$B$9,Paramètres!$A$1:$I$89,3,0)*0.475*44/12</f>
        <v>11.962147446596866</v>
      </c>
      <c r="AC28" s="22">
        <f t="shared" si="3"/>
        <v>26.238738501427552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126</v>
      </c>
      <c r="AG28" s="12">
        <f>VLOOKUP(A28,'Données projet'!$A$61:$I$81,9,0)</f>
        <v>-0.6</v>
      </c>
      <c r="AH28" s="12">
        <f t="array" ref="AH28">INDEX(AG:AG,MIN(IF(ISNUMBER(AG28:AG224),ROW(AG28:AG224),"")))</f>
        <v>-0.6</v>
      </c>
      <c r="AI28" s="13">
        <f>IF('Données projet'!$A$62&gt;35,AI27+AH28-AQ27,IF(A28&lt;'Données projet'!$A$62,$AF$205^A28,IF(A28='Données projet'!$A$62,'Données projet'!$B$62,AI27+AH28-AQ27)))</f>
        <v>126.00000000000003</v>
      </c>
      <c r="AJ28" s="13">
        <f>AI28*VLOOKUP('Données projet'!$B$10,Paramètres!$A$1:$I$89,3,0)*VLOOKUP('Données projet'!$B$10,Paramètres!$A$1:$I$89,5,0)</f>
        <v>110.07360000000003</v>
      </c>
      <c r="AK28" s="13">
        <f t="shared" si="35"/>
        <v>29.348324631518828</v>
      </c>
      <c r="AL28" s="20">
        <f t="shared" si="4"/>
        <v>242.82651873322865</v>
      </c>
      <c r="AM28" s="59">
        <f t="shared" si="5"/>
        <v>536.15985206656194</v>
      </c>
      <c r="AN28" s="59">
        <f ca="1">AVERAGE(OFFSET($AM$3,0,0,'Données projet'!$E$10+1,1))-AVERAGE(OFFSET($H$3,0,0,'Données projet'!$E$10+1,1))</f>
        <v>208.92731420103507</v>
      </c>
      <c r="AO28" s="59">
        <f t="shared" si="36"/>
        <v>247.96048911281395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115</v>
      </c>
      <c r="BB28" s="12">
        <f>VLOOKUP(A28,'Données projet'!$A$87:$I$107,9,0)</f>
        <v>7</v>
      </c>
      <c r="BC28" s="12">
        <f t="array" ref="BC28">INDEX(BB:BB,MIN(IF(ISNUMBER(BB28:BB224),ROW(BB28:BB224),"")))</f>
        <v>7</v>
      </c>
      <c r="BD28" s="12">
        <f>IF('Données projet'!$A$88&gt;35,BD27+BC28-BL27,IF(A28&lt;'Données projet'!$A$88,$BA$205^A28,IF(A28='Données projet'!$A$88,'Données projet'!$B$88,BD27+BC28-BL27)))</f>
        <v>115</v>
      </c>
      <c r="BE28" s="13">
        <f>BD28*VLOOKUP('Données projet'!$B$11,Paramètres!$A$1:$I$89,3,0)*VLOOKUP('Données projet'!$B$11,Paramètres!$A$1:$I$89,5,0)</f>
        <v>84.317999999999998</v>
      </c>
      <c r="BF28" s="13">
        <f t="shared" si="37"/>
        <v>23.189705803157239</v>
      </c>
      <c r="BG28" s="20">
        <f t="shared" si="7"/>
        <v>187.24258760716552</v>
      </c>
      <c r="BH28" s="59">
        <f t="shared" si="8"/>
        <v>480.5759209404988</v>
      </c>
      <c r="BI28" s="59">
        <f ca="1">AVERAGE(OFFSET($BH$3,0,0,'Données projet'!$E$11+1,1))-AVERAGE(OFFSET($H$3,0,0,'Données projet'!$E$11+1,1))</f>
        <v>162.3892440844827</v>
      </c>
      <c r="BJ28" s="59">
        <f t="shared" si="38"/>
        <v>198.28846462484438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378.17323480030268</v>
      </c>
      <c r="T29" s="59">
        <f t="shared" si="34"/>
        <v>471.89239871617241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4.3184286877824505</v>
      </c>
      <c r="AA29" s="21">
        <f>EXP(-LN(2)/25)*AA28+(1-EXP(-LN(2)/25))/(LN(2)/25)*Calculateur!V29*Calculateur!X29*VLOOKUP('Données projet'!$B$9,Paramètres!$A$1:$I$89,3,0)*0.475*44/12</f>
        <v>9.6018423127620327</v>
      </c>
      <c r="AB29" s="21">
        <f>EXP(-LN(2)/2)*AB28+(1-EXP(-LN(2)/2))/(LN(2)/2)*V29*Y29*VLOOKUP('Données projet'!$B$9,Paramètres!$A$1:$I$89,3,0)*0.475*44/12</f>
        <v>8.4585155770419895</v>
      </c>
      <c r="AC29" s="22">
        <f t="shared" si="3"/>
        <v>22.378786577586474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4.5999999999999996</v>
      </c>
      <c r="AI29" s="13">
        <f>IF('Données projet'!$A$62&gt;35,AI28+AH29-AQ28,IF(A29&lt;'Données projet'!$A$62,$AF$205^A29,IF(A29='Données projet'!$A$62,'Données projet'!$B$62,AI28+AH29-AQ28)))</f>
        <v>130.60000000000002</v>
      </c>
      <c r="AJ29" s="13">
        <f>AI29*VLOOKUP('Données projet'!$B$10,Paramètres!$A$1:$I$89,3,0)*VLOOKUP('Données projet'!$B$10,Paramètres!$A$1:$I$89,5,0)</f>
        <v>114.09216000000004</v>
      </c>
      <c r="AK29" s="13">
        <f t="shared" si="35"/>
        <v>30.293070235611584</v>
      </c>
      <c r="AL29" s="20">
        <f t="shared" si="4"/>
        <v>251.47094266035688</v>
      </c>
      <c r="AM29" s="59">
        <f t="shared" si="5"/>
        <v>544.80427599369023</v>
      </c>
      <c r="AN29" s="59">
        <f ca="1">AVERAGE(OFFSET($AM$3,0,0,'Données projet'!$E$10+1,1))-AVERAGE(OFFSET($H$3,0,0,'Données projet'!$E$10+1,1))</f>
        <v>208.92731420103507</v>
      </c>
      <c r="AO29" s="59">
        <f t="shared" si="36"/>
        <v>247.96048911281395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6.2</v>
      </c>
      <c r="BD29" s="12">
        <f>IF('Données projet'!$A$88&gt;35,BD28+BC29-BL28,IF(A29&lt;'Données projet'!$A$88,$BA$205^A29,IF(A29='Données projet'!$A$88,'Données projet'!$B$88,BD28+BC29-BL28)))</f>
        <v>121.2</v>
      </c>
      <c r="BE29" s="13">
        <f>BD29*VLOOKUP('Données projet'!$B$11,Paramètres!$A$1:$I$89,3,0)*VLOOKUP('Données projet'!$B$11,Paramètres!$A$1:$I$89,5,0)</f>
        <v>88.863839999999996</v>
      </c>
      <c r="BF29" s="13">
        <f t="shared" si="37"/>
        <v>24.291008285431513</v>
      </c>
      <c r="BG29" s="20">
        <f t="shared" si="7"/>
        <v>197.07802743045988</v>
      </c>
      <c r="BH29" s="59">
        <f t="shared" si="8"/>
        <v>490.4113607637932</v>
      </c>
      <c r="BI29" s="59">
        <f ca="1">AVERAGE(OFFSET($BH$3,0,0,'Données projet'!$E$11+1,1))-AVERAGE(OFFSET($H$3,0,0,'Données projet'!$E$11+1,1))</f>
        <v>162.3892440844827</v>
      </c>
      <c r="BJ29" s="59">
        <f t="shared" si="38"/>
        <v>198.28846462484438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378.17323480030268</v>
      </c>
      <c r="T30" s="59">
        <f t="shared" si="34"/>
        <v>471.89239871617241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4.2337469351964518</v>
      </c>
      <c r="AA30" s="21">
        <f>EXP(-LN(2)/25)*AA29+(1-EXP(-LN(2)/25))/(LN(2)/25)*Calculateur!V30*Calculateur!X30*VLOOKUP('Données projet'!$B$9,Paramètres!$A$1:$I$89,3,0)*0.475*44/12</f>
        <v>9.3392794297806123</v>
      </c>
      <c r="AB30" s="21">
        <f>EXP(-LN(2)/2)*AB29+(1-EXP(-LN(2)/2))/(LN(2)/2)*V30*Y30*VLOOKUP('Données projet'!$B$9,Paramètres!$A$1:$I$89,3,0)*0.475*44/12</f>
        <v>5.9810737232984339</v>
      </c>
      <c r="AC30" s="22">
        <f t="shared" si="3"/>
        <v>19.554100088275497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4.5999999999999996</v>
      </c>
      <c r="AI30" s="13">
        <f>IF('Données projet'!$A$62&gt;35,AI29+AH30-AQ29,IF(A30&lt;'Données projet'!$A$62,$AF$205^A30,IF(A30='Données projet'!$A$62,'Données projet'!$B$62,AI29+AH30-AQ29)))</f>
        <v>135.20000000000002</v>
      </c>
      <c r="AJ30" s="13">
        <f>AI30*VLOOKUP('Données projet'!$B$10,Paramètres!$A$1:$I$89,3,0)*VLOOKUP('Données projet'!$B$10,Paramètres!$A$1:$I$89,5,0)</f>
        <v>118.11072000000003</v>
      </c>
      <c r="AK30" s="13">
        <f t="shared" si="35"/>
        <v>31.233949612110369</v>
      </c>
      <c r="AL30" s="20">
        <f t="shared" si="4"/>
        <v>260.10863290775893</v>
      </c>
      <c r="AM30" s="59">
        <f t="shared" si="5"/>
        <v>553.44196624109225</v>
      </c>
      <c r="AN30" s="59">
        <f ca="1">AVERAGE(OFFSET($AM$3,0,0,'Données projet'!$E$10+1,1))-AVERAGE(OFFSET($H$3,0,0,'Données projet'!$E$10+1,1))</f>
        <v>208.92731420103507</v>
      </c>
      <c r="AO30" s="59">
        <f t="shared" si="36"/>
        <v>247.96048911281395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6.2</v>
      </c>
      <c r="BD30" s="12">
        <f>IF('Données projet'!$A$88&gt;35,BD29+BC30-BL29,IF(A30&lt;'Données projet'!$A$88,$BA$205^A30,IF(A30='Données projet'!$A$88,'Données projet'!$B$88,BD29+BC30-BL29)))</f>
        <v>127.4</v>
      </c>
      <c r="BE30" s="13">
        <f>BD30*VLOOKUP('Données projet'!$B$11,Paramètres!$A$1:$I$89,3,0)*VLOOKUP('Données projet'!$B$11,Paramètres!$A$1:$I$89,5,0)</f>
        <v>93.409680000000009</v>
      </c>
      <c r="BF30" s="13">
        <f t="shared" si="37"/>
        <v>25.385769584238645</v>
      </c>
      <c r="BG30" s="20">
        <f t="shared" si="7"/>
        <v>206.90207469254895</v>
      </c>
      <c r="BH30" s="59">
        <f t="shared" si="8"/>
        <v>500.23540802588229</v>
      </c>
      <c r="BI30" s="59">
        <f ca="1">AVERAGE(OFFSET($BH$3,0,0,'Données projet'!$E$11+1,1))-AVERAGE(OFFSET($H$3,0,0,'Données projet'!$E$11+1,1))</f>
        <v>162.3892440844827</v>
      </c>
      <c r="BJ30" s="59">
        <f t="shared" si="38"/>
        <v>198.28846462484438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378.17323480030268</v>
      </c>
      <c r="T31" s="59">
        <f t="shared" si="34"/>
        <v>471.89239871617241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4.1507257401278963</v>
      </c>
      <c r="AA31" s="21">
        <f>EXP(-LN(2)/25)*AA30+(1-EXP(-LN(2)/25))/(LN(2)/25)*Calculateur!V31*Calculateur!X31*VLOOKUP('Données projet'!$B$9,Paramètres!$A$1:$I$89,3,0)*0.475*44/12</f>
        <v>9.0838963426419017</v>
      </c>
      <c r="AB31" s="21">
        <f>EXP(-LN(2)/2)*AB30+(1-EXP(-LN(2)/2))/(LN(2)/2)*V31*Y31*VLOOKUP('Données projet'!$B$9,Paramètres!$A$1:$I$89,3,0)*0.475*44/12</f>
        <v>4.2292577885209948</v>
      </c>
      <c r="AC31" s="22">
        <f t="shared" si="3"/>
        <v>17.463879871290793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4.5999999999999996</v>
      </c>
      <c r="AI31" s="13">
        <f>IF('Données projet'!$A$62&gt;35,AI30+AH31-AQ30,IF(A31&lt;'Données projet'!$A$62,$AF$205^A31,IF(A31='Données projet'!$A$62,'Données projet'!$B$62,AI30+AH31-AQ30)))</f>
        <v>139.80000000000001</v>
      </c>
      <c r="AJ31" s="13">
        <f>AI31*VLOOKUP('Données projet'!$B$10,Paramètres!$A$1:$I$89,3,0)*VLOOKUP('Données projet'!$B$10,Paramètres!$A$1:$I$89,5,0)</f>
        <v>122.12928000000002</v>
      </c>
      <c r="AK31" s="13">
        <f t="shared" si="35"/>
        <v>32.171109382958193</v>
      </c>
      <c r="AL31" s="20">
        <f t="shared" si="4"/>
        <v>268.73984484198553</v>
      </c>
      <c r="AM31" s="59">
        <f t="shared" si="5"/>
        <v>562.07317817531884</v>
      </c>
      <c r="AN31" s="59">
        <f ca="1">AVERAGE(OFFSET($AM$3,0,0,'Données projet'!$E$10+1,1))-AVERAGE(OFFSET($H$3,0,0,'Données projet'!$E$10+1,1))</f>
        <v>208.92731420103507</v>
      </c>
      <c r="AO31" s="59">
        <f t="shared" si="36"/>
        <v>247.96048911281395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6.2</v>
      </c>
      <c r="BD31" s="12">
        <f>IF('Données projet'!$A$88&gt;35,BD30+BC31-BL30,IF(A31&lt;'Données projet'!$A$88,$BA$205^A31,IF(A31='Données projet'!$A$88,'Données projet'!$B$88,BD30+BC31-BL30)))</f>
        <v>133.6</v>
      </c>
      <c r="BE31" s="13">
        <f>BD31*VLOOKUP('Données projet'!$B$11,Paramètres!$A$1:$I$89,3,0)*VLOOKUP('Données projet'!$B$11,Paramètres!$A$1:$I$89,5,0)</f>
        <v>97.955519999999993</v>
      </c>
      <c r="BF31" s="13">
        <f t="shared" si="37"/>
        <v>26.474344365896755</v>
      </c>
      <c r="BG31" s="20">
        <f t="shared" si="7"/>
        <v>216.71534710393681</v>
      </c>
      <c r="BH31" s="59">
        <f t="shared" si="8"/>
        <v>510.04868043727015</v>
      </c>
      <c r="BI31" s="59">
        <f ca="1">AVERAGE(OFFSET($BH$3,0,0,'Données projet'!$E$11+1,1))-AVERAGE(OFFSET($H$3,0,0,'Données projet'!$E$11+1,1))</f>
        <v>162.3892440844827</v>
      </c>
      <c r="BJ31" s="59">
        <f t="shared" si="38"/>
        <v>198.28846462484438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378.17323480030268</v>
      </c>
      <c r="T32" s="59">
        <f t="shared" si="34"/>
        <v>471.89239871617241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4.0693325400567062</v>
      </c>
      <c r="AA32" s="21">
        <f>EXP(-LN(2)/25)*AA31+(1-EXP(-LN(2)/25))/(LN(2)/25)*Calculateur!V32*Calculateur!X32*VLOOKUP('Données projet'!$B$9,Paramètres!$A$1:$I$89,3,0)*0.475*44/12</f>
        <v>8.8354967194510117</v>
      </c>
      <c r="AB32" s="21">
        <f>EXP(-LN(2)/2)*AB31+(1-EXP(-LN(2)/2))/(LN(2)/2)*V32*Y32*VLOOKUP('Données projet'!$B$9,Paramètres!$A$1:$I$89,3,0)*0.475*44/12</f>
        <v>2.9905368616492169</v>
      </c>
      <c r="AC32" s="22">
        <f t="shared" si="3"/>
        <v>15.895366121156934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4.5999999999999996</v>
      </c>
      <c r="AI32" s="13">
        <f>IF('Données projet'!$A$62&gt;35,AI31+AH32-AQ31,IF(A32&lt;'Données projet'!$A$62,$AF$205^A32,IF(A32='Données projet'!$A$62,'Données projet'!$B$62,AI31+AH32-AQ31)))</f>
        <v>144.4</v>
      </c>
      <c r="AJ32" s="13">
        <f>AI32*VLOOKUP('Données projet'!$B$10,Paramètres!$A$1:$I$89,3,0)*VLOOKUP('Données projet'!$B$10,Paramètres!$A$1:$I$89,5,0)</f>
        <v>126.14784000000002</v>
      </c>
      <c r="AK32" s="13">
        <f t="shared" si="35"/>
        <v>33.10468597352537</v>
      </c>
      <c r="AL32" s="20">
        <f t="shared" si="4"/>
        <v>277.36481607055674</v>
      </c>
      <c r="AM32" s="59">
        <f t="shared" si="5"/>
        <v>570.69814940389006</v>
      </c>
      <c r="AN32" s="59">
        <f ca="1">AVERAGE(OFFSET($AM$3,0,0,'Données projet'!$E$10+1,1))-AVERAGE(OFFSET($H$3,0,0,'Données projet'!$E$10+1,1))</f>
        <v>208.92731420103507</v>
      </c>
      <c r="AO32" s="59">
        <f t="shared" si="36"/>
        <v>247.96048911281395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6.2</v>
      </c>
      <c r="BD32" s="12">
        <f>IF('Données projet'!$A$88&gt;35,BD31+BC32-BL31,IF(A32&lt;'Données projet'!$A$88,$BA$205^A32,IF(A32='Données projet'!$A$88,'Données projet'!$B$88,BD31+BC32-BL31)))</f>
        <v>139.79999999999998</v>
      </c>
      <c r="BE32" s="13">
        <f>BD32*VLOOKUP('Données projet'!$B$11,Paramètres!$A$1:$I$89,3,0)*VLOOKUP('Données projet'!$B$11,Paramètres!$A$1:$I$89,5,0)</f>
        <v>102.50135999999999</v>
      </c>
      <c r="BF32" s="13">
        <f t="shared" si="37"/>
        <v>27.557052518175457</v>
      </c>
      <c r="BG32" s="20">
        <f t="shared" si="7"/>
        <v>226.51840180248891</v>
      </c>
      <c r="BH32" s="59">
        <f t="shared" si="8"/>
        <v>519.8517351358222</v>
      </c>
      <c r="BI32" s="59">
        <f ca="1">AVERAGE(OFFSET($BH$3,0,0,'Données projet'!$E$11+1,1))-AVERAGE(OFFSET($H$3,0,0,'Données projet'!$E$11+1,1))</f>
        <v>162.3892440844827</v>
      </c>
      <c r="BJ32" s="59">
        <f t="shared" si="38"/>
        <v>198.28846462484438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378.17323480030268</v>
      </c>
      <c r="T33" s="59">
        <f t="shared" si="34"/>
        <v>471.89239871617241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0.35</v>
      </c>
      <c r="Z33" s="21">
        <f>EXP(-LN(2)/35)*Z32+(1-EXP(-LN(2)/35))/(LN(2)/35)*V33*W33*VLOOKUP('Données projet'!$B$9,Paramètres!$A$1:$I$89,3,0)*0.475*44/12</f>
        <v>8.3943396227027378</v>
      </c>
      <c r="AA33" s="21">
        <f>EXP(-LN(2)/25)*AA32+(1-EXP(-LN(2)/25))/(LN(2)/25)*Calculateur!V33*Calculateur!X33*VLOOKUP('Données projet'!$B$9,Paramètres!$A$1:$I$89,3,0)*0.475*44/12</f>
        <v>18.465676440140953</v>
      </c>
      <c r="AB33" s="21">
        <f>EXP(-LN(2)/2)*AB32+(1-EXP(-LN(2)/2))/(LN(2)/2)*V33*Y33*VLOOKUP('Données projet'!$B$9,Paramètres!$A$1:$I$89,3,0)*0.475*44/12</f>
        <v>14.076776340857364</v>
      </c>
      <c r="AC33" s="22">
        <f t="shared" si="3"/>
        <v>40.936792403701055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4.5999999999999996</v>
      </c>
      <c r="AH33" s="12">
        <f t="array" ref="AH33">INDEX(AG:AG,MIN(IF(ISNUMBER(AG33:AG229),ROW(AG33:AG229),"")))</f>
        <v>4.5999999999999996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130.16640000000001</v>
      </c>
      <c r="AK33" s="13">
        <f t="shared" si="35"/>
        <v>34.034806623706274</v>
      </c>
      <c r="AL33" s="20">
        <f t="shared" si="4"/>
        <v>285.9837682029551</v>
      </c>
      <c r="AM33" s="59">
        <f t="shared" si="5"/>
        <v>579.31710153628842</v>
      </c>
      <c r="AN33" s="59">
        <f ca="1">AVERAGE(OFFSET($AM$3,0,0,'Données projet'!$E$10+1,1))-AVERAGE(OFFSET($H$3,0,0,'Données projet'!$E$10+1,1))</f>
        <v>208.92731420103507</v>
      </c>
      <c r="AO33" s="59">
        <f t="shared" si="36"/>
        <v>247.96048911281395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6.2</v>
      </c>
      <c r="BC33" s="12">
        <f t="array" ref="BC33">INDEX(BB:BB,MIN(IF(ISNUMBER(BB33:BB229),ROW(BB33:BB229),"")))</f>
        <v>6.2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107.04719999999996</v>
      </c>
      <c r="BF33" s="13">
        <f t="shared" si="37"/>
        <v>28.634183951187907</v>
      </c>
      <c r="BG33" s="20">
        <f t="shared" si="7"/>
        <v>236.31174371498548</v>
      </c>
      <c r="BH33" s="59">
        <f t="shared" si="8"/>
        <v>529.64507704831885</v>
      </c>
      <c r="BI33" s="59">
        <f ca="1">AVERAGE(OFFSET($BH$3,0,0,'Données projet'!$E$11+1,1))-AVERAGE(OFFSET($H$3,0,0,'Données projet'!$E$11+1,1))</f>
        <v>162.3892440844827</v>
      </c>
      <c r="BJ33" s="59">
        <f t="shared" si="38"/>
        <v>198.28846462484438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0.17200000000000001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378.17323480030268</v>
      </c>
      <c r="T34" s="59">
        <f t="shared" si="34"/>
        <v>471.89239871617241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8.2297317427431445</v>
      </c>
      <c r="AA34" s="21">
        <f>EXP(-LN(2)/25)*AA33+(1-EXP(-LN(2)/25))/(LN(2)/25)*Calculateur!V34*Calculateur!X34*VLOOKUP('Données projet'!$B$9,Paramètres!$A$1:$I$89,3,0)*0.475*44/12</f>
        <v>17.960731546817577</v>
      </c>
      <c r="AB34" s="21">
        <f>EXP(-LN(2)/2)*AB33+(1-EXP(-LN(2)/2))/(LN(2)/2)*V34*Y34*VLOOKUP('Données projet'!$B$9,Paramètres!$A$1:$I$89,3,0)*0.475*44/12</f>
        <v>9.9537840078665987</v>
      </c>
      <c r="AC34" s="22">
        <f t="shared" si="3"/>
        <v>36.14424729742732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</v>
      </c>
      <c r="AI34" s="13">
        <f>IF('Données projet'!$A$62&gt;35,AI33+AH34-AQ33,IF(A34&lt;'Données projet'!$A$62,$AF$205^A34,IF(A34='Données projet'!$A$62,'Données projet'!$B$62,AI33+AH34-AQ33)))</f>
        <v>152.80000000000001</v>
      </c>
      <c r="AJ34" s="13">
        <f>AI34*VLOOKUP('Données projet'!$B$10,Paramètres!$A$1:$I$89,3,0)*VLOOKUP('Données projet'!$B$10,Paramètres!$A$1:$I$89,5,0)</f>
        <v>133.48608000000002</v>
      </c>
      <c r="AK34" s="13">
        <f t="shared" si="35"/>
        <v>34.800645252320514</v>
      </c>
      <c r="AL34" s="20">
        <f t="shared" si="4"/>
        <v>293.09937981445825</v>
      </c>
      <c r="AM34" s="59">
        <f t="shared" si="5"/>
        <v>586.43271314779156</v>
      </c>
      <c r="AN34" s="59">
        <f ca="1">AVERAGE(OFFSET($AM$3,0,0,'Données projet'!$E$10+1,1))-AVERAGE(OFFSET($H$3,0,0,'Données projet'!$E$10+1,1))</f>
        <v>208.92731420103507</v>
      </c>
      <c r="AO34" s="59">
        <f t="shared" si="36"/>
        <v>247.96048911281395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151.19999999999996</v>
      </c>
      <c r="BE34" s="13">
        <f>BD34*VLOOKUP('Données projet'!$B$11,Paramètres!$A$1:$I$89,3,0)*VLOOKUP('Données projet'!$B$11,Paramètres!$A$1:$I$89,5,0)</f>
        <v>110.85983999999998</v>
      </c>
      <c r="BF34" s="13">
        <f t="shared" si="37"/>
        <v>29.533477687335427</v>
      </c>
      <c r="BG34" s="20">
        <f t="shared" si="7"/>
        <v>244.51836163877581</v>
      </c>
      <c r="BH34" s="59">
        <f t="shared" si="8"/>
        <v>537.85169497210916</v>
      </c>
      <c r="BI34" s="59">
        <f ca="1">AVERAGE(OFFSET($BH$3,0,0,'Données projet'!$E$11+1,1))-AVERAGE(OFFSET($H$3,0,0,'Données projet'!$E$11+1,1))</f>
        <v>162.3892440844827</v>
      </c>
      <c r="BJ34" s="59">
        <f t="shared" si="38"/>
        <v>198.28846462484438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378.17323480030268</v>
      </c>
      <c r="T35" s="59">
        <f t="shared" si="34"/>
        <v>471.89239871617241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8.0683517229086661</v>
      </c>
      <c r="AA35" s="21">
        <f>EXP(-LN(2)/25)*AA34+(1-EXP(-LN(2)/25))/(LN(2)/25)*Calculateur!V35*Calculateur!X35*VLOOKUP('Données projet'!$B$9,Paramètres!$A$1:$I$89,3,0)*0.475*44/12</f>
        <v>17.46959439815603</v>
      </c>
      <c r="AB35" s="21">
        <f>EXP(-LN(2)/2)*AB34+(1-EXP(-LN(2)/2))/(LN(2)/2)*V35*Y35*VLOOKUP('Données projet'!$B$9,Paramètres!$A$1:$I$89,3,0)*0.475*44/12</f>
        <v>7.0383881704286839</v>
      </c>
      <c r="AC35" s="22">
        <f t="shared" si="3"/>
        <v>32.576334291493382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</v>
      </c>
      <c r="AI35" s="13">
        <f>IF('Données projet'!$A$62&gt;35,AI34+AH35-AQ34,IF(A35&lt;'Données projet'!$A$62,$AF$205^A35,IF(A35='Données projet'!$A$62,'Données projet'!$B$62,AI34+AH35-AQ34)))</f>
        <v>156.60000000000002</v>
      </c>
      <c r="AJ35" s="13">
        <f>AI35*VLOOKUP('Données projet'!$B$10,Paramètres!$A$1:$I$89,3,0)*VLOOKUP('Données projet'!$B$10,Paramètres!$A$1:$I$89,5,0)</f>
        <v>136.80576000000005</v>
      </c>
      <c r="AK35" s="13">
        <f t="shared" si="35"/>
        <v>35.564269922997305</v>
      </c>
      <c r="AL35" s="20">
        <f t="shared" si="4"/>
        <v>300.21113544922036</v>
      </c>
      <c r="AM35" s="59">
        <f t="shared" si="5"/>
        <v>593.54446878255362</v>
      </c>
      <c r="AN35" s="59">
        <f ca="1">AVERAGE(OFFSET($AM$3,0,0,'Données projet'!$E$10+1,1))-AVERAGE(OFFSET($H$3,0,0,'Données projet'!$E$10+1,1))</f>
        <v>208.92731420103507</v>
      </c>
      <c r="AO35" s="59">
        <f t="shared" si="36"/>
        <v>247.96048911281395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156.39999999999995</v>
      </c>
      <c r="BE35" s="13">
        <f>BD35*VLOOKUP('Données projet'!$B$11,Paramètres!$A$1:$I$89,3,0)*VLOOKUP('Données projet'!$B$11,Paramètres!$A$1:$I$89,5,0)</f>
        <v>114.67247999999995</v>
      </c>
      <c r="BF35" s="13">
        <f t="shared" si="37"/>
        <v>30.42917784146039</v>
      </c>
      <c r="BG35" s="20">
        <f t="shared" si="7"/>
        <v>252.7187207405434</v>
      </c>
      <c r="BH35" s="59">
        <f t="shared" si="8"/>
        <v>546.05205407387666</v>
      </c>
      <c r="BI35" s="59">
        <f ca="1">AVERAGE(OFFSET($BH$3,0,0,'Données projet'!$E$11+1,1))-AVERAGE(OFFSET($H$3,0,0,'Données projet'!$E$11+1,1))</f>
        <v>162.3892440844827</v>
      </c>
      <c r="BJ35" s="59">
        <f t="shared" si="38"/>
        <v>198.28846462484438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378.17323480030268</v>
      </c>
      <c r="T36" s="59">
        <f t="shared" si="34"/>
        <v>471.89239871617241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7.9101362668310493</v>
      </c>
      <c r="AA36" s="21">
        <f>EXP(-LN(2)/25)*AA35+(1-EXP(-LN(2)/25))/(LN(2)/25)*Calculateur!V36*Calculateur!X36*VLOOKUP('Données projet'!$B$9,Paramètres!$A$1:$I$89,3,0)*0.475*44/12</f>
        <v>16.991887420652411</v>
      </c>
      <c r="AB36" s="21">
        <f>EXP(-LN(2)/2)*AB35+(1-EXP(-LN(2)/2))/(LN(2)/2)*V36*Y36*VLOOKUP('Données projet'!$B$9,Paramètres!$A$1:$I$89,3,0)*0.475*44/12</f>
        <v>4.9768920039333002</v>
      </c>
      <c r="AC36" s="22">
        <f t="shared" si="3"/>
        <v>29.878915691416761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</v>
      </c>
      <c r="AI36" s="13">
        <f>IF('Données projet'!$A$62&gt;35,AI35+AH36-AQ35,IF(A36&lt;'Données projet'!$A$62,$AF$205^A36,IF(A36='Données projet'!$A$62,'Données projet'!$B$62,AI35+AH36-AQ35)))</f>
        <v>160.40000000000003</v>
      </c>
      <c r="AJ36" s="13">
        <f>AI36*VLOOKUP('Données projet'!$B$10,Paramètres!$A$1:$I$89,3,0)*VLOOKUP('Données projet'!$B$10,Paramètres!$A$1:$I$89,5,0)</f>
        <v>140.12544000000005</v>
      </c>
      <c r="AK36" s="13">
        <f t="shared" si="35"/>
        <v>36.325740539490845</v>
      </c>
      <c r="AL36" s="20">
        <f t="shared" si="4"/>
        <v>307.31913943961331</v>
      </c>
      <c r="AM36" s="59">
        <f t="shared" si="5"/>
        <v>600.65247277294657</v>
      </c>
      <c r="AN36" s="59">
        <f ca="1">AVERAGE(OFFSET($AM$3,0,0,'Données projet'!$E$10+1,1))-AVERAGE(OFFSET($H$3,0,0,'Données projet'!$E$10+1,1))</f>
        <v>208.92731420103507</v>
      </c>
      <c r="AO36" s="59">
        <f t="shared" si="36"/>
        <v>247.96048911281395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161.59999999999994</v>
      </c>
      <c r="BE36" s="13">
        <f>BD36*VLOOKUP('Données projet'!$B$11,Paramètres!$A$1:$I$89,3,0)*VLOOKUP('Données projet'!$B$11,Paramètres!$A$1:$I$89,5,0)</f>
        <v>118.48511999999995</v>
      </c>
      <c r="BF36" s="13">
        <f t="shared" si="37"/>
        <v>31.321417592769677</v>
      </c>
      <c r="BG36" s="20">
        <f t="shared" si="7"/>
        <v>260.91305297407376</v>
      </c>
      <c r="BH36" s="59">
        <f t="shared" si="8"/>
        <v>554.24638630740708</v>
      </c>
      <c r="BI36" s="59">
        <f ca="1">AVERAGE(OFFSET($BH$3,0,0,'Données projet'!$E$11+1,1))-AVERAGE(OFFSET($H$3,0,0,'Données projet'!$E$11+1,1))</f>
        <v>162.3892440844827</v>
      </c>
      <c r="BJ36" s="59">
        <f t="shared" si="38"/>
        <v>198.28846462484438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378.17323480030268</v>
      </c>
      <c r="T37" s="59">
        <f t="shared" si="34"/>
        <v>471.89239871617241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7.7550233193452147</v>
      </c>
      <c r="AA37" s="21">
        <f>EXP(-LN(2)/25)*AA36+(1-EXP(-LN(2)/25))/(LN(2)/25)*Calculateur!V37*Calculateur!X37*VLOOKUP('Données projet'!$B$9,Paramètres!$A$1:$I$89,3,0)*0.475*44/12</f>
        <v>16.527243365570147</v>
      </c>
      <c r="AB37" s="21">
        <f>EXP(-LN(2)/2)*AB36+(1-EXP(-LN(2)/2))/(LN(2)/2)*V37*Y37*VLOOKUP('Données projet'!$B$9,Paramètres!$A$1:$I$89,3,0)*0.475*44/12</f>
        <v>3.5191940852143424</v>
      </c>
      <c r="AC37" s="22">
        <f t="shared" si="3"/>
        <v>27.801460770129705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</v>
      </c>
      <c r="AI37" s="13">
        <f>IF('Données projet'!$A$62&gt;35,AI36+AH37-AQ36,IF(A37&lt;'Données projet'!$A$62,$AF$205^A37,IF(A37='Données projet'!$A$62,'Données projet'!$B$62,AI36+AH37-AQ36)))</f>
        <v>164.20000000000005</v>
      </c>
      <c r="AJ37" s="13">
        <f>AI37*VLOOKUP('Données projet'!$B$10,Paramètres!$A$1:$I$89,3,0)*VLOOKUP('Données projet'!$B$10,Paramètres!$A$1:$I$89,5,0)</f>
        <v>143.44512000000006</v>
      </c>
      <c r="AK37" s="13">
        <f t="shared" si="35"/>
        <v>37.085114005324215</v>
      </c>
      <c r="AL37" s="20">
        <f t="shared" si="4"/>
        <v>314.42349089260648</v>
      </c>
      <c r="AM37" s="59">
        <f t="shared" si="5"/>
        <v>607.75682422593979</v>
      </c>
      <c r="AN37" s="59">
        <f ca="1">AVERAGE(OFFSET($AM$3,0,0,'Données projet'!$E$10+1,1))-AVERAGE(OFFSET($H$3,0,0,'Données projet'!$E$10+1,1))</f>
        <v>208.92731420103507</v>
      </c>
      <c r="AO37" s="59">
        <f t="shared" si="36"/>
        <v>247.96048911281395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166.79999999999993</v>
      </c>
      <c r="BE37" s="13">
        <f>BD37*VLOOKUP('Données projet'!$B$11,Paramètres!$A$1:$I$89,3,0)*VLOOKUP('Données projet'!$B$11,Paramètres!$A$1:$I$89,5,0)</f>
        <v>122.29775999999994</v>
      </c>
      <c r="BF37" s="13">
        <f t="shared" si="37"/>
        <v>32.21032106291954</v>
      </c>
      <c r="BG37" s="20">
        <f t="shared" si="7"/>
        <v>269.1015745179181</v>
      </c>
      <c r="BH37" s="59">
        <f t="shared" si="8"/>
        <v>562.43490785125141</v>
      </c>
      <c r="BI37" s="59">
        <f ca="1">AVERAGE(OFFSET($BH$3,0,0,'Données projet'!$E$11+1,1))-AVERAGE(OFFSET($H$3,0,0,'Données projet'!$E$11+1,1))</f>
        <v>162.3892440844827</v>
      </c>
      <c r="BJ37" s="59">
        <f t="shared" si="38"/>
        <v>198.28846462484438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378.17323480030268</v>
      </c>
      <c r="T38" s="59">
        <f t="shared" si="34"/>
        <v>471.89239871617241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0.22000000000000003</v>
      </c>
      <c r="X38" s="16">
        <f>IF(ISNA(VLOOKUP(A38,'Données projet'!$A$35:$I$55,6,0)),0%,VLOOKUP(A38,'Données projet'!$A$35:$I$55,6,0)*VLOOKUP('Données projet'!$B$9,Paramètres!$A$1:$I$89,7,0))</f>
        <v>0.18700000000000003</v>
      </c>
      <c r="Y38" s="16">
        <f>IF(ISNA(VLOOKUP(A38,'Données projet'!$A$35:$I$55,7,0)),0%,VLOOKUP(A38,'Données projet'!$A$35:$I$55,7,0))</f>
        <v>0.26</v>
      </c>
      <c r="Z38" s="21">
        <f>EXP(-LN(2)/35)*Z37+(1-EXP(-LN(2)/35))/(LN(2)/35)*V38*W38*VLOOKUP('Données projet'!$B$9,Paramètres!$A$1:$I$89,3,0)*0.475*44/12</f>
        <v>18.859673916516893</v>
      </c>
      <c r="AA38" s="21">
        <f>EXP(-LN(2)/25)*AA37+(1-EXP(-LN(2)/25))/(LN(2)/25)*Calculateur!V38*Calculateur!X38*VLOOKUP('Données projet'!$B$9,Paramètres!$A$1:$I$89,3,0)*0.475*44/12</f>
        <v>25.605844917128838</v>
      </c>
      <c r="AB38" s="21">
        <f>EXP(-LN(2)/2)*AB37+(1-EXP(-LN(2)/2))/(LN(2)/2)*V38*Y38*VLOOKUP('Données projet'!$B$9,Paramètres!$A$1:$I$89,3,0)*0.475*44/12</f>
        <v>13.842992308418914</v>
      </c>
      <c r="AC38" s="22">
        <f t="shared" si="3"/>
        <v>58.308511142064646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168</v>
      </c>
      <c r="AG38" s="12">
        <f>VLOOKUP(A38,'Données projet'!$A$61:$I$81,9,0)</f>
        <v>3.8</v>
      </c>
      <c r="AH38" s="12">
        <f t="array" ref="AH38">INDEX(AG:AG,MIN(IF(ISNUMBER(AG38:AG234),ROW(AG38:AG234),"")))</f>
        <v>3.8</v>
      </c>
      <c r="AI38" s="13">
        <f>IF('Données projet'!$A$62&gt;35,AI37+AH38-AQ37,IF(A38&lt;'Données projet'!$A$62,$AF$205^A38,IF(A38='Données projet'!$A$62,'Données projet'!$B$62,AI37+AH38-AQ37)))</f>
        <v>168.00000000000006</v>
      </c>
      <c r="AJ38" s="13">
        <f>AI38*VLOOKUP('Données projet'!$B$10,Paramètres!$A$1:$I$89,3,0)*VLOOKUP('Données projet'!$B$10,Paramètres!$A$1:$I$89,5,0)</f>
        <v>146.76480000000006</v>
      </c>
      <c r="AK38" s="13">
        <f t="shared" si="35"/>
        <v>37.842444439956665</v>
      </c>
      <c r="AL38" s="20">
        <f t="shared" si="4"/>
        <v>321.52428406625796</v>
      </c>
      <c r="AM38" s="59">
        <f t="shared" si="5"/>
        <v>614.85761739959128</v>
      </c>
      <c r="AN38" s="59">
        <f ca="1">AVERAGE(OFFSET($AM$3,0,0,'Données projet'!$E$10+1,1))-AVERAGE(OFFSET($H$3,0,0,'Données projet'!$E$10+1,1))</f>
        <v>208.92731420103507</v>
      </c>
      <c r="AO38" s="59">
        <f t="shared" si="36"/>
        <v>247.96048911281395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27</v>
      </c>
      <c r="AR38" s="16">
        <f>IF(ISNA(VLOOKUP(A38,'Données projet'!$A$61:$I$81,5,0)),0%,VLOOKUP(A38,'Données projet'!$A$61:$I$81,5,0)*VLOOKUP('Données projet'!$B$10,Paramètres!$A$1:$I$89,7,0))</f>
        <v>8.6000000000000007E-2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2.2424457805062863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2.2424457805062863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5.2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171.99999999999991</v>
      </c>
      <c r="BE38" s="13">
        <f>BD38*VLOOKUP('Données projet'!$B$11,Paramètres!$A$1:$I$89,3,0)*VLOOKUP('Données projet'!$B$11,Paramètres!$A$1:$I$89,5,0)</f>
        <v>126.11039999999994</v>
      </c>
      <c r="BF38" s="13">
        <f t="shared" si="37"/>
        <v>33.096004194977844</v>
      </c>
      <c r="BG38" s="20">
        <f t="shared" si="7"/>
        <v>277.28448730625297</v>
      </c>
      <c r="BH38" s="59">
        <f t="shared" si="8"/>
        <v>570.61782063958628</v>
      </c>
      <c r="BI38" s="59">
        <f ca="1">AVERAGE(OFFSET($BH$3,0,0,'Données projet'!$E$11+1,1))-AVERAGE(OFFSET($H$3,0,0,'Données projet'!$E$11+1,1))</f>
        <v>162.3892440844827</v>
      </c>
      <c r="BJ38" s="59">
        <f t="shared" si="38"/>
        <v>198.28846462484438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0.17200000000000001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3.903516729029461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3.903516729029461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378.17323480030268</v>
      </c>
      <c r="T39" s="59">
        <f t="shared" si="34"/>
        <v>471.89239871617241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18.489847214279234</v>
      </c>
      <c r="AA39" s="21">
        <f>EXP(-LN(2)/25)*AA38+(1-EXP(-LN(2)/25))/(LN(2)/25)*Calculateur!V39*Calculateur!X39*VLOOKUP('Données projet'!$B$9,Paramètres!$A$1:$I$89,3,0)*0.475*44/12</f>
        <v>24.90565174131709</v>
      </c>
      <c r="AB39" s="21">
        <f>EXP(-LN(2)/2)*AB38+(1-EXP(-LN(2)/2))/(LN(2)/2)*V39*Y39*VLOOKUP('Données projet'!$B$9,Paramètres!$A$1:$I$89,3,0)*0.475*44/12</f>
        <v>9.7884737331962342</v>
      </c>
      <c r="AC39" s="22">
        <f t="shared" si="3"/>
        <v>53.183972688792558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8.8000000000000007</v>
      </c>
      <c r="AI39" s="13">
        <f>IF('Données projet'!$A$62&gt;35,AI38+AH39-AQ38,IF(A39&lt;'Données projet'!$A$62,$AF$205^A39,IF(A39='Données projet'!$A$62,'Données projet'!$B$62,AI38+AH39-AQ38)))</f>
        <v>149.80000000000007</v>
      </c>
      <c r="AJ39" s="13">
        <f>AI39*VLOOKUP('Données projet'!$B$10,Paramètres!$A$1:$I$89,3,0)*VLOOKUP('Données projet'!$B$10,Paramètres!$A$1:$I$89,5,0)</f>
        <v>130.86528000000007</v>
      </c>
      <c r="AK39" s="13">
        <f t="shared" si="35"/>
        <v>34.19622287336729</v>
      </c>
      <c r="AL39" s="20">
        <f t="shared" si="4"/>
        <v>287.48211750444813</v>
      </c>
      <c r="AM39" s="59">
        <f t="shared" si="5"/>
        <v>580.81545083778144</v>
      </c>
      <c r="AN39" s="59">
        <f ca="1">AVERAGE(OFFSET($AM$3,0,0,'Données projet'!$E$10+1,1))-AVERAGE(OFFSET($H$3,0,0,'Données projet'!$E$10+1,1))</f>
        <v>208.92731420103507</v>
      </c>
      <c r="AO39" s="59">
        <f t="shared" si="36"/>
        <v>247.96048911281395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2.1984727865074292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2.1984727865074292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153.59999999999991</v>
      </c>
      <c r="BE39" s="13">
        <f>BD39*VLOOKUP('Données projet'!$B$11,Paramètres!$A$1:$I$89,3,0)*VLOOKUP('Données projet'!$B$11,Paramètres!$A$1:$I$89,5,0)</f>
        <v>112.61951999999992</v>
      </c>
      <c r="BF39" s="13">
        <f t="shared" si="37"/>
        <v>29.947316013837572</v>
      </c>
      <c r="BG39" s="20">
        <f t="shared" si="7"/>
        <v>248.30390605743364</v>
      </c>
      <c r="BH39" s="59">
        <f t="shared" si="8"/>
        <v>541.63723939076692</v>
      </c>
      <c r="BI39" s="59">
        <f ca="1">AVERAGE(OFFSET($BH$3,0,0,'Données projet'!$E$11+1,1))-AVERAGE(OFFSET($H$3,0,0,'Données projet'!$E$11+1,1))</f>
        <v>162.3892440844827</v>
      </c>
      <c r="BJ39" s="59">
        <f t="shared" si="38"/>
        <v>198.28846462484438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3.8269711468833028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3.8269711468833028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378.17323480030268</v>
      </c>
      <c r="T40" s="59">
        <f t="shared" si="34"/>
        <v>471.89239871617241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18.127272588100439</v>
      </c>
      <c r="AA40" s="21">
        <f>EXP(-LN(2)/25)*AA39+(1-EXP(-LN(2)/25))/(LN(2)/25)*Calculateur!V40*Calculateur!X40*VLOOKUP('Données projet'!$B$9,Paramètres!$A$1:$I$89,3,0)*0.475*44/12</f>
        <v>24.224605384719471</v>
      </c>
      <c r="AB40" s="21">
        <f>EXP(-LN(2)/2)*AB39+(1-EXP(-LN(2)/2))/(LN(2)/2)*V40*Y40*VLOOKUP('Données projet'!$B$9,Paramètres!$A$1:$I$89,3,0)*0.475*44/12</f>
        <v>6.921496154209458</v>
      </c>
      <c r="AC40" s="22">
        <f t="shared" si="3"/>
        <v>49.273374127029363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8.8000000000000007</v>
      </c>
      <c r="AI40" s="13">
        <f>IF('Données projet'!$A$62&gt;35,AI39+AH40-AQ39,IF(A40&lt;'Données projet'!$A$62,$AF$205^A40,IF(A40='Données projet'!$A$62,'Données projet'!$B$62,AI39+AH40-AQ39)))</f>
        <v>158.60000000000008</v>
      </c>
      <c r="AJ40" s="13">
        <f>AI40*VLOOKUP('Données projet'!$B$10,Paramètres!$A$1:$I$89,3,0)*VLOOKUP('Données projet'!$B$10,Paramètres!$A$1:$I$89,5,0)</f>
        <v>138.5529600000001</v>
      </c>
      <c r="AK40" s="13">
        <f t="shared" si="35"/>
        <v>35.965308766301831</v>
      </c>
      <c r="AL40" s="20">
        <f t="shared" si="4"/>
        <v>303.95265143464252</v>
      </c>
      <c r="AM40" s="59">
        <f t="shared" si="5"/>
        <v>597.28598476797583</v>
      </c>
      <c r="AN40" s="59">
        <f ca="1">AVERAGE(OFFSET($AM$3,0,0,'Données projet'!$E$10+1,1))-AVERAGE(OFFSET($H$3,0,0,'Données projet'!$E$10+1,1))</f>
        <v>208.92731420103507</v>
      </c>
      <c r="AO40" s="59">
        <f t="shared" si="36"/>
        <v>247.96048911281395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2.1553620761000118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2.1553620761000118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163.1999999999999</v>
      </c>
      <c r="BE40" s="13">
        <f>BD40*VLOOKUP('Données projet'!$B$11,Paramètres!$A$1:$I$89,3,0)*VLOOKUP('Données projet'!$B$11,Paramètres!$A$1:$I$89,5,0)</f>
        <v>119.65823999999992</v>
      </c>
      <c r="BF40" s="13">
        <f t="shared" si="37"/>
        <v>31.595276160231307</v>
      </c>
      <c r="BG40" s="20">
        <f t="shared" si="7"/>
        <v>263.43320731240277</v>
      </c>
      <c r="BH40" s="59">
        <f t="shared" si="8"/>
        <v>556.76654064573609</v>
      </c>
      <c r="BI40" s="59">
        <f ca="1">AVERAGE(OFFSET($BH$3,0,0,'Données projet'!$E$11+1,1))-AVERAGE(OFFSET($H$3,0,0,'Données projet'!$E$11+1,1))</f>
        <v>162.3892440844827</v>
      </c>
      <c r="BJ40" s="59">
        <f t="shared" si="38"/>
        <v>198.28846462484438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3.7519265769148356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3.7519265769148356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378.17323480030268</v>
      </c>
      <c r="T41" s="59">
        <f t="shared" si="34"/>
        <v>471.89239871617241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17.771807829192326</v>
      </c>
      <c r="AA41" s="21">
        <f>EXP(-LN(2)/25)*AA40+(1-EXP(-LN(2)/25))/(LN(2)/25)*Calculateur!V41*Calculateur!X41*VLOOKUP('Données projet'!$B$9,Paramètres!$A$1:$I$89,3,0)*0.475*44/12</f>
        <v>23.562182276557685</v>
      </c>
      <c r="AB41" s="21">
        <f>EXP(-LN(2)/2)*AB40+(1-EXP(-LN(2)/2))/(LN(2)/2)*V41*Y41*VLOOKUP('Données projet'!$B$9,Paramètres!$A$1:$I$89,3,0)*0.475*44/12</f>
        <v>4.894236866598118</v>
      </c>
      <c r="AC41" s="22">
        <f t="shared" si="3"/>
        <v>46.228226972348132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8.8000000000000007</v>
      </c>
      <c r="AI41" s="13">
        <f>IF('Données projet'!$A$62&gt;35,AI40+AH41-AQ40,IF(A41&lt;'Données projet'!$A$62,$AF$205^A41,IF(A41='Données projet'!$A$62,'Données projet'!$B$62,AI40+AH41-AQ40)))</f>
        <v>167.40000000000009</v>
      </c>
      <c r="AJ41" s="13">
        <f>AI41*VLOOKUP('Données projet'!$B$10,Paramètres!$A$1:$I$89,3,0)*VLOOKUP('Données projet'!$B$10,Paramètres!$A$1:$I$89,5,0)</f>
        <v>146.2406400000001</v>
      </c>
      <c r="AK41" s="13">
        <f t="shared" si="35"/>
        <v>37.722999642090628</v>
      </c>
      <c r="AL41" s="20">
        <f t="shared" si="4"/>
        <v>320.40333904330799</v>
      </c>
      <c r="AM41" s="59">
        <f t="shared" si="5"/>
        <v>613.73667237664131</v>
      </c>
      <c r="AN41" s="59">
        <f ca="1">AVERAGE(OFFSET($AM$3,0,0,'Données projet'!$E$10+1,1))-AVERAGE(OFFSET($H$3,0,0,'Données projet'!$E$10+1,1))</f>
        <v>208.92731420103507</v>
      </c>
      <c r="AO41" s="59">
        <f t="shared" si="36"/>
        <v>247.96048911281395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2.1130967404287468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2.1130967404287468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172.7999999999999</v>
      </c>
      <c r="BE41" s="13">
        <f>BD41*VLOOKUP('Données projet'!$B$11,Paramètres!$A$1:$I$89,3,0)*VLOOKUP('Données projet'!$B$11,Paramètres!$A$1:$I$89,5,0)</f>
        <v>126.69695999999993</v>
      </c>
      <c r="BF41" s="13">
        <f t="shared" si="37"/>
        <v>33.231984319593479</v>
      </c>
      <c r="BG41" s="20">
        <f t="shared" si="7"/>
        <v>278.54291135662521</v>
      </c>
      <c r="BH41" s="59">
        <f t="shared" si="8"/>
        <v>571.87624468995853</v>
      </c>
      <c r="BI41" s="59">
        <f ca="1">AVERAGE(OFFSET($BH$3,0,0,'Données projet'!$E$11+1,1))-AVERAGE(OFFSET($H$3,0,0,'Données projet'!$E$11+1,1))</f>
        <v>162.3892440844827</v>
      </c>
      <c r="BJ41" s="59">
        <f t="shared" si="38"/>
        <v>198.28846462484438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3.678353585190782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3.678353585190782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378.17323480030268</v>
      </c>
      <c r="T42" s="59">
        <f t="shared" si="34"/>
        <v>471.89239871617241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17.423313517394305</v>
      </c>
      <c r="AA42" s="21">
        <f>EXP(-LN(2)/25)*AA41+(1-EXP(-LN(2)/25))/(LN(2)/25)*Calculateur!V42*Calculateur!X42*VLOOKUP('Données projet'!$B$9,Paramètres!$A$1:$I$89,3,0)*0.475*44/12</f>
        <v>22.9178731631239</v>
      </c>
      <c r="AB42" s="21">
        <f>EXP(-LN(2)/2)*AB41+(1-EXP(-LN(2)/2))/(LN(2)/2)*V42*Y42*VLOOKUP('Données projet'!$B$9,Paramètres!$A$1:$I$89,3,0)*0.475*44/12</f>
        <v>3.4607480771047294</v>
      </c>
      <c r="AC42" s="22">
        <f t="shared" si="3"/>
        <v>43.801934757622938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8.8000000000000007</v>
      </c>
      <c r="AI42" s="13">
        <f>IF('Données projet'!$A$62&gt;35,AI41+AH42-AQ41,IF(A42&lt;'Données projet'!$A$62,$AF$205^A42,IF(A42='Données projet'!$A$62,'Données projet'!$B$62,AI41+AH42-AQ41)))</f>
        <v>176.2000000000001</v>
      </c>
      <c r="AJ42" s="13">
        <f>AI42*VLOOKUP('Données projet'!$B$10,Paramètres!$A$1:$I$89,3,0)*VLOOKUP('Données projet'!$B$10,Paramètres!$A$1:$I$89,5,0)</f>
        <v>153.9283200000001</v>
      </c>
      <c r="AK42" s="13">
        <f t="shared" si="35"/>
        <v>39.46996283651783</v>
      </c>
      <c r="AL42" s="20">
        <f t="shared" si="4"/>
        <v>336.8353426069354</v>
      </c>
      <c r="AM42" s="59">
        <f t="shared" si="5"/>
        <v>630.16867594026871</v>
      </c>
      <c r="AN42" s="59">
        <f ca="1">AVERAGE(OFFSET($AM$3,0,0,'Données projet'!$E$10+1,1))-AVERAGE(OFFSET($H$3,0,0,'Données projet'!$E$10+1,1))</f>
        <v>208.92731420103507</v>
      </c>
      <c r="AO42" s="59">
        <f t="shared" si="36"/>
        <v>247.96048911281395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2.0716602022106865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2.0716602022106865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182.39999999999989</v>
      </c>
      <c r="BE42" s="13">
        <f>BD42*VLOOKUP('Données projet'!$B$11,Paramètres!$A$1:$I$89,3,0)*VLOOKUP('Données projet'!$B$11,Paramètres!$A$1:$I$89,5,0)</f>
        <v>133.73567999999992</v>
      </c>
      <c r="BF42" s="13">
        <f t="shared" si="37"/>
        <v>34.858136849359212</v>
      </c>
      <c r="BG42" s="20">
        <f t="shared" si="7"/>
        <v>293.63423101263379</v>
      </c>
      <c r="BH42" s="59">
        <f t="shared" si="8"/>
        <v>586.96756434596705</v>
      </c>
      <c r="BI42" s="59">
        <f ca="1">AVERAGE(OFFSET($BH$3,0,0,'Données projet'!$E$11+1,1))-AVERAGE(OFFSET($H$3,0,0,'Données projet'!$E$11+1,1))</f>
        <v>162.3892440844827</v>
      </c>
      <c r="BJ42" s="59">
        <f t="shared" si="38"/>
        <v>198.28846462484438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3.606223314959343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3.606223314959343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378.17323480030268</v>
      </c>
      <c r="T43" s="59">
        <f t="shared" si="34"/>
        <v>471.89239871617241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0.22000000000000003</v>
      </c>
      <c r="X43" s="16">
        <f>IF(ISNA(VLOOKUP(A43,'Données projet'!$A$35:$I$55,6,0)),0%,VLOOKUP(A43,'Données projet'!$A$35:$I$55,6,0)*VLOOKUP('Données projet'!$B$9,Paramètres!$A$1:$I$89,7,0))</f>
        <v>0.18700000000000003</v>
      </c>
      <c r="Y43" s="16">
        <f>IF(ISNA(VLOOKUP(A43,'Données projet'!$A$35:$I$55,7,0)),0%,VLOOKUP(A43,'Données projet'!$A$35:$I$55,7,0))</f>
        <v>0.26</v>
      </c>
      <c r="Z43" s="21">
        <f>EXP(-LN(2)/35)*Z42+(1-EXP(-LN(2)/35))/(LN(2)/35)*V43*W43*VLOOKUP('Données projet'!$B$9,Paramètres!$A$1:$I$89,3,0)*0.475*44/12</f>
        <v>28.827797531046841</v>
      </c>
      <c r="AA43" s="21">
        <f>EXP(-LN(2)/25)*AA42+(1-EXP(-LN(2)/25))/(LN(2)/25)*Calculateur!V43*Calculateur!X43*VLOOKUP('Données projet'!$B$9,Paramètres!$A$1:$I$89,3,0)*0.475*44/12</f>
        <v>32.236093906387708</v>
      </c>
      <c r="AB43" s="21">
        <f>EXP(-LN(2)/2)*AB42+(1-EXP(-LN(2)/2))/(LN(2)/2)*V43*Y43*VLOOKUP('Données projet'!$B$9,Paramètres!$A$1:$I$89,3,0)*0.475*44/12</f>
        <v>14.295340666118809</v>
      </c>
      <c r="AC43" s="22">
        <f t="shared" si="3"/>
        <v>75.359232103553353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185</v>
      </c>
      <c r="AG43" s="12">
        <f>VLOOKUP(A43,'Données projet'!$A$61:$I$81,9,0)</f>
        <v>8.8000000000000007</v>
      </c>
      <c r="AH43" s="12">
        <f t="array" ref="AH43">INDEX(AG:AG,MIN(IF(ISNUMBER(AG43:AG239),ROW(AG43:AG239),"")))</f>
        <v>8.8000000000000007</v>
      </c>
      <c r="AI43" s="13">
        <f>IF('Données projet'!$A$62&gt;35,AI42+AH43-AQ42,IF(A43&lt;'Données projet'!$A$62,$AF$205^A43,IF(A43='Données projet'!$A$62,'Données projet'!$B$62,AI42+AH43-AQ42)))</f>
        <v>185.00000000000011</v>
      </c>
      <c r="AJ43" s="13">
        <f>AI43*VLOOKUP('Données projet'!$B$10,Paramètres!$A$1:$I$89,3,0)*VLOOKUP('Données projet'!$B$10,Paramètres!$A$1:$I$89,5,0)</f>
        <v>161.61600000000013</v>
      </c>
      <c r="AK43" s="13">
        <f t="shared" si="35"/>
        <v>41.206795262049205</v>
      </c>
      <c r="AL43" s="20">
        <f t="shared" si="4"/>
        <v>353.2497017480693</v>
      </c>
      <c r="AM43" s="59">
        <f t="shared" si="5"/>
        <v>646.58303508140261</v>
      </c>
      <c r="AN43" s="59">
        <f ca="1">AVERAGE(OFFSET($AM$3,0,0,'Données projet'!$E$10+1,1))-AVERAGE(OFFSET($H$3,0,0,'Données projet'!$E$10+1,1))</f>
        <v>208.92731420103507</v>
      </c>
      <c r="AO43" s="59">
        <f t="shared" si="36"/>
        <v>247.96048911281395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27</v>
      </c>
      <c r="AR43" s="16">
        <f>IF(ISNA(VLOOKUP(A43,'Données projet'!$A$61:$I$81,5,0)),0%,VLOOKUP(A43,'Données projet'!$A$61:$I$81,5,0)*VLOOKUP('Données projet'!$B$10,Paramètres!$A$1:$I$89,7,0))</f>
        <v>0.129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5.3947048799927177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5.3947048799927177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191.99999999999989</v>
      </c>
      <c r="BE43" s="13">
        <f>BD43*VLOOKUP('Données projet'!$B$11,Paramètres!$A$1:$I$89,3,0)*VLOOKUP('Données projet'!$B$11,Paramètres!$A$1:$I$89,5,0)</f>
        <v>140.7743999999999</v>
      </c>
      <c r="BF43" s="13">
        <f t="shared" si="37"/>
        <v>36.474352666172067</v>
      </c>
      <c r="BG43" s="20">
        <f t="shared" si="7"/>
        <v>308.70824422691618</v>
      </c>
      <c r="BH43" s="59">
        <f t="shared" si="8"/>
        <v>602.04157756024949</v>
      </c>
      <c r="BI43" s="59">
        <f ca="1">AVERAGE(OFFSET($BH$3,0,0,'Données projet'!$E$11+1,1))-AVERAGE(OFFSET($H$3,0,0,'Données projet'!$E$11+1,1))</f>
        <v>162.3892440844827</v>
      </c>
      <c r="BJ43" s="59">
        <f t="shared" si="38"/>
        <v>198.28846462484438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0.215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8.4149033866188478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8.4149033866188478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378.17323480030268</v>
      </c>
      <c r="T44" s="59">
        <f t="shared" si="34"/>
        <v>471.89239871617241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28.262502004683306</v>
      </c>
      <c r="AA44" s="21">
        <f>EXP(-LN(2)/25)*AA43+(1-EXP(-LN(2)/25))/(LN(2)/25)*Calculateur!V44*Calculateur!X44*VLOOKUP('Données projet'!$B$9,Paramètres!$A$1:$I$89,3,0)*0.475*44/12</f>
        <v>31.354596223295033</v>
      </c>
      <c r="AB44" s="21">
        <f>EXP(-LN(2)/2)*AB43+(1-EXP(-LN(2)/2))/(LN(2)/2)*V44*Y44*VLOOKUP('Données projet'!$B$9,Paramètres!$A$1:$I$89,3,0)*0.475*44/12</f>
        <v>10.108332324384428</v>
      </c>
      <c r="AC44" s="22">
        <f t="shared" si="3"/>
        <v>69.725430552362766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</v>
      </c>
      <c r="AI44" s="13">
        <f>IF('Données projet'!$A$62&gt;35,AI43+AH44-AQ43,IF(A44&lt;'Données projet'!$A$62,$AF$205^A44,IF(A44='Données projet'!$A$62,'Données projet'!$B$62,AI43+AH44-AQ43)))</f>
        <v>166.00000000000011</v>
      </c>
      <c r="AJ44" s="13">
        <f>AI44*VLOOKUP('Données projet'!$B$10,Paramètres!$A$1:$I$89,3,0)*VLOOKUP('Données projet'!$B$10,Paramètres!$A$1:$I$89,5,0)</f>
        <v>145.01760000000013</v>
      </c>
      <c r="AK44" s="13">
        <f t="shared" si="35"/>
        <v>37.444100932065268</v>
      </c>
      <c r="AL44" s="20">
        <f t="shared" si="4"/>
        <v>317.78746245668054</v>
      </c>
      <c r="AM44" s="59">
        <f t="shared" si="5"/>
        <v>611.12079579001386</v>
      </c>
      <c r="AN44" s="59">
        <f ca="1">AVERAGE(OFFSET($AM$3,0,0,'Données projet'!$E$10+1,1))-AVERAGE(OFFSET($H$3,0,0,'Données projet'!$E$10+1,1))</f>
        <v>208.92731420103507</v>
      </c>
      <c r="AO44" s="59">
        <f t="shared" si="36"/>
        <v>247.96048911281395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5.2889180077411329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5.2889180077411329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172.19999999999987</v>
      </c>
      <c r="BE44" s="13">
        <f>BD44*VLOOKUP('Données projet'!$B$11,Paramètres!$A$1:$I$89,3,0)*VLOOKUP('Données projet'!$B$11,Paramètres!$A$1:$I$89,5,0)</f>
        <v>126.25703999999992</v>
      </c>
      <c r="BF44" s="13">
        <f t="shared" si="37"/>
        <v>33.130006114881219</v>
      </c>
      <c r="BG44" s="20">
        <f t="shared" si="7"/>
        <v>277.59910531675132</v>
      </c>
      <c r="BH44" s="59">
        <f t="shared" si="8"/>
        <v>570.93243865008458</v>
      </c>
      <c r="BI44" s="59">
        <f ca="1">AVERAGE(OFFSET($BH$3,0,0,'Données projet'!$E$11+1,1))-AVERAGE(OFFSET($H$3,0,0,'Données projet'!$E$11+1,1))</f>
        <v>162.3892440844827</v>
      </c>
      <c r="BJ44" s="59">
        <f t="shared" si="38"/>
        <v>198.28846462484438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8.2498922637915175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8.2498922637915175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378.17323480030268</v>
      </c>
      <c r="T45" s="59">
        <f t="shared" si="34"/>
        <v>471.89239871617241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27.708291578795535</v>
      </c>
      <c r="AA45" s="21">
        <f>EXP(-LN(2)/25)*AA44+(1-EXP(-LN(2)/25))/(LN(2)/25)*Calculateur!V45*Calculateur!X45*VLOOKUP('Données projet'!$B$9,Paramètres!$A$1:$I$89,3,0)*0.475*44/12</f>
        <v>30.497203140702478</v>
      </c>
      <c r="AB45" s="21">
        <f>EXP(-LN(2)/2)*AB44+(1-EXP(-LN(2)/2))/(LN(2)/2)*V45*Y45*VLOOKUP('Données projet'!$B$9,Paramètres!$A$1:$I$89,3,0)*0.475*44/12</f>
        <v>7.1476703330594056</v>
      </c>
      <c r="AC45" s="22">
        <f t="shared" si="3"/>
        <v>65.353165052557415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</v>
      </c>
      <c r="AI45" s="13">
        <f>IF('Données projet'!$A$62&gt;35,AI44+AH45-AQ44,IF(A45&lt;'Données projet'!$A$62,$AF$205^A45,IF(A45='Données projet'!$A$62,'Données projet'!$B$62,AI44+AH45-AQ44)))</f>
        <v>174.00000000000011</v>
      </c>
      <c r="AJ45" s="13">
        <f>AI45*VLOOKUP('Données projet'!$B$10,Paramètres!$A$1:$I$89,3,0)*VLOOKUP('Données projet'!$B$10,Paramètres!$A$1:$I$89,5,0)</f>
        <v>152.0064000000001</v>
      </c>
      <c r="AK45" s="13">
        <f t="shared" si="35"/>
        <v>39.034194016561486</v>
      </c>
      <c r="AL45" s="20">
        <f t="shared" si="4"/>
        <v>332.72903457884473</v>
      </c>
      <c r="AM45" s="59">
        <f t="shared" si="5"/>
        <v>626.06236791217805</v>
      </c>
      <c r="AN45" s="59">
        <f ca="1">AVERAGE(OFFSET($AM$3,0,0,'Données projet'!$E$10+1,1))-AVERAGE(OFFSET($H$3,0,0,'Données projet'!$E$10+1,1))</f>
        <v>208.92731420103507</v>
      </c>
      <c r="AO45" s="59">
        <f t="shared" si="36"/>
        <v>247.96048911281395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5.1852055515307809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5.1852055515307809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180.39999999999986</v>
      </c>
      <c r="BE45" s="13">
        <f>BD45*VLOOKUP('Données projet'!$B$11,Paramètres!$A$1:$I$89,3,0)*VLOOKUP('Données projet'!$B$11,Paramètres!$A$1:$I$89,5,0)</f>
        <v>132.2692799999999</v>
      </c>
      <c r="BF45" s="13">
        <f t="shared" si="37"/>
        <v>34.520194019648734</v>
      </c>
      <c r="BG45" s="20">
        <f t="shared" si="7"/>
        <v>290.49166725088799</v>
      </c>
      <c r="BH45" s="59">
        <f t="shared" si="8"/>
        <v>583.82500058422124</v>
      </c>
      <c r="BI45" s="59">
        <f ca="1">AVERAGE(OFFSET($BH$3,0,0,'Données projet'!$E$11+1,1))-AVERAGE(OFFSET($H$3,0,0,'Données projet'!$E$11+1,1))</f>
        <v>162.3892440844827</v>
      </c>
      <c r="BJ45" s="59">
        <f t="shared" si="38"/>
        <v>198.28846462484438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8.0881169084359836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8.0881169084359836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378.17323480030268</v>
      </c>
      <c r="T46" s="59">
        <f t="shared" si="34"/>
        <v>471.89239871617241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27.164948881324442</v>
      </c>
      <c r="AA46" s="21">
        <f>EXP(-LN(2)/25)*AA45+(1-EXP(-LN(2)/25))/(LN(2)/25)*Calculateur!V46*Calculateur!X46*VLOOKUP('Données projet'!$B$9,Paramètres!$A$1:$I$89,3,0)*0.475*44/12</f>
        <v>29.663255517041758</v>
      </c>
      <c r="AB46" s="21">
        <f>EXP(-LN(2)/2)*AB45+(1-EXP(-LN(2)/2))/(LN(2)/2)*V46*Y46*VLOOKUP('Données projet'!$B$9,Paramètres!$A$1:$I$89,3,0)*0.475*44/12</f>
        <v>5.0541661621922147</v>
      </c>
      <c r="AC46" s="22">
        <f t="shared" si="3"/>
        <v>61.882370560558414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</v>
      </c>
      <c r="AI46" s="13">
        <f>IF('Données projet'!$A$62&gt;35,AI45+AH46-AQ45,IF(A46&lt;'Données projet'!$A$62,$AF$205^A46,IF(A46='Données projet'!$A$62,'Données projet'!$B$62,AI45+AH46-AQ45)))</f>
        <v>182.00000000000011</v>
      </c>
      <c r="AJ46" s="13">
        <f>AI46*VLOOKUP('Données projet'!$B$10,Paramètres!$A$1:$I$89,3,0)*VLOOKUP('Données projet'!$B$10,Paramètres!$A$1:$I$89,5,0)</f>
        <v>158.99520000000012</v>
      </c>
      <c r="AK46" s="13">
        <f t="shared" si="35"/>
        <v>40.615796933386079</v>
      </c>
      <c r="AL46" s="20">
        <f t="shared" si="4"/>
        <v>347.65581965898099</v>
      </c>
      <c r="AM46" s="59">
        <f t="shared" si="5"/>
        <v>640.9891529923143</v>
      </c>
      <c r="AN46" s="59">
        <f ca="1">AVERAGE(OFFSET($AM$3,0,0,'Données projet'!$E$10+1,1))-AVERAGE(OFFSET($H$3,0,0,'Données projet'!$E$10+1,1))</f>
        <v>208.92731420103507</v>
      </c>
      <c r="AO46" s="59">
        <f t="shared" si="36"/>
        <v>247.96048911281395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5.0835268333283619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5.0835268333283619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188.59999999999985</v>
      </c>
      <c r="BE46" s="13">
        <f>BD46*VLOOKUP('Données projet'!$B$11,Paramètres!$A$1:$I$89,3,0)*VLOOKUP('Données projet'!$B$11,Paramètres!$A$1:$I$89,5,0)</f>
        <v>138.28151999999989</v>
      </c>
      <c r="BF46" s="13">
        <f t="shared" si="37"/>
        <v>35.903043322174639</v>
      </c>
      <c r="BG46" s="20">
        <f t="shared" si="7"/>
        <v>303.37144778612065</v>
      </c>
      <c r="BH46" s="59">
        <f t="shared" si="8"/>
        <v>596.70478111945397</v>
      </c>
      <c r="BI46" s="59">
        <f ca="1">AVERAGE(OFFSET($BH$3,0,0,'Données projet'!$E$11+1,1))-AVERAGE(OFFSET($H$3,0,0,'Données projet'!$E$11+1,1))</f>
        <v>162.3892440844827</v>
      </c>
      <c r="BJ46" s="59">
        <f t="shared" si="38"/>
        <v>198.28846462484438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7.9295138691257492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7.9295138691257492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378.17323480030268</v>
      </c>
      <c r="T47" s="59">
        <f t="shared" si="34"/>
        <v>471.89239871617241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26.632260802744437</v>
      </c>
      <c r="AA47" s="21">
        <f>EXP(-LN(2)/25)*AA46+(1-EXP(-LN(2)/25))/(LN(2)/25)*Calculateur!V47*Calculateur!X47*VLOOKUP('Données projet'!$B$9,Paramètres!$A$1:$I$89,3,0)*0.475*44/12</f>
        <v>28.852112235005439</v>
      </c>
      <c r="AB47" s="21">
        <f>EXP(-LN(2)/2)*AB46+(1-EXP(-LN(2)/2))/(LN(2)/2)*V47*Y47*VLOOKUP('Données projet'!$B$9,Paramètres!$A$1:$I$89,3,0)*0.475*44/12</f>
        <v>3.5738351665297032</v>
      </c>
      <c r="AC47" s="22">
        <f t="shared" si="3"/>
        <v>59.05820820427958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</v>
      </c>
      <c r="AI47" s="13">
        <f>IF('Données projet'!$A$62&gt;35,AI46+AH47-AQ46,IF(A47&lt;'Données projet'!$A$62,$AF$205^A47,IF(A47='Données projet'!$A$62,'Données projet'!$B$62,AI46+AH47-AQ46)))</f>
        <v>190.00000000000011</v>
      </c>
      <c r="AJ47" s="13">
        <f>AI47*VLOOKUP('Données projet'!$B$10,Paramètres!$A$1:$I$89,3,0)*VLOOKUP('Données projet'!$B$10,Paramètres!$A$1:$I$89,5,0)</f>
        <v>165.98400000000012</v>
      </c>
      <c r="AK47" s="13">
        <f t="shared" si="35"/>
        <v>42.189325525922285</v>
      </c>
      <c r="AL47" s="20">
        <f t="shared" si="4"/>
        <v>362.56854195764816</v>
      </c>
      <c r="AM47" s="59">
        <f t="shared" si="5"/>
        <v>655.90187529098148</v>
      </c>
      <c r="AN47" s="59">
        <f ca="1">AVERAGE(OFFSET($AM$3,0,0,'Données projet'!$E$10+1,1))-AVERAGE(OFFSET($H$3,0,0,'Données projet'!$E$10+1,1))</f>
        <v>208.92731420103507</v>
      </c>
      <c r="AO47" s="59">
        <f t="shared" si="36"/>
        <v>247.96048911281395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4.983841972771998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4.983841972771998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196.79999999999984</v>
      </c>
      <c r="BE47" s="13">
        <f>BD47*VLOOKUP('Données projet'!$B$11,Paramètres!$A$1:$I$89,3,0)*VLOOKUP('Données projet'!$B$11,Paramètres!$A$1:$I$89,5,0)</f>
        <v>144.29375999999988</v>
      </c>
      <c r="BF47" s="13">
        <f t="shared" si="37"/>
        <v>37.278909560653922</v>
      </c>
      <c r="BG47" s="20">
        <f t="shared" si="7"/>
        <v>316.23906615147206</v>
      </c>
      <c r="BH47" s="59">
        <f t="shared" si="8"/>
        <v>609.57239948480537</v>
      </c>
      <c r="BI47" s="59">
        <f ca="1">AVERAGE(OFFSET($BH$3,0,0,'Données projet'!$E$11+1,1))-AVERAGE(OFFSET($H$3,0,0,'Données projet'!$E$11+1,1))</f>
        <v>162.3892440844827</v>
      </c>
      <c r="BJ47" s="59">
        <f t="shared" si="38"/>
        <v>198.28846462484438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7.7740209386780865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7.7740209386780865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378.17323480030268</v>
      </c>
      <c r="T48" s="59">
        <f t="shared" si="34"/>
        <v>471.89239871617241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0.27500000000000002</v>
      </c>
      <c r="X48" s="16">
        <f>IF(ISNA(VLOOKUP(A48,'Données projet'!$A$35:$I$55,6,0)),0%,VLOOKUP(A48,'Données projet'!$A$35:$I$55,6,0)*VLOOKUP('Données projet'!$B$9,Paramètres!$A$1:$I$89,7,0))</f>
        <v>0.15400000000000003</v>
      </c>
      <c r="Y48" s="16">
        <f>IF(ISNA(VLOOKUP(A48,'Données projet'!$A$35:$I$55,7,0)),0%,VLOOKUP(A48,'Données projet'!$A$35:$I$55,7,0))</f>
        <v>0.22</v>
      </c>
      <c r="Z48" s="21">
        <f>EXP(-LN(2)/35)*Z47+(1-EXP(-LN(2)/35))/(LN(2)/35)*V48*W48*VLOOKUP('Données projet'!$B$9,Paramètres!$A$1:$I$89,3,0)*0.475*44/12</f>
        <v>39.569142392699</v>
      </c>
      <c r="AA48" s="21">
        <f>EXP(-LN(2)/25)*AA47+(1-EXP(-LN(2)/25))/(LN(2)/25)*Calculateur!V48*Calculateur!X48*VLOOKUP('Données projet'!$B$9,Paramètres!$A$1:$I$89,3,0)*0.475*44/12</f>
        <v>35.570582665910962</v>
      </c>
      <c r="AB48" s="21">
        <f>EXP(-LN(2)/2)*AB47+(1-EXP(-LN(2)/2))/(LN(2)/2)*V48*Y48*VLOOKUP('Données projet'!$B$9,Paramètres!$A$1:$I$89,3,0)*0.475*44/12</f>
        <v>11.717050325783223</v>
      </c>
      <c r="AC48" s="22">
        <f t="shared" si="3"/>
        <v>86.856775384393188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198</v>
      </c>
      <c r="AG48" s="12">
        <f>VLOOKUP(A48,'Données projet'!$A$61:$I$81,9,0)</f>
        <v>8</v>
      </c>
      <c r="AH48" s="12">
        <f t="array" ref="AH48">INDEX(AG:AG,MIN(IF(ISNUMBER(AG48:AG244),ROW(AG48:AG244),"")))</f>
        <v>8</v>
      </c>
      <c r="AI48" s="13">
        <f>IF('Données projet'!$A$62&gt;35,AI47+AH48-AQ47,IF(A48&lt;'Données projet'!$A$62,$AF$205^A48,IF(A48='Données projet'!$A$62,'Données projet'!$B$62,AI47+AH48-AQ47)))</f>
        <v>198.00000000000011</v>
      </c>
      <c r="AJ48" s="13">
        <f>AI48*VLOOKUP('Données projet'!$B$10,Paramètres!$A$1:$I$89,3,0)*VLOOKUP('Données projet'!$B$10,Paramètres!$A$1:$I$89,5,0)</f>
        <v>172.97280000000012</v>
      </c>
      <c r="AK48" s="13">
        <f t="shared" si="35"/>
        <v>43.75515863819728</v>
      </c>
      <c r="AL48" s="20">
        <f t="shared" si="4"/>
        <v>377.46786129486048</v>
      </c>
      <c r="AM48" s="59">
        <f t="shared" si="5"/>
        <v>670.8011946281938</v>
      </c>
      <c r="AN48" s="59">
        <f ca="1">AVERAGE(OFFSET($AM$3,0,0,'Données projet'!$E$10+1,1))-AVERAGE(OFFSET($H$3,0,0,'Données projet'!$E$10+1,1))</f>
        <v>208.92731420103507</v>
      </c>
      <c r="AO48" s="59">
        <f t="shared" si="36"/>
        <v>247.96048911281395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8.1252002211495729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8.1252002211495729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204.99999999999983</v>
      </c>
      <c r="BE48" s="13">
        <f>BD48*VLOOKUP('Données projet'!$B$11,Paramètres!$A$1:$I$89,3,0)*VLOOKUP('Données projet'!$B$11,Paramètres!$A$1:$I$89,5,0)</f>
        <v>150.30599999999987</v>
      </c>
      <c r="BF48" s="13">
        <f t="shared" si="37"/>
        <v>38.648116968856641</v>
      </c>
      <c r="BG48" s="20">
        <f t="shared" si="7"/>
        <v>329.09508705409172</v>
      </c>
      <c r="BH48" s="59">
        <f t="shared" si="8"/>
        <v>622.42842038742504</v>
      </c>
      <c r="BI48" s="59">
        <f ca="1">AVERAGE(OFFSET($BH$3,0,0,'Données projet'!$E$11+1,1))-AVERAGE(OFFSET($H$3,0,0,'Données projet'!$E$11+1,1))</f>
        <v>162.3892440844827</v>
      </c>
      <c r="BJ48" s="59">
        <f t="shared" si="38"/>
        <v>198.28846462484438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0.215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11.455388202909115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11.455388202909115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378.17323480030268</v>
      </c>
      <c r="T49" s="59">
        <f t="shared" si="34"/>
        <v>471.89239871617241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38.793215645171919</v>
      </c>
      <c r="AA49" s="21">
        <f>EXP(-LN(2)/25)*AA48+(1-EXP(-LN(2)/25))/(LN(2)/25)*Calculateur!V49*Calculateur!X49*VLOOKUP('Données projet'!$B$9,Paramètres!$A$1:$I$89,3,0)*0.475*44/12</f>
        <v>34.597903212335979</v>
      </c>
      <c r="AB49" s="21">
        <f>EXP(-LN(2)/2)*AB48+(1-EXP(-LN(2)/2))/(LN(2)/2)*V49*Y49*VLOOKUP('Données projet'!$B$9,Paramètres!$A$1:$I$89,3,0)*0.475*44/12</f>
        <v>8.2852057408653632</v>
      </c>
      <c r="AC49" s="22">
        <f t="shared" si="3"/>
        <v>81.67632459837327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7.4</v>
      </c>
      <c r="AI49" s="13">
        <f>IF('Données projet'!$A$62&gt;35,AI48+AH49-AQ48,IF(A49&lt;'Données projet'!$A$62,$AF$205^A49,IF(A49='Données projet'!$A$62,'Données projet'!$B$62,AI48+AH49-AQ48)))</f>
        <v>179.40000000000012</v>
      </c>
      <c r="AJ49" s="13">
        <f>AI49*VLOOKUP('Données projet'!$B$10,Paramètres!$A$1:$I$89,3,0)*VLOOKUP('Données projet'!$B$10,Paramètres!$A$1:$I$89,5,0)</f>
        <v>156.72384000000011</v>
      </c>
      <c r="AK49" s="13">
        <f t="shared" si="35"/>
        <v>40.10268098462052</v>
      </c>
      <c r="AL49" s="20">
        <f t="shared" si="4"/>
        <v>342.80619071488087</v>
      </c>
      <c r="AM49" s="59">
        <f t="shared" si="5"/>
        <v>636.13952404821418</v>
      </c>
      <c r="AN49" s="59">
        <f ca="1">AVERAGE(OFFSET($AM$3,0,0,'Données projet'!$E$10+1,1))-AVERAGE(OFFSET($H$3,0,0,'Données projet'!$E$10+1,1))</f>
        <v>208.92731420103507</v>
      </c>
      <c r="AO49" s="59">
        <f t="shared" si="36"/>
        <v>247.96048911281395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7.9658700006956122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7.9658700006956122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190.19999999999982</v>
      </c>
      <c r="BE49" s="13">
        <f>BD49*VLOOKUP('Données projet'!$B$11,Paramètres!$A$1:$I$89,3,0)*VLOOKUP('Données projet'!$B$11,Paramètres!$A$1:$I$89,5,0)</f>
        <v>139.45463999999987</v>
      </c>
      <c r="BF49" s="13">
        <f t="shared" si="37"/>
        <v>36.172042811708643</v>
      </c>
      <c r="BG49" s="20">
        <f t="shared" si="7"/>
        <v>305.88313923039232</v>
      </c>
      <c r="BH49" s="59">
        <f t="shared" si="8"/>
        <v>599.21647256372557</v>
      </c>
      <c r="BI49" s="59">
        <f ca="1">AVERAGE(OFFSET($BH$3,0,0,'Données projet'!$E$11+1,1))-AVERAGE(OFFSET($H$3,0,0,'Données projet'!$E$11+1,1))</f>
        <v>162.3892440844827</v>
      </c>
      <c r="BJ49" s="59">
        <f t="shared" si="38"/>
        <v>198.28846462484438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11.230755027346952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11.230755027346952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378.17323480030268</v>
      </c>
      <c r="T50" s="59">
        <f t="shared" si="34"/>
        <v>471.89239871617241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38.032504347895262</v>
      </c>
      <c r="AA50" s="21">
        <f>EXP(-LN(2)/25)*AA49+(1-EXP(-LN(2)/25))/(LN(2)/25)*Calculateur!V50*Calculateur!X50*VLOOKUP('Données projet'!$B$9,Paramètres!$A$1:$I$89,3,0)*0.475*44/12</f>
        <v>33.651821729569996</v>
      </c>
      <c r="AB50" s="21">
        <f>EXP(-LN(2)/2)*AB49+(1-EXP(-LN(2)/2))/(LN(2)/2)*V50*Y50*VLOOKUP('Données projet'!$B$9,Paramètres!$A$1:$I$89,3,0)*0.475*44/12</f>
        <v>5.8585251628916124</v>
      </c>
      <c r="AC50" s="22">
        <f t="shared" si="3"/>
        <v>77.542851240356867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7.4</v>
      </c>
      <c r="AI50" s="13">
        <f>IF('Données projet'!$A$62&gt;35,AI49+AH50-AQ49,IF(A50&lt;'Données projet'!$A$62,$AF$205^A50,IF(A50='Données projet'!$A$62,'Données projet'!$B$62,AI49+AH50-AQ49)))</f>
        <v>186.80000000000013</v>
      </c>
      <c r="AJ50" s="13">
        <f>AI50*VLOOKUP('Données projet'!$B$10,Paramètres!$A$1:$I$89,3,0)*VLOOKUP('Données projet'!$B$10,Paramètres!$A$1:$I$89,5,0)</f>
        <v>163.18848000000011</v>
      </c>
      <c r="AK50" s="13">
        <f t="shared" si="35"/>
        <v>41.560857991048017</v>
      </c>
      <c r="AL50" s="20">
        <f t="shared" si="4"/>
        <v>356.60509700107553</v>
      </c>
      <c r="AM50" s="59">
        <f t="shared" si="5"/>
        <v>649.93843033440885</v>
      </c>
      <c r="AN50" s="59">
        <f ca="1">AVERAGE(OFFSET($AM$3,0,0,'Données projet'!$E$10+1,1))-AVERAGE(OFFSET($H$3,0,0,'Données projet'!$E$10+1,1))</f>
        <v>208.92731420103507</v>
      </c>
      <c r="AO50" s="59">
        <f t="shared" si="36"/>
        <v>247.96048911281395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7.8096641486829146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7.8096641486829146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197.39999999999981</v>
      </c>
      <c r="BE50" s="13">
        <f>BD50*VLOOKUP('Données projet'!$B$11,Paramètres!$A$1:$I$89,3,0)*VLOOKUP('Données projet'!$B$11,Paramètres!$A$1:$I$89,5,0)</f>
        <v>144.73367999999985</v>
      </c>
      <c r="BF50" s="13">
        <f t="shared" si="37"/>
        <v>37.379317506781838</v>
      </c>
      <c r="BG50" s="20">
        <f t="shared" si="7"/>
        <v>317.18013732431143</v>
      </c>
      <c r="BH50" s="59">
        <f t="shared" si="8"/>
        <v>610.5134706576448</v>
      </c>
      <c r="BI50" s="59">
        <f ca="1">AVERAGE(OFFSET($BH$3,0,0,'Données projet'!$E$11+1,1))-AVERAGE(OFFSET($H$3,0,0,'Données projet'!$E$11+1,1))</f>
        <v>162.3892440844827</v>
      </c>
      <c r="BJ50" s="59">
        <f t="shared" si="38"/>
        <v>198.28846462484438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11.010526771344855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11.010526771344855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378.17323480030268</v>
      </c>
      <c r="T51" s="59">
        <f t="shared" si="34"/>
        <v>471.89239871617241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37.286710135170125</v>
      </c>
      <c r="AA51" s="21">
        <f>EXP(-LN(2)/25)*AA50+(1-EXP(-LN(2)/25))/(LN(2)/25)*Calculateur!V51*Calculateur!X51*VLOOKUP('Données projet'!$B$9,Paramètres!$A$1:$I$89,3,0)*0.475*44/12</f>
        <v>32.731610894702513</v>
      </c>
      <c r="AB51" s="21">
        <f>EXP(-LN(2)/2)*AB50+(1-EXP(-LN(2)/2))/(LN(2)/2)*V51*Y51*VLOOKUP('Données projet'!$B$9,Paramètres!$A$1:$I$89,3,0)*0.475*44/12</f>
        <v>4.1426028704326825</v>
      </c>
      <c r="AC51" s="22">
        <f t="shared" si="3"/>
        <v>74.16092390030532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7.4</v>
      </c>
      <c r="AI51" s="13">
        <f>IF('Données projet'!$A$62&gt;35,AI50+AH51-AQ50,IF(A51&lt;'Données projet'!$A$62,$AF$205^A51,IF(A51='Données projet'!$A$62,'Données projet'!$B$62,AI50+AH51-AQ50)))</f>
        <v>194.20000000000013</v>
      </c>
      <c r="AJ51" s="13">
        <f>AI51*VLOOKUP('Données projet'!$B$10,Paramètres!$A$1:$I$89,3,0)*VLOOKUP('Données projet'!$B$10,Paramètres!$A$1:$I$89,5,0)</f>
        <v>169.65312000000014</v>
      </c>
      <c r="AK51" s="13">
        <f t="shared" si="35"/>
        <v>43.012324771430336</v>
      </c>
      <c r="AL51" s="20">
        <f t="shared" si="4"/>
        <v>370.39231631024148</v>
      </c>
      <c r="AM51" s="59">
        <f t="shared" si="5"/>
        <v>663.7256496435748</v>
      </c>
      <c r="AN51" s="59">
        <f ca="1">AVERAGE(OFFSET($AM$3,0,0,'Données projet'!$E$10+1,1))-AVERAGE(OFFSET($H$3,0,0,'Données projet'!$E$10+1,1))</f>
        <v>208.92731420103507</v>
      </c>
      <c r="AO51" s="59">
        <f t="shared" si="36"/>
        <v>247.96048911281395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7.6565213981520239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7.6565213981520239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204.5999999999998</v>
      </c>
      <c r="BE51" s="13">
        <f>BD51*VLOOKUP('Données projet'!$B$11,Paramètres!$A$1:$I$89,3,0)*VLOOKUP('Données projet'!$B$11,Paramètres!$A$1:$I$89,5,0)</f>
        <v>150.01271999999983</v>
      </c>
      <c r="BF51" s="13">
        <f t="shared" si="37"/>
        <v>38.581476272231598</v>
      </c>
      <c r="BG51" s="20">
        <f t="shared" si="7"/>
        <v>328.46822517413642</v>
      </c>
      <c r="BH51" s="59">
        <f t="shared" si="8"/>
        <v>621.80155850746974</v>
      </c>
      <c r="BI51" s="59">
        <f ca="1">AVERAGE(OFFSET($BH$3,0,0,'Données projet'!$E$11+1,1))-AVERAGE(OFFSET($H$3,0,0,'Données projet'!$E$11+1,1))</f>
        <v>162.3892440844827</v>
      </c>
      <c r="BJ51" s="59">
        <f t="shared" si="38"/>
        <v>198.28846462484438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10.794617057116987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10.794617057116987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378.17323480030268</v>
      </c>
      <c r="T52" s="59">
        <f t="shared" si="34"/>
        <v>471.89239871617241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36.555540492066974</v>
      </c>
      <c r="AA52" s="21">
        <f>EXP(-LN(2)/25)*AA51+(1-EXP(-LN(2)/25))/(LN(2)/25)*Calculateur!V52*Calculateur!X52*VLOOKUP('Données projet'!$B$9,Paramètres!$A$1:$I$89,3,0)*0.475*44/12</f>
        <v>31.836563273506265</v>
      </c>
      <c r="AB52" s="21">
        <f>EXP(-LN(2)/2)*AB51+(1-EXP(-LN(2)/2))/(LN(2)/2)*V52*Y52*VLOOKUP('Données projet'!$B$9,Paramètres!$A$1:$I$89,3,0)*0.475*44/12</f>
        <v>2.9292625814458066</v>
      </c>
      <c r="AC52" s="22">
        <f t="shared" si="3"/>
        <v>71.321366347019051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7.4</v>
      </c>
      <c r="AI52" s="13">
        <f>IF('Données projet'!$A$62&gt;35,AI51+AH52-AQ51,IF(A52&lt;'Données projet'!$A$62,$AF$205^A52,IF(A52='Données projet'!$A$62,'Données projet'!$B$62,AI51+AH52-AQ51)))</f>
        <v>201.60000000000014</v>
      </c>
      <c r="AJ52" s="13">
        <f>AI52*VLOOKUP('Données projet'!$B$10,Paramètres!$A$1:$I$89,3,0)*VLOOKUP('Données projet'!$B$10,Paramètres!$A$1:$I$89,5,0)</f>
        <v>176.11776000000015</v>
      </c>
      <c r="AK52" s="13">
        <f t="shared" si="35"/>
        <v>44.457366290237246</v>
      </c>
      <c r="AL52" s="20">
        <f t="shared" si="4"/>
        <v>384.16834495549682</v>
      </c>
      <c r="AM52" s="59">
        <f t="shared" si="5"/>
        <v>677.50167828883013</v>
      </c>
      <c r="AN52" s="59">
        <f ca="1">AVERAGE(OFFSET($AM$3,0,0,'Données projet'!$E$10+1,1))-AVERAGE(OFFSET($H$3,0,0,'Données projet'!$E$10+1,1))</f>
        <v>208.92731420103507</v>
      </c>
      <c r="AO52" s="59">
        <f t="shared" si="36"/>
        <v>247.96048911281395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7.5063816835511901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7.5063816835511901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211.79999999999978</v>
      </c>
      <c r="BE52" s="13">
        <f>BD52*VLOOKUP('Données projet'!$B$11,Paramètres!$A$1:$I$89,3,0)*VLOOKUP('Données projet'!$B$11,Paramètres!$A$1:$I$89,5,0)</f>
        <v>155.29175999999984</v>
      </c>
      <c r="BF52" s="13">
        <f t="shared" si="37"/>
        <v>39.778719769696778</v>
      </c>
      <c r="BG52" s="20">
        <f t="shared" si="7"/>
        <v>339.74775226555494</v>
      </c>
      <c r="BH52" s="59">
        <f t="shared" si="8"/>
        <v>633.08108559888819</v>
      </c>
      <c r="BI52" s="59">
        <f ca="1">AVERAGE(OFFSET($BH$3,0,0,'Données projet'!$E$11+1,1))-AVERAGE(OFFSET($H$3,0,0,'Données projet'!$E$11+1,1))</f>
        <v>162.3892440844827</v>
      </c>
      <c r="BJ52" s="59">
        <f t="shared" si="38"/>
        <v>198.28846462484438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10.582941200693206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10.582941200693206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378.17323480030268</v>
      </c>
      <c r="T53" s="59">
        <f t="shared" si="34"/>
        <v>471.89239871617241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0.33</v>
      </c>
      <c r="X53" s="16">
        <f>IF(ISNA(VLOOKUP(A53,'Données projet'!$A$35:$I$55,6,0)),0%,VLOOKUP(A53,'Données projet'!$A$35:$I$55,6,0)*VLOOKUP('Données projet'!$B$9,Paramètres!$A$1:$I$89,7,0))</f>
        <v>0.12100000000000001</v>
      </c>
      <c r="Y53" s="16">
        <f>IF(ISNA(VLOOKUP(A53,'Données projet'!$A$35:$I$55,7,0)),0%,VLOOKUP(A53,'Données projet'!$A$35:$I$55,7,0))</f>
        <v>0.18</v>
      </c>
      <c r="Z53" s="21">
        <f>EXP(-LN(2)/35)*Z52+(1-EXP(-LN(2)/35))/(LN(2)/35)*V53*W53*VLOOKUP('Données projet'!$B$9,Paramètres!$A$1:$I$89,3,0)*0.475*44/12</f>
        <v>47.584853204252362</v>
      </c>
      <c r="AA53" s="21">
        <f>EXP(-LN(2)/25)*AA52+(1-EXP(-LN(2)/25))/(LN(2)/25)*Calculateur!V53*Calculateur!X53*VLOOKUP('Données projet'!$B$9,Paramètres!$A$1:$I$89,3,0)*0.475*44/12</f>
        <v>35.255952466430649</v>
      </c>
      <c r="AB53" s="21">
        <f>EXP(-LN(2)/2)*AB52+(1-EXP(-LN(2)/2))/(LN(2)/2)*V53*Y53*VLOOKUP('Données projet'!$B$9,Paramètres!$A$1:$I$89,3,0)*0.475*44/12</f>
        <v>7.5397116965177648</v>
      </c>
      <c r="AC53" s="22">
        <f t="shared" si="3"/>
        <v>90.380517367200781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209</v>
      </c>
      <c r="AG53" s="12">
        <f>VLOOKUP(A53,'Données projet'!$A$61:$I$81,9,0)</f>
        <v>7.4</v>
      </c>
      <c r="AH53" s="12">
        <f t="array" ref="AH53">INDEX(AG:AG,MIN(IF(ISNUMBER(AG53:AG249),ROW(AG53:AG249),"")))</f>
        <v>7.4</v>
      </c>
      <c r="AI53" s="13">
        <f>IF('Données projet'!$A$62&gt;35,AI52+AH53-AQ52,IF(A53&lt;'Données projet'!$A$62,$AF$205^A53,IF(A53='Données projet'!$A$62,'Données projet'!$B$62,AI52+AH53-AQ52)))</f>
        <v>209.00000000000014</v>
      </c>
      <c r="AJ53" s="13">
        <f>AI53*VLOOKUP('Données projet'!$B$10,Paramètres!$A$1:$I$89,3,0)*VLOOKUP('Données projet'!$B$10,Paramètres!$A$1:$I$89,5,0)</f>
        <v>182.58240000000015</v>
      </c>
      <c r="AK53" s="13">
        <f t="shared" si="35"/>
        <v>45.896245406460288</v>
      </c>
      <c r="AL53" s="20">
        <f t="shared" si="4"/>
        <v>397.93364074958521</v>
      </c>
      <c r="AM53" s="59">
        <f t="shared" si="5"/>
        <v>691.26697408291852</v>
      </c>
      <c r="AN53" s="59">
        <f ca="1">AVERAGE(OFFSET($AM$3,0,0,'Données projet'!$E$10+1,1))-AVERAGE(OFFSET($H$3,0,0,'Données projet'!$E$10+1,1))</f>
        <v>208.92731420103507</v>
      </c>
      <c r="AO53" s="59">
        <f t="shared" si="36"/>
        <v>247.96048911281395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24</v>
      </c>
      <c r="AR53" s="16">
        <f>IF(ISNA(VLOOKUP(A53,'Données projet'!$A$61:$I$81,5,0)),0%,VLOOKUP(A53,'Données projet'!$A$61:$I$81,5,0)*VLOOKUP('Données projet'!$B$10,Paramètres!$A$1:$I$89,7,0))</f>
        <v>0.17200000000000001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11.345756393633115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11.345756393633115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218.99999999999977</v>
      </c>
      <c r="BE53" s="13">
        <f>BD53*VLOOKUP('Données projet'!$B$11,Paramètres!$A$1:$I$89,3,0)*VLOOKUP('Données projet'!$B$11,Paramètres!$A$1:$I$89,5,0)</f>
        <v>160.57079999999985</v>
      </c>
      <c r="BF53" s="13">
        <f t="shared" si="37"/>
        <v>40.97123424416818</v>
      </c>
      <c r="BG53" s="20">
        <f t="shared" si="7"/>
        <v>351.01904297525931</v>
      </c>
      <c r="BH53" s="59">
        <f t="shared" si="8"/>
        <v>644.35237630859262</v>
      </c>
      <c r="BI53" s="59">
        <f ca="1">AVERAGE(OFFSET($BH$3,0,0,'Données projet'!$E$11+1,1))-AVERAGE(OFFSET($H$3,0,0,'Données projet'!$E$11+1,1))</f>
        <v>162.3892440844827</v>
      </c>
      <c r="BJ53" s="59">
        <f t="shared" si="38"/>
        <v>198.28846462484438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0.25800000000000001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13.9304046283562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13.9304046283562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378.17323480030268</v>
      </c>
      <c r="T54" s="59">
        <f t="shared" si="34"/>
        <v>471.89239871617241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46.651743256811557</v>
      </c>
      <c r="AA54" s="21">
        <f>EXP(-LN(2)/25)*AA53+(1-EXP(-LN(2)/25))/(LN(2)/25)*Calculateur!V54*Calculateur!X54*VLOOKUP('Données projet'!$B$9,Paramètres!$A$1:$I$89,3,0)*0.475*44/12</f>
        <v>34.291876592206144</v>
      </c>
      <c r="AB54" s="21">
        <f>EXP(-LN(2)/2)*AB53+(1-EXP(-LN(2)/2))/(LN(2)/2)*V54*Y54*VLOOKUP('Données projet'!$B$9,Paramètres!$A$1:$I$89,3,0)*0.475*44/12</f>
        <v>5.3313812687992401</v>
      </c>
      <c r="AC54" s="22">
        <f t="shared" si="3"/>
        <v>86.275001117816927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6.6</v>
      </c>
      <c r="AI54" s="13">
        <f>IF('Données projet'!$A$62&gt;35,AI53+AH54-AQ53,IF(A54&lt;'Données projet'!$A$62,$AF$205^A54,IF(A54='Données projet'!$A$62,'Données projet'!$B$62,AI53+AH54-AQ53)))</f>
        <v>191.60000000000014</v>
      </c>
      <c r="AJ54" s="13">
        <f>AI54*VLOOKUP('Données projet'!$B$10,Paramètres!$A$1:$I$89,3,0)*VLOOKUP('Données projet'!$B$10,Paramètres!$A$1:$I$89,5,0)</f>
        <v>167.38176000000016</v>
      </c>
      <c r="AK54" s="13">
        <f t="shared" si="35"/>
        <v>42.503096259839239</v>
      </c>
      <c r="AL54" s="20">
        <f t="shared" si="4"/>
        <v>365.54945798588693</v>
      </c>
      <c r="AM54" s="59">
        <f t="shared" si="5"/>
        <v>658.88279131922025</v>
      </c>
      <c r="AN54" s="59">
        <f ca="1">AVERAGE(OFFSET($AM$3,0,0,'Données projet'!$E$10+1,1))-AVERAGE(OFFSET($H$3,0,0,'Données projet'!$E$10+1,1))</f>
        <v>208.92731420103507</v>
      </c>
      <c r="AO54" s="59">
        <f t="shared" si="36"/>
        <v>247.96048911281395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11.123273030982054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11.123273030982054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207.99999999999977</v>
      </c>
      <c r="BE54" s="13">
        <f>BD54*VLOOKUP('Données projet'!$B$11,Paramètres!$A$1:$I$89,3,0)*VLOOKUP('Données projet'!$B$11,Paramètres!$A$1:$I$89,5,0)</f>
        <v>152.50559999999984</v>
      </c>
      <c r="BF54" s="13">
        <f t="shared" si="37"/>
        <v>39.147442061162181</v>
      </c>
      <c r="BG54" s="20">
        <f t="shared" si="7"/>
        <v>333.79571492319047</v>
      </c>
      <c r="BH54" s="59">
        <f t="shared" si="8"/>
        <v>627.12904825652379</v>
      </c>
      <c r="BI54" s="59">
        <f ca="1">AVERAGE(OFFSET($BH$3,0,0,'Données projet'!$E$11+1,1))-AVERAGE(OFFSET($H$3,0,0,'Données projet'!$E$11+1,1))</f>
        <v>162.3892440844827</v>
      </c>
      <c r="BJ54" s="59">
        <f t="shared" si="38"/>
        <v>198.28846462484438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13.657237890301978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13.657237890301978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378.17323480030268</v>
      </c>
      <c r="T55" s="59">
        <f t="shared" si="34"/>
        <v>471.89239871617241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45.736931026299196</v>
      </c>
      <c r="AA55" s="21">
        <f>EXP(-LN(2)/25)*AA54+(1-EXP(-LN(2)/25))/(LN(2)/25)*Calculateur!V55*Calculateur!X55*VLOOKUP('Données projet'!$B$9,Paramètres!$A$1:$I$89,3,0)*0.475*44/12</f>
        <v>33.354163423460854</v>
      </c>
      <c r="AB55" s="21">
        <f>EXP(-LN(2)/2)*AB54+(1-EXP(-LN(2)/2))/(LN(2)/2)*V55*Y55*VLOOKUP('Données projet'!$B$9,Paramètres!$A$1:$I$89,3,0)*0.475*44/12</f>
        <v>3.7698558482588829</v>
      </c>
      <c r="AC55" s="22">
        <f t="shared" si="3"/>
        <v>82.860950298018935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6.6</v>
      </c>
      <c r="AI55" s="13">
        <f>IF('Données projet'!$A$62&gt;35,AI54+AH55-AQ54,IF(A55&lt;'Données projet'!$A$62,$AF$205^A55,IF(A55='Données projet'!$A$62,'Données projet'!$B$62,AI54+AH55-AQ54)))</f>
        <v>198.20000000000013</v>
      </c>
      <c r="AJ55" s="13">
        <f>AI55*VLOOKUP('Données projet'!$B$10,Paramètres!$A$1:$I$89,3,0)*VLOOKUP('Données projet'!$B$10,Paramètres!$A$1:$I$89,5,0)</f>
        <v>173.14752000000016</v>
      </c>
      <c r="AK55" s="13">
        <f t="shared" si="35"/>
        <v>43.794208927254068</v>
      </c>
      <c r="AL55" s="20">
        <f t="shared" si="4"/>
        <v>377.84017788163442</v>
      </c>
      <c r="AM55" s="59">
        <f t="shared" si="5"/>
        <v>671.17351121496768</v>
      </c>
      <c r="AN55" s="59">
        <f ca="1">AVERAGE(OFFSET($AM$3,0,0,'Données projet'!$E$10+1,1))-AVERAGE(OFFSET($H$3,0,0,'Données projet'!$E$10+1,1))</f>
        <v>208.92731420103507</v>
      </c>
      <c r="AO55" s="59">
        <f t="shared" si="36"/>
        <v>247.96048911281395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10.905152431371128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10.905152431371128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213.99999999999977</v>
      </c>
      <c r="BE55" s="13">
        <f>BD55*VLOOKUP('Données projet'!$B$11,Paramètres!$A$1:$I$89,3,0)*VLOOKUP('Données projet'!$B$11,Paramètres!$A$1:$I$89,5,0)</f>
        <v>156.90479999999982</v>
      </c>
      <c r="BF55" s="13">
        <f t="shared" si="37"/>
        <v>40.143592678874299</v>
      </c>
      <c r="BG55" s="20">
        <f t="shared" si="7"/>
        <v>343.19261724903907</v>
      </c>
      <c r="BH55" s="59">
        <f t="shared" si="8"/>
        <v>636.52595058237239</v>
      </c>
      <c r="BI55" s="59">
        <f ca="1">AVERAGE(OFFSET($BH$3,0,0,'Données projet'!$E$11+1,1))-AVERAGE(OFFSET($H$3,0,0,'Données projet'!$E$11+1,1))</f>
        <v>162.3892440844827</v>
      </c>
      <c r="BJ55" s="59">
        <f t="shared" si="38"/>
        <v>198.28846462484438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13.389427785365742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13.389427785365742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378.17323480030268</v>
      </c>
      <c r="T56" s="59">
        <f t="shared" si="34"/>
        <v>471.89239871617241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44.840057705646814</v>
      </c>
      <c r="AA56" s="21">
        <f>EXP(-LN(2)/25)*AA55+(1-EXP(-LN(2)/25))/(LN(2)/25)*Calculateur!V56*Calculateur!X56*VLOOKUP('Données projet'!$B$9,Paramètres!$A$1:$I$89,3,0)*0.475*44/12</f>
        <v>32.442092070627098</v>
      </c>
      <c r="AB56" s="21">
        <f>EXP(-LN(2)/2)*AB55+(1-EXP(-LN(2)/2))/(LN(2)/2)*V56*Y56*VLOOKUP('Données projet'!$B$9,Paramètres!$A$1:$I$89,3,0)*0.475*44/12</f>
        <v>2.6656906343996205</v>
      </c>
      <c r="AC56" s="22">
        <f t="shared" si="3"/>
        <v>79.947840410673535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6.6</v>
      </c>
      <c r="AI56" s="13">
        <f>IF('Données projet'!$A$62&gt;35,AI55+AH56-AQ55,IF(A56&lt;'Données projet'!$A$62,$AF$205^A56,IF(A56='Données projet'!$A$62,'Données projet'!$B$62,AI55+AH56-AQ55)))</f>
        <v>204.80000000000013</v>
      </c>
      <c r="AJ56" s="13">
        <f>AI56*VLOOKUP('Données projet'!$B$10,Paramètres!$A$1:$I$89,3,0)*VLOOKUP('Données projet'!$B$10,Paramètres!$A$1:$I$89,5,0)</f>
        <v>178.91328000000016</v>
      </c>
      <c r="AK56" s="13">
        <f t="shared" si="35"/>
        <v>45.080325843494883</v>
      </c>
      <c r="AL56" s="20">
        <f t="shared" si="4"/>
        <v>390.12219684408723</v>
      </c>
      <c r="AM56" s="59">
        <f t="shared" si="5"/>
        <v>683.45553017742054</v>
      </c>
      <c r="AN56" s="59">
        <f ca="1">AVERAGE(OFFSET($AM$3,0,0,'Données projet'!$E$10+1,1))-AVERAGE(OFFSET($H$3,0,0,'Données projet'!$E$10+1,1))</f>
        <v>208.92731420103507</v>
      </c>
      <c r="AO56" s="59">
        <f t="shared" si="36"/>
        <v>247.96048911281395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10.691309043678144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10.691309043678144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219.99999999999977</v>
      </c>
      <c r="BE56" s="13">
        <f>BD56*VLOOKUP('Données projet'!$B$11,Paramètres!$A$1:$I$89,3,0)*VLOOKUP('Données projet'!$B$11,Paramètres!$A$1:$I$89,5,0)</f>
        <v>161.30399999999983</v>
      </c>
      <c r="BF56" s="13">
        <f t="shared" si="37"/>
        <v>41.136497157560363</v>
      </c>
      <c r="BG56" s="20">
        <f t="shared" si="7"/>
        <v>352.58386588275067</v>
      </c>
      <c r="BH56" s="59">
        <f t="shared" si="8"/>
        <v>645.91719921608399</v>
      </c>
      <c r="BI56" s="59">
        <f ca="1">AVERAGE(OFFSET($BH$3,0,0,'Données projet'!$E$11+1,1))-AVERAGE(OFFSET($H$3,0,0,'Données projet'!$E$11+1,1))</f>
        <v>162.3892440844827</v>
      </c>
      <c r="BJ56" s="59">
        <f t="shared" si="38"/>
        <v>198.28846462484438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13.12686927323927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13.12686927323927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378.17323480030268</v>
      </c>
      <c r="T57" s="59">
        <f t="shared" si="34"/>
        <v>471.89239871617241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43.960771523773715</v>
      </c>
      <c r="AA57" s="21">
        <f>EXP(-LN(2)/25)*AA56+(1-EXP(-LN(2)/25))/(LN(2)/25)*Calculateur!V57*Calculateur!X57*VLOOKUP('Données projet'!$B$9,Paramètres!$A$1:$I$89,3,0)*0.475*44/12</f>
        <v>31.554961356900325</v>
      </c>
      <c r="AB57" s="21">
        <f>EXP(-LN(2)/2)*AB56+(1-EXP(-LN(2)/2))/(LN(2)/2)*V57*Y57*VLOOKUP('Données projet'!$B$9,Paramètres!$A$1:$I$89,3,0)*0.475*44/12</f>
        <v>1.8849279241294417</v>
      </c>
      <c r="AC57" s="22">
        <f t="shared" si="3"/>
        <v>77.400660804803479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6.6</v>
      </c>
      <c r="AI57" s="13">
        <f>IF('Données projet'!$A$62&gt;35,AI56+AH57-AQ56,IF(A57&lt;'Données projet'!$A$62,$AF$205^A57,IF(A57='Données projet'!$A$62,'Données projet'!$B$62,AI56+AH57-AQ56)))</f>
        <v>211.40000000000012</v>
      </c>
      <c r="AJ57" s="13">
        <f>AI57*VLOOKUP('Données projet'!$B$10,Paramètres!$A$1:$I$89,3,0)*VLOOKUP('Données projet'!$B$10,Paramètres!$A$1:$I$89,5,0)</f>
        <v>184.67904000000013</v>
      </c>
      <c r="AK57" s="13">
        <f t="shared" si="35"/>
        <v>46.361626470742223</v>
      </c>
      <c r="AL57" s="20">
        <f t="shared" si="4"/>
        <v>402.3958274365429</v>
      </c>
      <c r="AM57" s="59">
        <f t="shared" si="5"/>
        <v>695.72916076987622</v>
      </c>
      <c r="AN57" s="59">
        <f ca="1">AVERAGE(OFFSET($AM$3,0,0,'Données projet'!$E$10+1,1))-AVERAGE(OFFSET($H$3,0,0,'Données projet'!$E$10+1,1))</f>
        <v>208.92731420103507</v>
      </c>
      <c r="AO57" s="59">
        <f t="shared" si="36"/>
        <v>247.96048911281395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10.481658994386231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10.481658994386231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225.99999999999977</v>
      </c>
      <c r="BE57" s="13">
        <f>BD57*VLOOKUP('Données projet'!$B$11,Paramètres!$A$1:$I$89,3,0)*VLOOKUP('Données projet'!$B$11,Paramètres!$A$1:$I$89,5,0)</f>
        <v>165.70319999999984</v>
      </c>
      <c r="BF57" s="13">
        <f t="shared" si="37"/>
        <v>42.126254201367267</v>
      </c>
      <c r="BG57" s="20">
        <f t="shared" si="7"/>
        <v>361.96963273404771</v>
      </c>
      <c r="BH57" s="59">
        <f t="shared" si="8"/>
        <v>655.30296606738102</v>
      </c>
      <c r="BI57" s="59">
        <f ca="1">AVERAGE(OFFSET($BH$3,0,0,'Données projet'!$E$11+1,1))-AVERAGE(OFFSET($H$3,0,0,'Données projet'!$E$11+1,1))</f>
        <v>162.3892440844827</v>
      </c>
      <c r="BJ57" s="59">
        <f t="shared" si="38"/>
        <v>198.28846462484438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12.869459373390718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12.869459373390718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378.17323480030268</v>
      </c>
      <c r="T58" s="59">
        <f t="shared" si="34"/>
        <v>471.89239871617241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0.38500000000000001</v>
      </c>
      <c r="X58" s="16">
        <f>IF(ISNA(VLOOKUP(A58,'Données projet'!$A$35:$I$55,6,0)),0%,VLOOKUP(A58,'Données projet'!$A$35:$I$55,6,0)*VLOOKUP('Données projet'!$B$9,Paramètres!$A$1:$I$89,7,0))</f>
        <v>9.3500000000000014E-2</v>
      </c>
      <c r="Y58" s="16">
        <f>IF(ISNA(VLOOKUP(A58,'Données projet'!$A$35:$I$55,7,0)),0%,VLOOKUP(A58,'Données projet'!$A$35:$I$55,7,0))</f>
        <v>0.13</v>
      </c>
      <c r="Z58" s="21">
        <f>EXP(-LN(2)/35)*Z57+(1-EXP(-LN(2)/35))/(LN(2)/35)*V58*W58*VLOOKUP('Données projet'!$B$9,Paramètres!$A$1:$I$89,3,0)*0.475*44/12</f>
        <v>53.09110753232526</v>
      </c>
      <c r="AA58" s="21">
        <f>EXP(-LN(2)/25)*AA57+(1-EXP(-LN(2)/25))/(LN(2)/25)*Calculateur!V58*Calculateur!X58*VLOOKUP('Données projet'!$B$9,Paramètres!$A$1:$I$89,3,0)*0.475*44/12</f>
        <v>33.109255193454949</v>
      </c>
      <c r="AB58" s="21">
        <f>EXP(-LN(2)/2)*AB57+(1-EXP(-LN(2)/2))/(LN(2)/2)*V58*Y58*VLOOKUP('Données projet'!$B$9,Paramètres!$A$1:$I$89,3,0)*0.475*44/12</f>
        <v>4.2126215543434995</v>
      </c>
      <c r="AC58" s="22">
        <f t="shared" si="3"/>
        <v>90.412984280123709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218</v>
      </c>
      <c r="AG58" s="12">
        <f>VLOOKUP(A58,'Données projet'!$A$61:$I$81,9,0)</f>
        <v>6.6</v>
      </c>
      <c r="AH58" s="12">
        <f t="array" ref="AH58">INDEX(AG:AG,MIN(IF(ISNUMBER(AG58:AG254),ROW(AG58:AG254),"")))</f>
        <v>6.6</v>
      </c>
      <c r="AI58" s="13">
        <f>IF('Données projet'!$A$62&gt;35,AI57+AH58-AQ57,IF(A58&lt;'Données projet'!$A$62,$AF$205^A58,IF(A58='Données projet'!$A$62,'Données projet'!$B$62,AI57+AH58-AQ57)))</f>
        <v>218.00000000000011</v>
      </c>
      <c r="AJ58" s="13">
        <f>AI58*VLOOKUP('Données projet'!$B$10,Paramètres!$A$1:$I$89,3,0)*VLOOKUP('Données projet'!$B$10,Paramètres!$A$1:$I$89,5,0)</f>
        <v>190.44480000000013</v>
      </c>
      <c r="AK58" s="13">
        <f t="shared" si="35"/>
        <v>47.638278428909231</v>
      </c>
      <c r="AL58" s="20">
        <f t="shared" si="4"/>
        <v>414.66136159701711</v>
      </c>
      <c r="AM58" s="59">
        <f t="shared" si="5"/>
        <v>707.99469493035042</v>
      </c>
      <c r="AN58" s="59">
        <f ca="1">AVERAGE(OFFSET($AM$3,0,0,'Données projet'!$E$10+1,1))-AVERAGE(OFFSET($H$3,0,0,'Données projet'!$E$10+1,1))</f>
        <v>208.92731420103507</v>
      </c>
      <c r="AO58" s="59">
        <f t="shared" si="36"/>
        <v>247.96048911281395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23</v>
      </c>
      <c r="AR58" s="16">
        <f>IF(ISNA(VLOOKUP(A58,'Données projet'!$A$61:$I$81,5,0)),0%,VLOOKUP(A58,'Données projet'!$A$61:$I$81,5,0)*VLOOKUP('Données projet'!$B$10,Paramètres!$A$1:$I$89,7,0))</f>
        <v>0.17200000000000001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14.096583236290334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14.096583236290334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231.99999999999977</v>
      </c>
      <c r="BE58" s="13">
        <f>BD58*VLOOKUP('Données projet'!$B$11,Paramètres!$A$1:$I$89,3,0)*VLOOKUP('Données projet'!$B$11,Paramètres!$A$1:$I$89,5,0)</f>
        <v>170.10239999999985</v>
      </c>
      <c r="BF58" s="13">
        <f t="shared" si="37"/>
        <v>43.112956975087286</v>
      </c>
      <c r="BG58" s="20">
        <f t="shared" si="7"/>
        <v>371.35008006494337</v>
      </c>
      <c r="BH58" s="59">
        <f t="shared" si="8"/>
        <v>664.68341339827668</v>
      </c>
      <c r="BI58" s="59">
        <f ca="1">AVERAGE(OFFSET($BH$3,0,0,'Données projet'!$E$11+1,1))-AVERAGE(OFFSET($H$3,0,0,'Données projet'!$E$11+1,1))</f>
        <v>162.3892440844827</v>
      </c>
      <c r="BJ58" s="59">
        <f t="shared" si="38"/>
        <v>198.28846462484438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0.25800000000000001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15.335617703819178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15.335617703819178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378.17323480030268</v>
      </c>
      <c r="T59" s="59">
        <f t="shared" si="34"/>
        <v>471.89239871617241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52.050023295994464</v>
      </c>
      <c r="AA59" s="21">
        <f>EXP(-LN(2)/25)*AA58+(1-EXP(-LN(2)/25))/(LN(2)/25)*Calculateur!V59*Calculateur!X59*VLOOKUP('Données projet'!$B$9,Paramètres!$A$1:$I$89,3,0)*0.475*44/12</f>
        <v>32.203880869049868</v>
      </c>
      <c r="AB59" s="21">
        <f>EXP(-LN(2)/2)*AB58+(1-EXP(-LN(2)/2))/(LN(2)/2)*V59*Y59*VLOOKUP('Données projet'!$B$9,Paramètres!$A$1:$I$89,3,0)*0.475*44/12</f>
        <v>2.9787732676489029</v>
      </c>
      <c r="AC59" s="22">
        <f t="shared" si="3"/>
        <v>87.232677432693237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</v>
      </c>
      <c r="AI59" s="13">
        <f>IF('Données projet'!$A$62&gt;35,AI58+AH59-AQ58,IF(A59&lt;'Données projet'!$A$62,$AF$205^A59,IF(A59='Données projet'!$A$62,'Données projet'!$B$62,AI58+AH59-AQ58)))</f>
        <v>201.00000000000011</v>
      </c>
      <c r="AJ59" s="13">
        <f>AI59*VLOOKUP('Données projet'!$B$10,Paramètres!$A$1:$I$89,3,0)*VLOOKUP('Données projet'!$B$10,Paramètres!$A$1:$I$89,5,0)</f>
        <v>175.59360000000012</v>
      </c>
      <c r="AK59" s="13">
        <f t="shared" si="35"/>
        <v>44.340433728638573</v>
      </c>
      <c r="AL59" s="20">
        <f t="shared" si="4"/>
        <v>383.05177541071242</v>
      </c>
      <c r="AM59" s="59">
        <f t="shared" si="5"/>
        <v>676.38510874404574</v>
      </c>
      <c r="AN59" s="59">
        <f ca="1">AVERAGE(OFFSET($AM$3,0,0,'Données projet'!$E$10+1,1))-AVERAGE(OFFSET($H$3,0,0,'Données projet'!$E$10+1,1))</f>
        <v>208.92731420103507</v>
      </c>
      <c r="AO59" s="59">
        <f t="shared" si="36"/>
        <v>247.96048911281395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13.820157837093467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13.820157837093467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224.19999999999976</v>
      </c>
      <c r="BE59" s="13">
        <f>BD59*VLOOKUP('Données projet'!$B$11,Paramètres!$A$1:$I$89,3,0)*VLOOKUP('Données projet'!$B$11,Paramètres!$A$1:$I$89,5,0)</f>
        <v>164.38343999999981</v>
      </c>
      <c r="BF59" s="13">
        <f t="shared" si="37"/>
        <v>41.829651923319155</v>
      </c>
      <c r="BG59" s="20">
        <f t="shared" si="7"/>
        <v>359.15446843311383</v>
      </c>
      <c r="BH59" s="59">
        <f t="shared" si="8"/>
        <v>652.48780176644709</v>
      </c>
      <c r="BI59" s="59">
        <f ca="1">AVERAGE(OFFSET($BH$3,0,0,'Données projet'!$E$11+1,1))-AVERAGE(OFFSET($H$3,0,0,'Données projet'!$E$11+1,1))</f>
        <v>162.3892440844827</v>
      </c>
      <c r="BJ59" s="59">
        <f t="shared" si="38"/>
        <v>198.28846462484438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15.034895594450472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15.034895594450472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378.17323480030268</v>
      </c>
      <c r="T60" s="59">
        <f t="shared" si="34"/>
        <v>471.89239871617241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51.029354086539428</v>
      </c>
      <c r="AA60" s="21">
        <f>EXP(-LN(2)/25)*AA59+(1-EXP(-LN(2)/25))/(LN(2)/25)*Calculateur!V60*Calculateur!X60*VLOOKUP('Données projet'!$B$9,Paramètres!$A$1:$I$89,3,0)*0.475*44/12</f>
        <v>31.323264053157207</v>
      </c>
      <c r="AB60" s="21">
        <f>EXP(-LN(2)/2)*AB59+(1-EXP(-LN(2)/2))/(LN(2)/2)*V60*Y60*VLOOKUP('Données projet'!$B$9,Paramètres!$A$1:$I$89,3,0)*0.475*44/12</f>
        <v>2.1063107771717502</v>
      </c>
      <c r="AC60" s="22">
        <f t="shared" si="3"/>
        <v>84.458928916868388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</v>
      </c>
      <c r="AI60" s="13">
        <f>IF('Données projet'!$A$62&gt;35,AI59+AH60-AQ59,IF(A60&lt;'Données projet'!$A$62,$AF$205^A60,IF(A60='Données projet'!$A$62,'Données projet'!$B$62,AI59+AH60-AQ59)))</f>
        <v>207.00000000000011</v>
      </c>
      <c r="AJ60" s="13">
        <f>AI60*VLOOKUP('Données projet'!$B$10,Paramètres!$A$1:$I$89,3,0)*VLOOKUP('Données projet'!$B$10,Paramètres!$A$1:$I$89,5,0)</f>
        <v>180.83520000000013</v>
      </c>
      <c r="AK60" s="13">
        <f t="shared" si="35"/>
        <v>45.507952685945178</v>
      </c>
      <c r="AL60" s="20">
        <f t="shared" si="4"/>
        <v>394.2143242613547</v>
      </c>
      <c r="AM60" s="59">
        <f t="shared" si="5"/>
        <v>687.54765759468796</v>
      </c>
      <c r="AN60" s="59">
        <f ca="1">AVERAGE(OFFSET($AM$3,0,0,'Données projet'!$E$10+1,1))-AVERAGE(OFFSET($H$3,0,0,'Données projet'!$E$10+1,1))</f>
        <v>208.92731420103507</v>
      </c>
      <c r="AO60" s="59">
        <f t="shared" si="36"/>
        <v>247.96048911281395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13.549152971372004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13.549152971372004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229.39999999999975</v>
      </c>
      <c r="BE60" s="13">
        <f>BD60*VLOOKUP('Données projet'!$B$11,Paramètres!$A$1:$I$89,3,0)*VLOOKUP('Données projet'!$B$11,Paramètres!$A$1:$I$89,5,0)</f>
        <v>168.1960799999998</v>
      </c>
      <c r="BF60" s="13">
        <f t="shared" si="37"/>
        <v>42.685755010634225</v>
      </c>
      <c r="BG60" s="20">
        <f t="shared" si="7"/>
        <v>367.28586264352089</v>
      </c>
      <c r="BH60" s="59">
        <f t="shared" si="8"/>
        <v>660.61919597685414</v>
      </c>
      <c r="BI60" s="59">
        <f ca="1">AVERAGE(OFFSET($BH$3,0,0,'Données projet'!$E$11+1,1))-AVERAGE(OFFSET($H$3,0,0,'Données projet'!$E$11+1,1))</f>
        <v>162.3892440844827</v>
      </c>
      <c r="BJ60" s="59">
        <f t="shared" si="38"/>
        <v>198.28846462484438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14.740070462224111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14.740070462224111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378.17323480030268</v>
      </c>
      <c r="T61" s="59">
        <f t="shared" si="34"/>
        <v>471.89239871617241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50.028699577735061</v>
      </c>
      <c r="AA61" s="21">
        <f>EXP(-LN(2)/25)*AA60+(1-EXP(-LN(2)/25))/(LN(2)/25)*Calculateur!V61*Calculateur!X61*VLOOKUP('Données projet'!$B$9,Paramètres!$A$1:$I$89,3,0)*0.475*44/12</f>
        <v>30.466727750404758</v>
      </c>
      <c r="AB61" s="21">
        <f>EXP(-LN(2)/2)*AB60+(1-EXP(-LN(2)/2))/(LN(2)/2)*V61*Y61*VLOOKUP('Données projet'!$B$9,Paramètres!$A$1:$I$89,3,0)*0.475*44/12</f>
        <v>1.4893866338244517</v>
      </c>
      <c r="AC61" s="22">
        <f t="shared" si="3"/>
        <v>81.984813961964264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</v>
      </c>
      <c r="AI61" s="13">
        <f>IF('Données projet'!$A$62&gt;35,AI60+AH61-AQ60,IF(A61&lt;'Données projet'!$A$62,$AF$205^A61,IF(A61='Données projet'!$A$62,'Données projet'!$B$62,AI60+AH61-AQ60)))</f>
        <v>213.00000000000011</v>
      </c>
      <c r="AJ61" s="13">
        <f>AI61*VLOOKUP('Données projet'!$B$10,Paramètres!$A$1:$I$89,3,0)*VLOOKUP('Données projet'!$B$10,Paramètres!$A$1:$I$89,5,0)</f>
        <v>186.07680000000011</v>
      </c>
      <c r="AK61" s="13">
        <f t="shared" si="35"/>
        <v>46.671538591528716</v>
      </c>
      <c r="AL61" s="20">
        <f t="shared" si="4"/>
        <v>405.37002304691265</v>
      </c>
      <c r="AM61" s="59">
        <f t="shared" si="5"/>
        <v>698.70335638024596</v>
      </c>
      <c r="AN61" s="59">
        <f ca="1">AVERAGE(OFFSET($AM$3,0,0,'Données projet'!$E$10+1,1))-AVERAGE(OFFSET($H$3,0,0,'Données projet'!$E$10+1,1))</f>
        <v>208.92731420103507</v>
      </c>
      <c r="AO61" s="59">
        <f t="shared" si="36"/>
        <v>247.96048911281395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13.283462345770694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13.283462345770694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234.59999999999974</v>
      </c>
      <c r="BE61" s="13">
        <f>BD61*VLOOKUP('Données projet'!$B$11,Paramètres!$A$1:$I$89,3,0)*VLOOKUP('Données projet'!$B$11,Paramètres!$A$1:$I$89,5,0)</f>
        <v>172.00871999999981</v>
      </c>
      <c r="BF61" s="13">
        <f t="shared" si="37"/>
        <v>43.539602012936164</v>
      </c>
      <c r="BG61" s="20">
        <f t="shared" si="7"/>
        <v>375.41332750586349</v>
      </c>
      <c r="BH61" s="59">
        <f t="shared" si="8"/>
        <v>668.74666083919681</v>
      </c>
      <c r="BI61" s="59">
        <f ca="1">AVERAGE(OFFSET($BH$3,0,0,'Données projet'!$E$11+1,1))-AVERAGE(OFFSET($H$3,0,0,'Données projet'!$E$11+1,1))</f>
        <v>162.3892440844827</v>
      </c>
      <c r="BJ61" s="59">
        <f t="shared" si="38"/>
        <v>198.28846462484438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14.451026671015134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14.451026671015134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378.17323480030268</v>
      </c>
      <c r="T62" s="59">
        <f t="shared" si="34"/>
        <v>471.89239871617241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49.047667293509363</v>
      </c>
      <c r="AA62" s="21">
        <f>EXP(-LN(2)/25)*AA61+(1-EXP(-LN(2)/25))/(LN(2)/25)*Calculateur!V62*Calculateur!X62*VLOOKUP('Données projet'!$B$9,Paramètres!$A$1:$I$89,3,0)*0.475*44/12</f>
        <v>29.633613477894361</v>
      </c>
      <c r="AB62" s="21">
        <f>EXP(-LN(2)/2)*AB61+(1-EXP(-LN(2)/2))/(LN(2)/2)*V62*Y62*VLOOKUP('Données projet'!$B$9,Paramètres!$A$1:$I$89,3,0)*0.475*44/12</f>
        <v>1.0531553885858753</v>
      </c>
      <c r="AC62" s="22">
        <f t="shared" si="3"/>
        <v>79.734436159989599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</v>
      </c>
      <c r="AI62" s="13">
        <f>IF('Données projet'!$A$62&gt;35,AI61+AH62-AQ61,IF(A62&lt;'Données projet'!$A$62,$AF$205^A62,IF(A62='Données projet'!$A$62,'Données projet'!$B$62,AI61+AH62-AQ61)))</f>
        <v>219.00000000000011</v>
      </c>
      <c r="AJ62" s="13">
        <f>AI62*VLOOKUP('Données projet'!$B$10,Paramètres!$A$1:$I$89,3,0)*VLOOKUP('Données projet'!$B$10,Paramètres!$A$1:$I$89,5,0)</f>
        <v>191.31840000000011</v>
      </c>
      <c r="AK62" s="13">
        <f t="shared" si="35"/>
        <v>47.831314962098396</v>
      </c>
      <c r="AL62" s="20">
        <f t="shared" si="4"/>
        <v>416.51908689232147</v>
      </c>
      <c r="AM62" s="59">
        <f t="shared" si="5"/>
        <v>709.85242022565478</v>
      </c>
      <c r="AN62" s="59">
        <f ca="1">AVERAGE(OFFSET($AM$3,0,0,'Données projet'!$E$10+1,1))-AVERAGE(OFFSET($H$3,0,0,'Données projet'!$E$10+1,1))</f>
        <v>208.92731420103507</v>
      </c>
      <c r="AO62" s="59">
        <f t="shared" si="36"/>
        <v>247.96048911281395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13.022981751282144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13.022981751282144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239.79999999999973</v>
      </c>
      <c r="BE62" s="13">
        <f>BD62*VLOOKUP('Données projet'!$B$11,Paramètres!$A$1:$I$89,3,0)*VLOOKUP('Données projet'!$B$11,Paramètres!$A$1:$I$89,5,0)</f>
        <v>175.8213599999998</v>
      </c>
      <c r="BF62" s="13">
        <f t="shared" si="37"/>
        <v>44.391248695306942</v>
      </c>
      <c r="BG62" s="20">
        <f t="shared" si="7"/>
        <v>383.53696014432597</v>
      </c>
      <c r="BH62" s="59">
        <f t="shared" si="8"/>
        <v>676.87029347765929</v>
      </c>
      <c r="BI62" s="59">
        <f ca="1">AVERAGE(OFFSET($BH$3,0,0,'Données projet'!$E$11+1,1))-AVERAGE(OFFSET($H$3,0,0,'Données projet'!$E$11+1,1))</f>
        <v>162.3892440844827</v>
      </c>
      <c r="BJ62" s="59">
        <f t="shared" si="38"/>
        <v>198.28846462484438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14.167650852252461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14.167650852252461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378.17323480030268</v>
      </c>
      <c r="T63" s="59">
        <f t="shared" si="34"/>
        <v>471.89239871617241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6.0500000000000005E-2</v>
      </c>
      <c r="Y63" s="16">
        <f>IF(ISNA(VLOOKUP(A63,'Données projet'!$A$35:$I$55,7,0)),0%,VLOOKUP(A63,'Données projet'!$A$35:$I$55,7,0))</f>
        <v>0.09</v>
      </c>
      <c r="Z63" s="21">
        <f>EXP(-LN(2)/35)*Z62+(1-EXP(-LN(2)/35))/(LN(2)/35)*V63*W63*VLOOKUP('Données projet'!$B$9,Paramètres!$A$1:$I$89,3,0)*0.475*44/12</f>
        <v>265.38954689830638</v>
      </c>
      <c r="AA63" s="21">
        <f>EXP(-LN(2)/25)*AA62+(1-EXP(-LN(2)/25))/(LN(2)/25)*Calculateur!V63*Calculateur!X63*VLOOKUP('Données projet'!$B$9,Paramètres!$A$1:$I$89,3,0)*0.475*44/12</f>
        <v>58.584889982315232</v>
      </c>
      <c r="AB63" s="21">
        <f>EXP(-LN(2)/2)*AB62+(1-EXP(-LN(2)/2))/(LN(2)/2)*V63*Y63*VLOOKUP('Données projet'!$B$9,Paramètres!$A$1:$I$89,3,0)*0.475*44/12</f>
        <v>38.681789504690848</v>
      </c>
      <c r="AC63" s="22">
        <f t="shared" si="3"/>
        <v>362.65622638531249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225</v>
      </c>
      <c r="AG63" s="12">
        <f>VLOOKUP(A63,'Données projet'!$A$61:$I$81,9,0)</f>
        <v>6</v>
      </c>
      <c r="AH63" s="12">
        <f t="array" ref="AH63">INDEX(AG:AG,MIN(IF(ISNUMBER(AG63:AG259),ROW(AG63:AG259),"")))</f>
        <v>6</v>
      </c>
      <c r="AI63" s="13">
        <f>IF('Données projet'!$A$62&gt;35,AI62+AH63-AQ62,IF(A63&lt;'Données projet'!$A$62,$AF$205^A63,IF(A63='Données projet'!$A$62,'Données projet'!$B$62,AI62+AH63-AQ62)))</f>
        <v>225.00000000000011</v>
      </c>
      <c r="AJ63" s="13">
        <f>AI63*VLOOKUP('Données projet'!$B$10,Paramètres!$A$1:$I$89,3,0)*VLOOKUP('Données projet'!$B$10,Paramètres!$A$1:$I$89,5,0)</f>
        <v>196.56000000000012</v>
      </c>
      <c r="AK63" s="13">
        <f t="shared" si="35"/>
        <v>48.987398161128134</v>
      </c>
      <c r="AL63" s="20">
        <f t="shared" si="4"/>
        <v>427.66171846396509</v>
      </c>
      <c r="AM63" s="59">
        <f t="shared" si="5"/>
        <v>720.9950517972984</v>
      </c>
      <c r="AN63" s="59">
        <f ca="1">AVERAGE(OFFSET($AM$3,0,0,'Données projet'!$E$10+1,1))-AVERAGE(OFFSET($H$3,0,0,'Données projet'!$E$10+1,1))</f>
        <v>208.92731420103507</v>
      </c>
      <c r="AO63" s="59">
        <f t="shared" si="36"/>
        <v>247.96048911281395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225</v>
      </c>
      <c r="AR63" s="16">
        <f>IF(ISNA(VLOOKUP(A63,'Données projet'!$A$61:$I$81,5,0)),0%,VLOOKUP(A63,'Données projet'!$A$61:$I$81,5,0)*VLOOKUP('Données projet'!$B$10,Paramètres!$A$1:$I$89,7,0))</f>
        <v>0.215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59.485229449588324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59.485229449588324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244.99999999999972</v>
      </c>
      <c r="BE63" s="13">
        <f>BD63*VLOOKUP('Données projet'!$B$11,Paramètres!$A$1:$I$89,3,0)*VLOOKUP('Données projet'!$B$11,Paramètres!$A$1:$I$89,5,0)</f>
        <v>179.63399999999979</v>
      </c>
      <c r="BF63" s="13">
        <f t="shared" si="37"/>
        <v>45.240748266194643</v>
      </c>
      <c r="BG63" s="20">
        <f t="shared" si="7"/>
        <v>391.65685323028862</v>
      </c>
      <c r="BH63" s="59">
        <f t="shared" si="8"/>
        <v>684.99018656362193</v>
      </c>
      <c r="BI63" s="59">
        <f ca="1">AVERAGE(OFFSET($BH$3,0,0,'Données projet'!$E$11+1,1))-AVERAGE(OFFSET($H$3,0,0,'Données projet'!$E$11+1,1))</f>
        <v>162.3892440844827</v>
      </c>
      <c r="BJ63" s="59">
        <f t="shared" si="38"/>
        <v>198.28846462484438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245</v>
      </c>
      <c r="BM63" s="16">
        <f>IF(ISNA(VLOOKUP(A63,'Données projet'!$A$87:$I$107,5,0)),0%,VLOOKUP(A63,'Données projet'!$A$87:$I$107,5,0)*VLOOKUP('Données projet'!$B$11,Paramètres!$A$1:$I$89,7,0))</f>
        <v>0.30099999999999999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73.662431773717145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73.662431773717145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378.17323480030268</v>
      </c>
      <c r="T64" s="59">
        <f t="shared" si="34"/>
        <v>471.89239871617241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260.18541975527069</v>
      </c>
      <c r="AA64" s="21">
        <f>EXP(-LN(2)/25)*AA63+(1-EXP(-LN(2)/25))/(LN(2)/25)*Calculateur!V64*Calculateur!X64*VLOOKUP('Données projet'!$B$9,Paramètres!$A$1:$I$89,3,0)*0.475*44/12</f>
        <v>56.982883084903357</v>
      </c>
      <c r="AB64" s="21">
        <f>EXP(-LN(2)/2)*AB63+(1-EXP(-LN(2)/2))/(LN(2)/2)*V64*Y64*VLOOKUP('Données projet'!$B$9,Paramètres!$A$1:$I$89,3,0)*0.475*44/12</f>
        <v>27.352155667197522</v>
      </c>
      <c r="AC64" s="22">
        <f t="shared" si="3"/>
        <v>344.52045850737153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9.9316821433603781E-14</v>
      </c>
      <c r="AK64" s="13">
        <f t="shared" si="35"/>
        <v>1.4932118279712753E-12</v>
      </c>
      <c r="AL64" s="20">
        <f t="shared" si="4"/>
        <v>2.7736540643801645E-12</v>
      </c>
      <c r="AM64" s="59">
        <f t="shared" si="5"/>
        <v>293.3333333333361</v>
      </c>
      <c r="AN64" s="59">
        <f ca="1">AVERAGE(OFFSET($AM$3,0,0,'Données projet'!$E$10+1,1))-AVERAGE(OFFSET($H$3,0,0,'Données projet'!$E$10+1,1))</f>
        <v>208.92731420103507</v>
      </c>
      <c r="AO64" s="59">
        <f t="shared" si="36"/>
        <v>247.96048911281395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58.318760382489273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58.318760382489273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-2.8421709430404007E-13</v>
      </c>
      <c r="BE64" s="13">
        <f>BD64*VLOOKUP('Données projet'!$B$11,Paramètres!$A$1:$I$89,3,0)*VLOOKUP('Données projet'!$B$11,Paramètres!$A$1:$I$89,5,0)</f>
        <v>-2.0838797354372215E-13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162.3892440844827</v>
      </c>
      <c r="BJ64" s="59">
        <f t="shared" si="38"/>
        <v>198.28846462484438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72.217956416281496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72.217956416281496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378.17323480030268</v>
      </c>
      <c r="T65" s="59">
        <f t="shared" si="34"/>
        <v>471.89239871617241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255.0833423713058</v>
      </c>
      <c r="AA65" s="21">
        <f>EXP(-LN(2)/25)*AA64+(1-EXP(-LN(2)/25))/(LN(2)/25)*Calculateur!V65*Calculateur!X65*VLOOKUP('Données projet'!$B$9,Paramètres!$A$1:$I$89,3,0)*0.475*44/12</f>
        <v>55.424683150347086</v>
      </c>
      <c r="AB65" s="21">
        <f>EXP(-LN(2)/2)*AB64+(1-EXP(-LN(2)/2))/(LN(2)/2)*V65*Y65*VLOOKUP('Données projet'!$B$9,Paramètres!$A$1:$I$89,3,0)*0.475*44/12</f>
        <v>19.340894752345424</v>
      </c>
      <c r="AC65" s="22">
        <f t="shared" si="3"/>
        <v>329.84892027399832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9.9316821433603781E-14</v>
      </c>
      <c r="AK65" s="13">
        <f t="shared" si="35"/>
        <v>1.4932118279712753E-12</v>
      </c>
      <c r="AL65" s="20">
        <f t="shared" si="4"/>
        <v>2.7736540643801645E-12</v>
      </c>
      <c r="AM65" s="59">
        <f t="shared" si="5"/>
        <v>293.3333333333361</v>
      </c>
      <c r="AN65" s="59">
        <f ca="1">AVERAGE(OFFSET($AM$3,0,0,'Données projet'!$E$10+1,1))-AVERAGE(OFFSET($H$3,0,0,'Données projet'!$E$10+1,1))</f>
        <v>208.92731420103507</v>
      </c>
      <c r="AO65" s="59">
        <f t="shared" si="36"/>
        <v>247.96048911281395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57.175165062320154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57.175165062320154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-2.8421709430404007E-13</v>
      </c>
      <c r="BE65" s="13">
        <f>BD65*VLOOKUP('Données projet'!$B$11,Paramètres!$A$1:$I$89,3,0)*VLOOKUP('Données projet'!$B$11,Paramètres!$A$1:$I$89,5,0)</f>
        <v>-2.0838797354372215E-13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162.3892440844827</v>
      </c>
      <c r="BJ65" s="59">
        <f t="shared" si="38"/>
        <v>198.28846462484438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70.801806339562191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70.801806339562191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378.17323480030268</v>
      </c>
      <c r="T66" s="59">
        <f t="shared" si="34"/>
        <v>471.89239871617241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250.08131361288056</v>
      </c>
      <c r="AA66" s="21">
        <f>EXP(-LN(2)/25)*AA65+(1-EXP(-LN(2)/25))/(LN(2)/25)*Calculateur!V66*Calculateur!X66*VLOOKUP('Données projet'!$B$9,Paramètres!$A$1:$I$89,3,0)*0.475*44/12</f>
        <v>53.909092274943433</v>
      </c>
      <c r="AB66" s="21">
        <f>EXP(-LN(2)/2)*AB65+(1-EXP(-LN(2)/2))/(LN(2)/2)*V66*Y66*VLOOKUP('Données projet'!$B$9,Paramètres!$A$1:$I$89,3,0)*0.475*44/12</f>
        <v>13.676077833598761</v>
      </c>
      <c r="AC66" s="22">
        <f t="shared" si="3"/>
        <v>317.66648372142276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9.9316821433603781E-14</v>
      </c>
      <c r="AK66" s="13">
        <f t="shared" si="35"/>
        <v>1.4932118279712753E-12</v>
      </c>
      <c r="AL66" s="20">
        <f t="shared" si="4"/>
        <v>2.7736540643801645E-12</v>
      </c>
      <c r="AM66" s="59">
        <f t="shared" si="5"/>
        <v>293.3333333333361</v>
      </c>
      <c r="AN66" s="59">
        <f ca="1">AVERAGE(OFFSET($AM$3,0,0,'Données projet'!$E$10+1,1))-AVERAGE(OFFSET($H$3,0,0,'Données projet'!$E$10+1,1))</f>
        <v>208.92731420103507</v>
      </c>
      <c r="AO66" s="59">
        <f t="shared" si="36"/>
        <v>247.96048911281395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56.053994948855284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56.053994948855284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-2.8421709430404007E-13</v>
      </c>
      <c r="BE66" s="13">
        <f>BD66*VLOOKUP('Données projet'!$B$11,Paramètres!$A$1:$I$89,3,0)*VLOOKUP('Données projet'!$B$11,Paramètres!$A$1:$I$89,5,0)</f>
        <v>-2.0838797354372215E-13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162.3892440844827</v>
      </c>
      <c r="BJ66" s="59">
        <f t="shared" si="38"/>
        <v>198.28846462484438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69.41342610208109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69.41342610208109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378.17323480030268</v>
      </c>
      <c r="T67" s="59">
        <f t="shared" si="34"/>
        <v>471.89239871617241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245.17737158747175</v>
      </c>
      <c r="AA67" s="21">
        <f>EXP(-LN(2)/25)*AA66+(1-EXP(-LN(2)/25))/(LN(2)/25)*Calculateur!V67*Calculateur!X67*VLOOKUP('Données projet'!$B$9,Paramètres!$A$1:$I$89,3,0)*0.475*44/12</f>
        <v>52.434945311729152</v>
      </c>
      <c r="AB67" s="21">
        <f>EXP(-LN(2)/2)*AB66+(1-EXP(-LN(2)/2))/(LN(2)/2)*V67*Y67*VLOOKUP('Données projet'!$B$9,Paramètres!$A$1:$I$89,3,0)*0.475*44/12</f>
        <v>9.6704473761727119</v>
      </c>
      <c r="AC67" s="22">
        <f t="shared" si="3"/>
        <v>307.28276427537361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9.9316821433603781E-14</v>
      </c>
      <c r="AK67" s="13">
        <f t="shared" si="35"/>
        <v>1.4932118279712753E-12</v>
      </c>
      <c r="AL67" s="20">
        <f t="shared" si="4"/>
        <v>2.7736540643801645E-12</v>
      </c>
      <c r="AM67" s="59">
        <f t="shared" si="5"/>
        <v>293.3333333333361</v>
      </c>
      <c r="AN67" s="59">
        <f ca="1">AVERAGE(OFFSET($AM$3,0,0,'Données projet'!$E$10+1,1))-AVERAGE(OFFSET($H$3,0,0,'Données projet'!$E$10+1,1))</f>
        <v>208.92731420103507</v>
      </c>
      <c r="AO67" s="59">
        <f t="shared" si="36"/>
        <v>247.96048911281395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54.954810297469209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54.954810297469209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-2.8421709430404007E-13</v>
      </c>
      <c r="BE67" s="13">
        <f>BD67*VLOOKUP('Données projet'!$B$11,Paramètres!$A$1:$I$89,3,0)*VLOOKUP('Données projet'!$B$11,Paramètres!$A$1:$I$89,5,0)</f>
        <v>-2.0838797354372215E-13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162.3892440844827</v>
      </c>
      <c r="BJ67" s="59">
        <f t="shared" si="38"/>
        <v>198.28846462484438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68.052271154228677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68.052271154228677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378.17323480030268</v>
      </c>
      <c r="T68" s="59">
        <f t="shared" si="34"/>
        <v>471.89239871617241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240.36959287407191</v>
      </c>
      <c r="AA68" s="21">
        <f>EXP(-LN(2)/25)*AA67+(1-EXP(-LN(2)/25))/(LN(2)/25)*Calculateur!V68*Calculateur!X68*VLOOKUP('Données projet'!$B$9,Paramètres!$A$1:$I$89,3,0)*0.475*44/12</f>
        <v>51.001108974745989</v>
      </c>
      <c r="AB68" s="21">
        <f>EXP(-LN(2)/2)*AB67+(1-EXP(-LN(2)/2))/(LN(2)/2)*V68*Y68*VLOOKUP('Données projet'!$B$9,Paramètres!$A$1:$I$89,3,0)*0.475*44/12</f>
        <v>6.8380389167993805</v>
      </c>
      <c r="AC68" s="22">
        <f t="shared" ref="AC68:AC131" si="57">SUM(Z68:AB68)</f>
        <v>298.20874076561734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9.9316821433603781E-14</v>
      </c>
      <c r="AK68" s="13">
        <f t="shared" si="35"/>
        <v>1.4932118279712753E-12</v>
      </c>
      <c r="AL68" s="20">
        <f t="shared" ref="AL68:AL131" si="58">(AJ68+AK68)*0.475*44/12</f>
        <v>2.7736540643801645E-12</v>
      </c>
      <c r="AM68" s="59">
        <f t="shared" ref="AM68:AM131" si="59">AL68+(AD68+AE68)*44/12</f>
        <v>293.3333333333361</v>
      </c>
      <c r="AN68" s="59">
        <f ca="1">AVERAGE(OFFSET($AM$3,0,0,'Données projet'!$E$10+1,1))-AVERAGE(OFFSET($H$3,0,0,'Données projet'!$E$10+1,1))</f>
        <v>208.92731420103507</v>
      </c>
      <c r="AO68" s="59">
        <f t="shared" si="36"/>
        <v>247.96048911281395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53.87717998666038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53.87717998666038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-2.8421709430404007E-13</v>
      </c>
      <c r="BE68" s="13">
        <f>BD68*VLOOKUP('Données projet'!$B$11,Paramètres!$A$1:$I$89,3,0)*VLOOKUP('Données projet'!$B$11,Paramètres!$A$1:$I$89,5,0)</f>
        <v>-2.0838797354372215E-13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162.3892440844827</v>
      </c>
      <c r="BJ68" s="59">
        <f t="shared" si="38"/>
        <v>198.28846462484438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66.7178076246811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66.7178076246811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378.17323480030268</v>
      </c>
      <c r="T69" s="59">
        <f t="shared" ref="T69:T132" si="88">$T$3</f>
        <v>471.89239871617241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235.65609176878638</v>
      </c>
      <c r="AA69" s="21">
        <f>EXP(-LN(2)/25)*AA68+(1-EXP(-LN(2)/25))/(LN(2)/25)*Calculateur!V69*Calculateur!X69*VLOOKUP('Données projet'!$B$9,Paramètres!$A$1:$I$89,3,0)*0.475*44/12</f>
        <v>49.606480967799804</v>
      </c>
      <c r="AB69" s="21">
        <f>EXP(-LN(2)/2)*AB68+(1-EXP(-LN(2)/2))/(LN(2)/2)*V69*Y69*VLOOKUP('Données projet'!$B$9,Paramètres!$A$1:$I$89,3,0)*0.475*44/12</f>
        <v>4.8352236880863559</v>
      </c>
      <c r="AC69" s="22">
        <f t="shared" si="57"/>
        <v>290.09779642467254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9.9316821433603781E-14</v>
      </c>
      <c r="AK69" s="13">
        <f t="shared" ref="AK69:AK132" si="89">EXP(-1.0587+0.8836*LN(AJ69)+0.284)</f>
        <v>1.4932118279712753E-12</v>
      </c>
      <c r="AL69" s="20">
        <f t="shared" si="58"/>
        <v>2.7736540643801645E-12</v>
      </c>
      <c r="AM69" s="59">
        <f t="shared" si="59"/>
        <v>293.3333333333361</v>
      </c>
      <c r="AN69" s="59">
        <f ca="1">AVERAGE(OFFSET($AM$3,0,0,'Données projet'!$E$10+1,1))-AVERAGE(OFFSET($H$3,0,0,'Données projet'!$E$10+1,1))</f>
        <v>208.92731420103507</v>
      </c>
      <c r="AO69" s="59">
        <f t="shared" ref="AO69:AO132" si="90">$AO$3</f>
        <v>247.96048911281395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52.820681348956924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52.820681348956924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-2.8421709430404007E-13</v>
      </c>
      <c r="BE69" s="13">
        <f>BD69*VLOOKUP('Données projet'!$B$11,Paramètres!$A$1:$I$89,3,0)*VLOOKUP('Données projet'!$B$11,Paramètres!$A$1:$I$89,5,0)</f>
        <v>-2.0838797354372215E-13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162.3892440844827</v>
      </c>
      <c r="BJ69" s="59">
        <f t="shared" ref="BJ69:BJ132" si="92">$BJ$3</f>
        <v>198.28846462484438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65.409512111005569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65.409512111005569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378.17323480030268</v>
      </c>
      <c r="T70" s="59">
        <f t="shared" si="88"/>
        <v>471.89239871617241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231.03501954522372</v>
      </c>
      <c r="AA70" s="21">
        <f>EXP(-LN(2)/25)*AA69+(1-EXP(-LN(2)/25))/(LN(2)/25)*Calculateur!V70*Calculateur!X70*VLOOKUP('Données projet'!$B$9,Paramètres!$A$1:$I$89,3,0)*0.475*44/12</f>
        <v>48.249989137043862</v>
      </c>
      <c r="AB70" s="21">
        <f>EXP(-LN(2)/2)*AB69+(1-EXP(-LN(2)/2))/(LN(2)/2)*V70*Y70*VLOOKUP('Données projet'!$B$9,Paramètres!$A$1:$I$89,3,0)*0.475*44/12</f>
        <v>3.4190194583996902</v>
      </c>
      <c r="AC70" s="22">
        <f t="shared" si="57"/>
        <v>282.70402814066728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9.9316821433603781E-14</v>
      </c>
      <c r="AK70" s="13">
        <f t="shared" si="89"/>
        <v>1.4932118279712753E-12</v>
      </c>
      <c r="AL70" s="20">
        <f t="shared" si="58"/>
        <v>2.7736540643801645E-12</v>
      </c>
      <c r="AM70" s="59">
        <f t="shared" si="59"/>
        <v>293.3333333333361</v>
      </c>
      <c r="AN70" s="59">
        <f ca="1">AVERAGE(OFFSET($AM$3,0,0,'Données projet'!$E$10+1,1))-AVERAGE(OFFSET($H$3,0,0,'Données projet'!$E$10+1,1))</f>
        <v>208.92731420103507</v>
      </c>
      <c r="AO70" s="59">
        <f t="shared" si="90"/>
        <v>247.96048911281395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51.784900005138297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51.784900005138297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-2.8421709430404007E-13</v>
      </c>
      <c r="BE70" s="13">
        <f>BD70*VLOOKUP('Données projet'!$B$11,Paramètres!$A$1:$I$89,3,0)*VLOOKUP('Données projet'!$B$11,Paramètres!$A$1:$I$89,5,0)</f>
        <v>-2.0838797354372215E-13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162.3892440844827</v>
      </c>
      <c r="BJ70" s="59">
        <f t="shared" si="92"/>
        <v>198.28846462484438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64.126871474371754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64.126871474371754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378.17323480030268</v>
      </c>
      <c r="T71" s="59">
        <f t="shared" si="88"/>
        <v>471.89239871617241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226.50456372938936</v>
      </c>
      <c r="AA71" s="21">
        <f>EXP(-LN(2)/25)*AA70+(1-EXP(-LN(2)/25))/(LN(2)/25)*Calculateur!V71*Calculateur!X71*VLOOKUP('Données projet'!$B$9,Paramètres!$A$1:$I$89,3,0)*0.475*44/12</f>
        <v>46.930590646734743</v>
      </c>
      <c r="AB71" s="21">
        <f>EXP(-LN(2)/2)*AB70+(1-EXP(-LN(2)/2))/(LN(2)/2)*V71*Y71*VLOOKUP('Données projet'!$B$9,Paramètres!$A$1:$I$89,3,0)*0.475*44/12</f>
        <v>2.417611844043178</v>
      </c>
      <c r="AC71" s="22">
        <f t="shared" si="57"/>
        <v>275.85276622016727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9.9316821433603781E-14</v>
      </c>
      <c r="AK71" s="13">
        <f t="shared" si="89"/>
        <v>1.4932118279712753E-12</v>
      </c>
      <c r="AL71" s="20">
        <f t="shared" si="58"/>
        <v>2.7736540643801645E-12</v>
      </c>
      <c r="AM71" s="59">
        <f t="shared" si="59"/>
        <v>293.3333333333361</v>
      </c>
      <c r="AN71" s="59">
        <f ca="1">AVERAGE(OFFSET($AM$3,0,0,'Données projet'!$E$10+1,1))-AVERAGE(OFFSET($H$3,0,0,'Données projet'!$E$10+1,1))</f>
        <v>208.92731420103507</v>
      </c>
      <c r="AO71" s="59">
        <f t="shared" si="90"/>
        <v>247.96048911281395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50.769429701707715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50.769429701707715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-2.8421709430404007E-13</v>
      </c>
      <c r="BE71" s="13">
        <f>BD71*VLOOKUP('Données projet'!$B$11,Paramètres!$A$1:$I$89,3,0)*VLOOKUP('Données projet'!$B$11,Paramètres!$A$1:$I$89,5,0)</f>
        <v>-2.0838797354372215E-13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162.3892440844827</v>
      </c>
      <c r="BJ71" s="59">
        <f t="shared" si="92"/>
        <v>198.28846462484438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62.869382638288783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62.869382638288783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378.17323480030268</v>
      </c>
      <c r="T72" s="59">
        <f t="shared" si="88"/>
        <v>471.89239871617241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222.06294738879834</v>
      </c>
      <c r="AA72" s="21">
        <f>EXP(-LN(2)/25)*AA71+(1-EXP(-LN(2)/25))/(LN(2)/25)*Calculateur!V72*Calculateur!X72*VLOOKUP('Données projet'!$B$9,Paramètres!$A$1:$I$89,3,0)*0.475*44/12</f>
        <v>45.64727117752728</v>
      </c>
      <c r="AB72" s="21">
        <f>EXP(-LN(2)/2)*AB71+(1-EXP(-LN(2)/2))/(LN(2)/2)*V72*Y72*VLOOKUP('Données projet'!$B$9,Paramètres!$A$1:$I$89,3,0)*0.475*44/12</f>
        <v>1.7095097291998451</v>
      </c>
      <c r="AC72" s="22">
        <f t="shared" si="57"/>
        <v>269.41972829552549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9.9316821433603781E-14</v>
      </c>
      <c r="AK72" s="13">
        <f t="shared" si="89"/>
        <v>1.4932118279712753E-12</v>
      </c>
      <c r="AL72" s="20">
        <f t="shared" si="58"/>
        <v>2.7736540643801645E-12</v>
      </c>
      <c r="AM72" s="59">
        <f t="shared" si="59"/>
        <v>293.3333333333361</v>
      </c>
      <c r="AN72" s="59">
        <f ca="1">AVERAGE(OFFSET($AM$3,0,0,'Données projet'!$E$10+1,1))-AVERAGE(OFFSET($H$3,0,0,'Données projet'!$E$10+1,1))</f>
        <v>208.92731420103507</v>
      </c>
      <c r="AO72" s="59">
        <f t="shared" si="90"/>
        <v>247.96048911281395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49.773872151551679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49.773872151551679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-2.8421709430404007E-13</v>
      </c>
      <c r="BE72" s="13">
        <f>BD72*VLOOKUP('Données projet'!$B$11,Paramètres!$A$1:$I$89,3,0)*VLOOKUP('Données projet'!$B$11,Paramètres!$A$1:$I$89,5,0)</f>
        <v>-2.0838797354372215E-13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162.3892440844827</v>
      </c>
      <c r="BJ72" s="59">
        <f t="shared" si="92"/>
        <v>198.28846462484438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61.636552391288944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61.636552391288944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378.17323480030268</v>
      </c>
      <c r="T73" s="59">
        <f t="shared" si="88"/>
        <v>471.89239871617241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217.70842843552782</v>
      </c>
      <c r="AA73" s="21">
        <f>EXP(-LN(2)/25)*AA72+(1-EXP(-LN(2)/25))/(LN(2)/25)*Calculateur!V73*Calculateur!X73*VLOOKUP('Données projet'!$B$9,Paramètres!$A$1:$I$89,3,0)*0.475*44/12</f>
        <v>44.399044146692134</v>
      </c>
      <c r="AB73" s="21">
        <f>EXP(-LN(2)/2)*AB72+(1-EXP(-LN(2)/2))/(LN(2)/2)*V73*Y73*VLOOKUP('Données projet'!$B$9,Paramètres!$A$1:$I$89,3,0)*0.475*44/12</f>
        <v>1.208805922021589</v>
      </c>
      <c r="AC73" s="22">
        <f t="shared" si="57"/>
        <v>263.31627850424155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9.9316821433603781E-14</v>
      </c>
      <c r="AK73" s="13">
        <f t="shared" si="89"/>
        <v>1.4932118279712753E-12</v>
      </c>
      <c r="AL73" s="20">
        <f t="shared" si="58"/>
        <v>2.7736540643801645E-12</v>
      </c>
      <c r="AM73" s="59">
        <f t="shared" si="59"/>
        <v>293.3333333333361</v>
      </c>
      <c r="AN73" s="59">
        <f ca="1">AVERAGE(OFFSET($AM$3,0,0,'Données projet'!$E$10+1,1))-AVERAGE(OFFSET($H$3,0,0,'Données projet'!$E$10+1,1))</f>
        <v>208.92731420103507</v>
      </c>
      <c r="AO73" s="59">
        <f t="shared" si="90"/>
        <v>247.96048911281395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48.797836877724052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48.797836877724052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-2.8421709430404007E-13</v>
      </c>
      <c r="BE73" s="13">
        <f>BD73*VLOOKUP('Données projet'!$B$11,Paramètres!$A$1:$I$89,3,0)*VLOOKUP('Données projet'!$B$11,Paramètres!$A$1:$I$89,5,0)</f>
        <v>-2.0838797354372215E-13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162.3892440844827</v>
      </c>
      <c r="BJ73" s="59">
        <f t="shared" si="92"/>
        <v>198.28846462484438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60.427897193480568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60.427897193480568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378.17323480030268</v>
      </c>
      <c r="T74" s="59">
        <f t="shared" si="88"/>
        <v>471.89239871617241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213.43929894293663</v>
      </c>
      <c r="AA74" s="21">
        <f>EXP(-LN(2)/25)*AA73+(1-EXP(-LN(2)/25))/(LN(2)/25)*Calculateur!V74*Calculateur!X74*VLOOKUP('Données projet'!$B$9,Paramètres!$A$1:$I$89,3,0)*0.475*44/12</f>
        <v>43.184949949656584</v>
      </c>
      <c r="AB74" s="21">
        <f>EXP(-LN(2)/2)*AB73+(1-EXP(-LN(2)/2))/(LN(2)/2)*V74*Y74*VLOOKUP('Données projet'!$B$9,Paramètres!$A$1:$I$89,3,0)*0.475*44/12</f>
        <v>0.85475486459992256</v>
      </c>
      <c r="AC74" s="22">
        <f t="shared" si="57"/>
        <v>257.47900375719308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9.9316821433603781E-14</v>
      </c>
      <c r="AK74" s="13">
        <f t="shared" si="89"/>
        <v>1.4932118279712753E-12</v>
      </c>
      <c r="AL74" s="20">
        <f t="shared" si="58"/>
        <v>2.7736540643801645E-12</v>
      </c>
      <c r="AM74" s="59">
        <f t="shared" si="59"/>
        <v>293.3333333333361</v>
      </c>
      <c r="AN74" s="59">
        <f ca="1">AVERAGE(OFFSET($AM$3,0,0,'Données projet'!$E$10+1,1))-AVERAGE(OFFSET($H$3,0,0,'Données projet'!$E$10+1,1))</f>
        <v>208.92731420103507</v>
      </c>
      <c r="AO74" s="59">
        <f t="shared" si="90"/>
        <v>247.96048911281395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47.840941060293453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47.840941060293453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-2.8421709430404007E-13</v>
      </c>
      <c r="BE74" s="13">
        <f>BD74*VLOOKUP('Données projet'!$B$11,Paramètres!$A$1:$I$89,3,0)*VLOOKUP('Données projet'!$B$11,Paramètres!$A$1:$I$89,5,0)</f>
        <v>-2.0838797354372215E-13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162.3892440844827</v>
      </c>
      <c r="BJ74" s="59">
        <f t="shared" si="92"/>
        <v>198.28846462484438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59.242942986894342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59.242942986894342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378.17323480030268</v>
      </c>
      <c r="T75" s="59">
        <f t="shared" si="88"/>
        <v>471.89239871617241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209.25388447578328</v>
      </c>
      <c r="AA75" s="21">
        <f>EXP(-LN(2)/25)*AA74+(1-EXP(-LN(2)/25))/(LN(2)/25)*Calculateur!V75*Calculateur!X75*VLOOKUP('Données projet'!$B$9,Paramètres!$A$1:$I$89,3,0)*0.475*44/12</f>
        <v>42.004055222285409</v>
      </c>
      <c r="AB75" s="21">
        <f>EXP(-LN(2)/2)*AB74+(1-EXP(-LN(2)/2))/(LN(2)/2)*V75*Y75*VLOOKUP('Données projet'!$B$9,Paramètres!$A$1:$I$89,3,0)*0.475*44/12</f>
        <v>0.60440296101079449</v>
      </c>
      <c r="AC75" s="22">
        <f t="shared" si="57"/>
        <v>251.8623426590795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9.9316821433603781E-14</v>
      </c>
      <c r="AK75" s="13">
        <f t="shared" si="89"/>
        <v>1.4932118279712753E-12</v>
      </c>
      <c r="AL75" s="20">
        <f t="shared" si="58"/>
        <v>2.7736540643801645E-12</v>
      </c>
      <c r="AM75" s="59">
        <f t="shared" si="59"/>
        <v>293.3333333333361</v>
      </c>
      <c r="AN75" s="59">
        <f ca="1">AVERAGE(OFFSET($AM$3,0,0,'Données projet'!$E$10+1,1))-AVERAGE(OFFSET($H$3,0,0,'Données projet'!$E$10+1,1))</f>
        <v>208.92731420103507</v>
      </c>
      <c r="AO75" s="59">
        <f t="shared" si="90"/>
        <v>247.96048911281395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46.902809386193852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46.902809386193852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-2.8421709430404007E-13</v>
      </c>
      <c r="BE75" s="13">
        <f>BD75*VLOOKUP('Données projet'!$B$11,Paramètres!$A$1:$I$89,3,0)*VLOOKUP('Données projet'!$B$11,Paramètres!$A$1:$I$89,5,0)</f>
        <v>-2.0838797354372215E-13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162.3892440844827</v>
      </c>
      <c r="BJ75" s="59">
        <f t="shared" si="92"/>
        <v>198.28846462484438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58.081225009548568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58.081225009548568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378.17323480030268</v>
      </c>
      <c r="T76" s="59">
        <f t="shared" si="88"/>
        <v>471.89239871617241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205.15054343348007</v>
      </c>
      <c r="AA76" s="21">
        <f>EXP(-LN(2)/25)*AA75+(1-EXP(-LN(2)/25))/(LN(2)/25)*Calculateur!V76*Calculateur!X76*VLOOKUP('Données projet'!$B$9,Paramètres!$A$1:$I$89,3,0)*0.475*44/12</f>
        <v>40.85545212333475</v>
      </c>
      <c r="AB76" s="21">
        <f>EXP(-LN(2)/2)*AB75+(1-EXP(-LN(2)/2))/(LN(2)/2)*V76*Y76*VLOOKUP('Données projet'!$B$9,Paramètres!$A$1:$I$89,3,0)*0.475*44/12</f>
        <v>0.42737743229996128</v>
      </c>
      <c r="AC76" s="22">
        <f t="shared" si="57"/>
        <v>246.43337298911476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9.9316821433603781E-14</v>
      </c>
      <c r="AK76" s="13">
        <f t="shared" si="89"/>
        <v>1.4932118279712753E-12</v>
      </c>
      <c r="AL76" s="20">
        <f t="shared" si="58"/>
        <v>2.7736540643801645E-12</v>
      </c>
      <c r="AM76" s="59">
        <f t="shared" si="59"/>
        <v>293.3333333333361</v>
      </c>
      <c r="AN76" s="59">
        <f ca="1">AVERAGE(OFFSET($AM$3,0,0,'Données projet'!$E$10+1,1))-AVERAGE(OFFSET($H$3,0,0,'Données projet'!$E$10+1,1))</f>
        <v>208.92731420103507</v>
      </c>
      <c r="AO76" s="59">
        <f t="shared" si="90"/>
        <v>247.96048911281395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45.98307390201952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45.98307390201952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-2.8421709430404007E-13</v>
      </c>
      <c r="BE76" s="13">
        <f>BD76*VLOOKUP('Données projet'!$B$11,Paramètres!$A$1:$I$89,3,0)*VLOOKUP('Données projet'!$B$11,Paramètres!$A$1:$I$89,5,0)</f>
        <v>-2.0838797354372215E-13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162.3892440844827</v>
      </c>
      <c r="BJ76" s="59">
        <f t="shared" si="92"/>
        <v>198.28846462484438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56.942287613160545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56.942287613160545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378.17323480030268</v>
      </c>
      <c r="T77" s="59">
        <f t="shared" si="88"/>
        <v>471.89239871617241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201.1276664062255</v>
      </c>
      <c r="AA77" s="21">
        <f>EXP(-LN(2)/25)*AA76+(1-EXP(-LN(2)/25))/(LN(2)/25)*Calculateur!V77*Calculateur!X77*VLOOKUP('Données projet'!$B$9,Paramètres!$A$1:$I$89,3,0)*0.475*44/12</f>
        <v>39.738257636527308</v>
      </c>
      <c r="AB77" s="21">
        <f>EXP(-LN(2)/2)*AB76+(1-EXP(-LN(2)/2))/(LN(2)/2)*V77*Y77*VLOOKUP('Données projet'!$B$9,Paramètres!$A$1:$I$89,3,0)*0.475*44/12</f>
        <v>0.30220148050539725</v>
      </c>
      <c r="AC77" s="22">
        <f t="shared" si="57"/>
        <v>241.1681255232582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9.9316821433603781E-14</v>
      </c>
      <c r="AK77" s="13">
        <f t="shared" si="89"/>
        <v>1.4932118279712753E-12</v>
      </c>
      <c r="AL77" s="20">
        <f t="shared" si="58"/>
        <v>2.7736540643801645E-12</v>
      </c>
      <c r="AM77" s="59">
        <f t="shared" si="59"/>
        <v>293.3333333333361</v>
      </c>
      <c r="AN77" s="59">
        <f ca="1">AVERAGE(OFFSET($AM$3,0,0,'Données projet'!$E$10+1,1))-AVERAGE(OFFSET($H$3,0,0,'Données projet'!$E$10+1,1))</f>
        <v>208.92731420103507</v>
      </c>
      <c r="AO77" s="59">
        <f t="shared" si="90"/>
        <v>247.96048911281395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45.081373869706596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45.081373869706596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-2.8421709430404007E-13</v>
      </c>
      <c r="BE77" s="13">
        <f>BD77*VLOOKUP('Données projet'!$B$11,Paramètres!$A$1:$I$89,3,0)*VLOOKUP('Données projet'!$B$11,Paramètres!$A$1:$I$89,5,0)</f>
        <v>-2.0838797354372215E-13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162.3892440844827</v>
      </c>
      <c r="BJ77" s="59">
        <f t="shared" si="92"/>
        <v>198.28846462484438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55.825684084432474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55.825684084432474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378.17323480030268</v>
      </c>
      <c r="T78" s="59">
        <f t="shared" si="88"/>
        <v>471.89239871617241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197.18367554376269</v>
      </c>
      <c r="AA78" s="21">
        <f>EXP(-LN(2)/25)*AA77+(1-EXP(-LN(2)/25))/(LN(2)/25)*Calculateur!V78*Calculateur!X78*VLOOKUP('Données projet'!$B$9,Paramètres!$A$1:$I$89,3,0)*0.475*44/12</f>
        <v>38.651612891712325</v>
      </c>
      <c r="AB78" s="21">
        <f>EXP(-LN(2)/2)*AB77+(1-EXP(-LN(2)/2))/(LN(2)/2)*V78*Y78*VLOOKUP('Données projet'!$B$9,Paramètres!$A$1:$I$89,3,0)*0.475*44/12</f>
        <v>0.21368871614998064</v>
      </c>
      <c r="AC78" s="22">
        <f t="shared" si="57"/>
        <v>236.048977151625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9.9316821433603781E-14</v>
      </c>
      <c r="AK78" s="13">
        <f t="shared" si="89"/>
        <v>1.4932118279712753E-12</v>
      </c>
      <c r="AL78" s="20">
        <f t="shared" si="58"/>
        <v>2.7736540643801645E-12</v>
      </c>
      <c r="AM78" s="59">
        <f t="shared" si="59"/>
        <v>293.3333333333361</v>
      </c>
      <c r="AN78" s="59">
        <f ca="1">AVERAGE(OFFSET($AM$3,0,0,'Données projet'!$E$10+1,1))-AVERAGE(OFFSET($H$3,0,0,'Données projet'!$E$10+1,1))</f>
        <v>208.92731420103507</v>
      </c>
      <c r="AO78" s="59">
        <f t="shared" si="90"/>
        <v>247.96048911281395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44.197355625044615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44.197355625044615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-2.8421709430404007E-13</v>
      </c>
      <c r="BE78" s="13">
        <f>BD78*VLOOKUP('Données projet'!$B$11,Paramètres!$A$1:$I$89,3,0)*VLOOKUP('Données projet'!$B$11,Paramètres!$A$1:$I$89,5,0)</f>
        <v>-2.0838797354372215E-13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162.3892440844827</v>
      </c>
      <c r="BJ78" s="59">
        <f t="shared" si="92"/>
        <v>198.28846462484438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54.730976469841856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54.730976469841856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378.17323480030268</v>
      </c>
      <c r="T79" s="59">
        <f t="shared" si="88"/>
        <v>471.89239871617241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193.31702393651588</v>
      </c>
      <c r="AA79" s="21">
        <f>EXP(-LN(2)/25)*AA78+(1-EXP(-LN(2)/25))/(LN(2)/25)*Calculateur!V79*Calculateur!X79*VLOOKUP('Données projet'!$B$9,Paramètres!$A$1:$I$89,3,0)*0.475*44/12</f>
        <v>37.594682504588469</v>
      </c>
      <c r="AB79" s="21">
        <f>EXP(-LN(2)/2)*AB78+(1-EXP(-LN(2)/2))/(LN(2)/2)*V79*Y79*VLOOKUP('Données projet'!$B$9,Paramètres!$A$1:$I$89,3,0)*0.475*44/12</f>
        <v>0.15110074025269862</v>
      </c>
      <c r="AC79" s="22">
        <f t="shared" si="57"/>
        <v>231.06280718135704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9.9316821433603781E-14</v>
      </c>
      <c r="AK79" s="13">
        <f t="shared" si="89"/>
        <v>1.4932118279712753E-12</v>
      </c>
      <c r="AL79" s="20">
        <f t="shared" si="58"/>
        <v>2.7736540643801645E-12</v>
      </c>
      <c r="AM79" s="59">
        <f t="shared" si="59"/>
        <v>293.3333333333361</v>
      </c>
      <c r="AN79" s="59">
        <f ca="1">AVERAGE(OFFSET($AM$3,0,0,'Données projet'!$E$10+1,1))-AVERAGE(OFFSET($H$3,0,0,'Données projet'!$E$10+1,1))</f>
        <v>208.92731420103507</v>
      </c>
      <c r="AO79" s="59">
        <f t="shared" si="90"/>
        <v>247.96048911281395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43.330672438962566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43.330672438962566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-2.8421709430404007E-13</v>
      </c>
      <c r="BE79" s="13">
        <f>BD79*VLOOKUP('Données projet'!$B$11,Paramètres!$A$1:$I$89,3,0)*VLOOKUP('Données projet'!$B$11,Paramètres!$A$1:$I$89,5,0)</f>
        <v>-2.0838797354372215E-13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162.3892440844827</v>
      </c>
      <c r="BJ79" s="59">
        <f t="shared" si="92"/>
        <v>198.28846462484438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53.657735403867648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53.657735403867648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378.17323480030268</v>
      </c>
      <c r="T80" s="59">
        <f t="shared" si="88"/>
        <v>471.89239871617241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189.5261950088626</v>
      </c>
      <c r="AA80" s="21">
        <f>EXP(-LN(2)/25)*AA79+(1-EXP(-LN(2)/25))/(LN(2)/25)*Calculateur!V80*Calculateur!X80*VLOOKUP('Données projet'!$B$9,Paramètres!$A$1:$I$89,3,0)*0.475*44/12</f>
        <v>36.566653934482069</v>
      </c>
      <c r="AB80" s="21">
        <f>EXP(-LN(2)/2)*AB79+(1-EXP(-LN(2)/2))/(LN(2)/2)*V80*Y80*VLOOKUP('Données projet'!$B$9,Paramètres!$A$1:$I$89,3,0)*0.475*44/12</f>
        <v>0.10684435807499032</v>
      </c>
      <c r="AC80" s="22">
        <f t="shared" si="57"/>
        <v>226.19969330141967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9.9316821433603781E-14</v>
      </c>
      <c r="AK80" s="13">
        <f t="shared" si="89"/>
        <v>1.4932118279712753E-12</v>
      </c>
      <c r="AL80" s="20">
        <f t="shared" si="58"/>
        <v>2.7736540643801645E-12</v>
      </c>
      <c r="AM80" s="59">
        <f t="shared" si="59"/>
        <v>293.3333333333361</v>
      </c>
      <c r="AN80" s="59">
        <f ca="1">AVERAGE(OFFSET($AM$3,0,0,'Données projet'!$E$10+1,1))-AVERAGE(OFFSET($H$3,0,0,'Données projet'!$E$10+1,1))</f>
        <v>208.92731420103507</v>
      </c>
      <c r="AO80" s="59">
        <f t="shared" si="90"/>
        <v>247.96048911281395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42.480984381535038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42.480984381535038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-2.8421709430404007E-13</v>
      </c>
      <c r="BE80" s="13">
        <f>BD80*VLOOKUP('Données projet'!$B$11,Paramètres!$A$1:$I$89,3,0)*VLOOKUP('Données projet'!$B$11,Paramètres!$A$1:$I$89,5,0)</f>
        <v>-2.0838797354372215E-13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162.3892440844827</v>
      </c>
      <c r="BJ80" s="59">
        <f t="shared" si="92"/>
        <v>198.28846462484438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52.605539940584777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52.605539940584777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378.17323480030268</v>
      </c>
      <c r="T81" s="59">
        <f t="shared" si="88"/>
        <v>471.89239871617241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185.80970192430325</v>
      </c>
      <c r="AA81" s="21">
        <f>EXP(-LN(2)/25)*AA80+(1-EXP(-LN(2)/25))/(LN(2)/25)*Calculateur!V81*Calculateur!X81*VLOOKUP('Données projet'!$B$9,Paramètres!$A$1:$I$89,3,0)*0.475*44/12</f>
        <v>35.566736859686898</v>
      </c>
      <c r="AB81" s="21">
        <f>EXP(-LN(2)/2)*AB80+(1-EXP(-LN(2)/2))/(LN(2)/2)*V81*Y81*VLOOKUP('Données projet'!$B$9,Paramètres!$A$1:$I$89,3,0)*0.475*44/12</f>
        <v>7.5550370126349312E-2</v>
      </c>
      <c r="AC81" s="22">
        <f t="shared" si="57"/>
        <v>221.45198915411649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9.9316821433603781E-14</v>
      </c>
      <c r="AK81" s="13">
        <f t="shared" si="89"/>
        <v>1.4932118279712753E-12</v>
      </c>
      <c r="AL81" s="20">
        <f t="shared" si="58"/>
        <v>2.7736540643801645E-12</v>
      </c>
      <c r="AM81" s="59">
        <f t="shared" si="59"/>
        <v>293.3333333333361</v>
      </c>
      <c r="AN81" s="59">
        <f ca="1">AVERAGE(OFFSET($AM$3,0,0,'Données projet'!$E$10+1,1))-AVERAGE(OFFSET($H$3,0,0,'Données projet'!$E$10+1,1))</f>
        <v>208.92731420103507</v>
      </c>
      <c r="AO81" s="59">
        <f t="shared" si="90"/>
        <v>247.96048911281395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41.647958188655124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41.647958188655124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-2.8421709430404007E-13</v>
      </c>
      <c r="BE81" s="13">
        <f>BD81*VLOOKUP('Données projet'!$B$11,Paramètres!$A$1:$I$89,3,0)*VLOOKUP('Données projet'!$B$11,Paramètres!$A$1:$I$89,5,0)</f>
        <v>-2.0838797354372215E-13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162.3892440844827</v>
      </c>
      <c r="BJ81" s="59">
        <f t="shared" si="92"/>
        <v>198.28846462484438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51.573977388561019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51.573977388561019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378.17323480030268</v>
      </c>
      <c r="T82" s="59">
        <f t="shared" si="88"/>
        <v>471.89239871617241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182.16608700229517</v>
      </c>
      <c r="AA82" s="21">
        <f>EXP(-LN(2)/25)*AA81+(1-EXP(-LN(2)/25))/(LN(2)/25)*Calculateur!V82*Calculateur!X82*VLOOKUP('Données projet'!$B$9,Paramètres!$A$1:$I$89,3,0)*0.475*44/12</f>
        <v>34.594162569885356</v>
      </c>
      <c r="AB82" s="21">
        <f>EXP(-LN(2)/2)*AB81+(1-EXP(-LN(2)/2))/(LN(2)/2)*V82*Y82*VLOOKUP('Données projet'!$B$9,Paramètres!$A$1:$I$89,3,0)*0.475*44/12</f>
        <v>5.342217903749516E-2</v>
      </c>
      <c r="AC82" s="22">
        <f t="shared" si="57"/>
        <v>216.81367175121801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9.9316821433603781E-14</v>
      </c>
      <c r="AK82" s="13">
        <f t="shared" si="89"/>
        <v>1.4932118279712753E-12</v>
      </c>
      <c r="AL82" s="20">
        <f t="shared" si="58"/>
        <v>2.7736540643801645E-12</v>
      </c>
      <c r="AM82" s="59">
        <f t="shared" si="59"/>
        <v>293.3333333333361</v>
      </c>
      <c r="AN82" s="59">
        <f ca="1">AVERAGE(OFFSET($AM$3,0,0,'Données projet'!$E$10+1,1))-AVERAGE(OFFSET($H$3,0,0,'Données projet'!$E$10+1,1))</f>
        <v>208.92731420103507</v>
      </c>
      <c r="AO82" s="59">
        <f t="shared" si="90"/>
        <v>247.96048911281395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40.831267131321781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40.831267131321781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-2.8421709430404007E-13</v>
      </c>
      <c r="BE82" s="13">
        <f>BD82*VLOOKUP('Données projet'!$B$11,Paramètres!$A$1:$I$89,3,0)*VLOOKUP('Données projet'!$B$11,Paramètres!$A$1:$I$89,5,0)</f>
        <v>-2.0838797354372215E-13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162.3892440844827</v>
      </c>
      <c r="BJ82" s="59">
        <f t="shared" si="92"/>
        <v>198.28846462484438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50.56264314899142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50.56264314899142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378.17323480030268</v>
      </c>
      <c r="T83" s="59">
        <f t="shared" si="88"/>
        <v>471.89239871617241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178.59392114652201</v>
      </c>
      <c r="AA83" s="21">
        <f>EXP(-LN(2)/25)*AA82+(1-EXP(-LN(2)/25))/(LN(2)/25)*Calculateur!V83*Calculateur!X83*VLOOKUP('Données projet'!$B$9,Paramètres!$A$1:$I$89,3,0)*0.475*44/12</f>
        <v>33.648183375183898</v>
      </c>
      <c r="AB83" s="21">
        <f>EXP(-LN(2)/2)*AB82+(1-EXP(-LN(2)/2))/(LN(2)/2)*V83*Y83*VLOOKUP('Données projet'!$B$9,Paramètres!$A$1:$I$89,3,0)*0.475*44/12</f>
        <v>3.7775185063174656E-2</v>
      </c>
      <c r="AC83" s="22">
        <f t="shared" si="57"/>
        <v>212.27987970676907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9.9316821433603781E-14</v>
      </c>
      <c r="AK83" s="13">
        <f t="shared" si="89"/>
        <v>1.4932118279712753E-12</v>
      </c>
      <c r="AL83" s="20">
        <f t="shared" si="58"/>
        <v>2.7736540643801645E-12</v>
      </c>
      <c r="AM83" s="59">
        <f t="shared" si="59"/>
        <v>293.3333333333361</v>
      </c>
      <c r="AN83" s="59">
        <f ca="1">AVERAGE(OFFSET($AM$3,0,0,'Données projet'!$E$10+1,1))-AVERAGE(OFFSET($H$3,0,0,'Données projet'!$E$10+1,1))</f>
        <v>208.92731420103507</v>
      </c>
      <c r="AO83" s="59">
        <f t="shared" si="90"/>
        <v>247.96048911281395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40.030590887490384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40.030590887490384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-2.8421709430404007E-13</v>
      </c>
      <c r="BE83" s="13">
        <f>BD83*VLOOKUP('Données projet'!$B$11,Paramètres!$A$1:$I$89,3,0)*VLOOKUP('Données projet'!$B$11,Paramètres!$A$1:$I$89,5,0)</f>
        <v>-2.0838797354372215E-13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162.3892440844827</v>
      </c>
      <c r="BJ83" s="59">
        <f t="shared" si="92"/>
        <v>198.28846462484438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49.571140557006807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49.571140557006807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378.17323480030268</v>
      </c>
      <c r="T84" s="59">
        <f t="shared" si="88"/>
        <v>471.89239871617241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175.09180328437452</v>
      </c>
      <c r="AA84" s="21">
        <f>EXP(-LN(2)/25)*AA83+(1-EXP(-LN(2)/25))/(LN(2)/25)*Calculateur!V84*Calculateur!X84*VLOOKUP('Données projet'!$B$9,Paramètres!$A$1:$I$89,3,0)*0.475*44/12</f>
        <v>32.728072031308436</v>
      </c>
      <c r="AB84" s="21">
        <f>EXP(-LN(2)/2)*AB83+(1-EXP(-LN(2)/2))/(LN(2)/2)*V84*Y84*VLOOKUP('Données projet'!$B$9,Paramètres!$A$1:$I$89,3,0)*0.475*44/12</f>
        <v>2.671108951874758E-2</v>
      </c>
      <c r="AC84" s="22">
        <f t="shared" si="57"/>
        <v>207.84658640520172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9.9316821433603781E-14</v>
      </c>
      <c r="AK84" s="13">
        <f t="shared" si="89"/>
        <v>1.4932118279712753E-12</v>
      </c>
      <c r="AL84" s="20">
        <f t="shared" si="58"/>
        <v>2.7736540643801645E-12</v>
      </c>
      <c r="AM84" s="59">
        <f t="shared" si="59"/>
        <v>293.3333333333361</v>
      </c>
      <c r="AN84" s="59">
        <f ca="1">AVERAGE(OFFSET($AM$3,0,0,'Données projet'!$E$10+1,1))-AVERAGE(OFFSET($H$3,0,0,'Données projet'!$E$10+1,1))</f>
        <v>208.92731420103507</v>
      </c>
      <c r="AO84" s="59">
        <f t="shared" si="90"/>
        <v>247.96048911281395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39.245615416436237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39.245615416436237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-2.8421709430404007E-13</v>
      </c>
      <c r="BE84" s="13">
        <f>BD84*VLOOKUP('Données projet'!$B$11,Paramètres!$A$1:$I$89,3,0)*VLOOKUP('Données projet'!$B$11,Paramètres!$A$1:$I$89,5,0)</f>
        <v>-2.0838797354372215E-13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162.3892440844827</v>
      </c>
      <c r="BJ84" s="59">
        <f t="shared" si="92"/>
        <v>198.28846462484438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48.599080726094144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48.599080726094144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378.17323480030268</v>
      </c>
      <c r="T85" s="59">
        <f t="shared" si="88"/>
        <v>471.89239871617241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171.65835981742276</v>
      </c>
      <c r="AA85" s="21">
        <f>EXP(-LN(2)/25)*AA84+(1-EXP(-LN(2)/25))/(LN(2)/25)*Calculateur!V85*Calculateur!X85*VLOOKUP('Données projet'!$B$9,Paramètres!$A$1:$I$89,3,0)*0.475*44/12</f>
        <v>31.8331211805178</v>
      </c>
      <c r="AB85" s="21">
        <f>EXP(-LN(2)/2)*AB84+(1-EXP(-LN(2)/2))/(LN(2)/2)*V85*Y85*VLOOKUP('Données projet'!$B$9,Paramètres!$A$1:$I$89,3,0)*0.475*44/12</f>
        <v>1.8887592531587328E-2</v>
      </c>
      <c r="AC85" s="22">
        <f t="shared" si="57"/>
        <v>203.51036859047215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9.9316821433603781E-14</v>
      </c>
      <c r="AK85" s="13">
        <f t="shared" si="89"/>
        <v>1.4932118279712753E-12</v>
      </c>
      <c r="AL85" s="20">
        <f t="shared" si="58"/>
        <v>2.7736540643801645E-12</v>
      </c>
      <c r="AM85" s="59">
        <f t="shared" si="59"/>
        <v>293.3333333333361</v>
      </c>
      <c r="AN85" s="59">
        <f ca="1">AVERAGE(OFFSET($AM$3,0,0,'Données projet'!$E$10+1,1))-AVERAGE(OFFSET($H$3,0,0,'Données projet'!$E$10+1,1))</f>
        <v>208.92731420103507</v>
      </c>
      <c r="AO85" s="59">
        <f t="shared" si="90"/>
        <v>247.96048911281395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38.476032835581698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38.476032835581698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-2.8421709430404007E-13</v>
      </c>
      <c r="BE85" s="13">
        <f>BD85*VLOOKUP('Données projet'!$B$11,Paramètres!$A$1:$I$89,3,0)*VLOOKUP('Données projet'!$B$11,Paramètres!$A$1:$I$89,5,0)</f>
        <v>-2.0838797354372215E-13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162.3892440844827</v>
      </c>
      <c r="BJ85" s="59">
        <f t="shared" si="92"/>
        <v>198.28846462484438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47.646082395567724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47.646082395567724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378.17323480030268</v>
      </c>
      <c r="T86" s="59">
        <f t="shared" si="88"/>
        <v>471.89239871617241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168.29224408266421</v>
      </c>
      <c r="AA86" s="21">
        <f>EXP(-LN(2)/25)*AA85+(1-EXP(-LN(2)/25))/(LN(2)/25)*Calculateur!V86*Calculateur!X86*VLOOKUP('Données projet'!$B$9,Paramètres!$A$1:$I$89,3,0)*0.475*44/12</f>
        <v>30.962642807805455</v>
      </c>
      <c r="AB86" s="21">
        <f>EXP(-LN(2)/2)*AB85+(1-EXP(-LN(2)/2))/(LN(2)/2)*V86*Y86*VLOOKUP('Données projet'!$B$9,Paramètres!$A$1:$I$89,3,0)*0.475*44/12</f>
        <v>1.335554475937379E-2</v>
      </c>
      <c r="AC86" s="22">
        <f t="shared" si="57"/>
        <v>199.26824243522904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9.9316821433603781E-14</v>
      </c>
      <c r="AK86" s="13">
        <f t="shared" si="89"/>
        <v>1.4932118279712753E-12</v>
      </c>
      <c r="AL86" s="20">
        <f t="shared" si="58"/>
        <v>2.7736540643801645E-12</v>
      </c>
      <c r="AM86" s="59">
        <f t="shared" si="59"/>
        <v>293.3333333333361</v>
      </c>
      <c r="AN86" s="59">
        <f ca="1">AVERAGE(OFFSET($AM$3,0,0,'Données projet'!$E$10+1,1))-AVERAGE(OFFSET($H$3,0,0,'Données projet'!$E$10+1,1))</f>
        <v>208.92731420103507</v>
      </c>
      <c r="AO86" s="59">
        <f t="shared" si="90"/>
        <v>247.96048911281395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37.721541299738689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37.721541299738689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-2.8421709430404007E-13</v>
      </c>
      <c r="BE86" s="13">
        <f>BD86*VLOOKUP('Données projet'!$B$11,Paramètres!$A$1:$I$89,3,0)*VLOOKUP('Données projet'!$B$11,Paramètres!$A$1:$I$89,5,0)</f>
        <v>-2.0838797354372215E-13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162.3892440844827</v>
      </c>
      <c r="BJ86" s="59">
        <f t="shared" si="92"/>
        <v>198.28846462484438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46.711771781031345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46.711771781031345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378.17323480030268</v>
      </c>
      <c r="T87" s="59">
        <f t="shared" si="88"/>
        <v>471.89239871617241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164.9921358243364</v>
      </c>
      <c r="AA87" s="21">
        <f>EXP(-LN(2)/25)*AA86+(1-EXP(-LN(2)/25))/(LN(2)/25)*Calculateur!V87*Calculateur!X87*VLOOKUP('Données projet'!$B$9,Paramètres!$A$1:$I$89,3,0)*0.475*44/12</f>
        <v>30.115967711971397</v>
      </c>
      <c r="AB87" s="21">
        <f>EXP(-LN(2)/2)*AB86+(1-EXP(-LN(2)/2))/(LN(2)/2)*V87*Y87*VLOOKUP('Données projet'!$B$9,Paramètres!$A$1:$I$89,3,0)*0.475*44/12</f>
        <v>9.4437962657936639E-3</v>
      </c>
      <c r="AC87" s="22">
        <f t="shared" si="57"/>
        <v>195.11754733257359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9.9316821433603781E-14</v>
      </c>
      <c r="AK87" s="13">
        <f t="shared" si="89"/>
        <v>1.4932118279712753E-12</v>
      </c>
      <c r="AL87" s="20">
        <f t="shared" si="58"/>
        <v>2.7736540643801645E-12</v>
      </c>
      <c r="AM87" s="59">
        <f t="shared" si="59"/>
        <v>293.3333333333361</v>
      </c>
      <c r="AN87" s="59">
        <f ca="1">AVERAGE(OFFSET($AM$3,0,0,'Données projet'!$E$10+1,1))-AVERAGE(OFFSET($H$3,0,0,'Données projet'!$E$10+1,1))</f>
        <v>208.92731420103507</v>
      </c>
      <c r="AO87" s="59">
        <f t="shared" si="90"/>
        <v>247.96048911281395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36.981844882719166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36.981844882719166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-2.8421709430404007E-13</v>
      </c>
      <c r="BE87" s="13">
        <f>BD87*VLOOKUP('Données projet'!$B$11,Paramètres!$A$1:$I$89,3,0)*VLOOKUP('Données projet'!$B$11,Paramètres!$A$1:$I$89,5,0)</f>
        <v>-2.0838797354372215E-13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162.3892440844827</v>
      </c>
      <c r="BJ87" s="59">
        <f t="shared" si="92"/>
        <v>198.28846462484438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45.795782427772821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45.795782427772821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378.17323480030268</v>
      </c>
      <c r="T88" s="59">
        <f t="shared" si="88"/>
        <v>471.89239871617241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161.75674067608711</v>
      </c>
      <c r="AA88" s="21">
        <f>EXP(-LN(2)/25)*AA87+(1-EXP(-LN(2)/25))/(LN(2)/25)*Calculateur!V88*Calculateur!X88*VLOOKUP('Données projet'!$B$9,Paramètres!$A$1:$I$89,3,0)*0.475*44/12</f>
        <v>29.292444991157627</v>
      </c>
      <c r="AB88" s="21">
        <f>EXP(-LN(2)/2)*AB87+(1-EXP(-LN(2)/2))/(LN(2)/2)*V88*Y88*VLOOKUP('Données projet'!$B$9,Paramètres!$A$1:$I$89,3,0)*0.475*44/12</f>
        <v>6.677772379686895E-3</v>
      </c>
      <c r="AC88" s="22">
        <f t="shared" si="57"/>
        <v>191.0558634396244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9.9316821433603781E-14</v>
      </c>
      <c r="AK88" s="13">
        <f t="shared" si="89"/>
        <v>1.4932118279712753E-12</v>
      </c>
      <c r="AL88" s="20">
        <f t="shared" si="58"/>
        <v>2.7736540643801645E-12</v>
      </c>
      <c r="AM88" s="59">
        <f t="shared" si="59"/>
        <v>293.3333333333361</v>
      </c>
      <c r="AN88" s="59">
        <f ca="1">AVERAGE(OFFSET($AM$3,0,0,'Données projet'!$E$10+1,1))-AVERAGE(OFFSET($H$3,0,0,'Données projet'!$E$10+1,1))</f>
        <v>208.92731420103507</v>
      </c>
      <c r="AO88" s="59">
        <f t="shared" si="90"/>
        <v>247.96048911281395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36.256653461267135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36.256653461267135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-2.8421709430404007E-13</v>
      </c>
      <c r="BE88" s="13">
        <f>BD88*VLOOKUP('Données projet'!$B$11,Paramètres!$A$1:$I$89,3,0)*VLOOKUP('Données projet'!$B$11,Paramètres!$A$1:$I$89,5,0)</f>
        <v>-2.0838797354372215E-13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162.3892440844827</v>
      </c>
      <c r="BJ88" s="59">
        <f t="shared" si="92"/>
        <v>198.28846462484438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44.897755067033351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44.897755067033351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378.17323480030268</v>
      </c>
      <c r="T89" s="59">
        <f t="shared" si="88"/>
        <v>471.89239871617241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158.5847896532988</v>
      </c>
      <c r="AA89" s="21">
        <f>EXP(-LN(2)/25)*AA88+(1-EXP(-LN(2)/25))/(LN(2)/25)*Calculateur!V89*Calculateur!X89*VLOOKUP('Données projet'!$B$9,Paramètres!$A$1:$I$89,3,0)*0.475*44/12</f>
        <v>28.491441542451689</v>
      </c>
      <c r="AB89" s="21">
        <f>EXP(-LN(2)/2)*AB88+(1-EXP(-LN(2)/2))/(LN(2)/2)*V89*Y89*VLOOKUP('Données projet'!$B$9,Paramètres!$A$1:$I$89,3,0)*0.475*44/12</f>
        <v>4.721898132896832E-3</v>
      </c>
      <c r="AC89" s="22">
        <f t="shared" si="57"/>
        <v>187.08095309388338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9.9316821433603781E-14</v>
      </c>
      <c r="AK89" s="13">
        <f t="shared" si="89"/>
        <v>1.4932118279712753E-12</v>
      </c>
      <c r="AL89" s="20">
        <f t="shared" si="58"/>
        <v>2.7736540643801645E-12</v>
      </c>
      <c r="AM89" s="59">
        <f t="shared" si="59"/>
        <v>293.3333333333361</v>
      </c>
      <c r="AN89" s="59">
        <f ca="1">AVERAGE(OFFSET($AM$3,0,0,'Données projet'!$E$10+1,1))-AVERAGE(OFFSET($H$3,0,0,'Données projet'!$E$10+1,1))</f>
        <v>208.92731420103507</v>
      </c>
      <c r="AO89" s="59">
        <f t="shared" si="90"/>
        <v>247.96048911281395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35.545682601266684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35.545682601266684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-2.8421709430404007E-13</v>
      </c>
      <c r="BE89" s="13">
        <f>BD89*VLOOKUP('Données projet'!$B$11,Paramètres!$A$1:$I$89,3,0)*VLOOKUP('Données projet'!$B$11,Paramètres!$A$1:$I$89,5,0)</f>
        <v>-2.0838797354372215E-13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162.3892440844827</v>
      </c>
      <c r="BJ89" s="59">
        <f t="shared" si="92"/>
        <v>198.28846462484438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44.017337475095381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44.017337475095381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378.17323480030268</v>
      </c>
      <c r="T90" s="59">
        <f t="shared" si="88"/>
        <v>471.89239871617241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155.47503865536828</v>
      </c>
      <c r="AA90" s="21">
        <f>EXP(-LN(2)/25)*AA89+(1-EXP(-LN(2)/25))/(LN(2)/25)*Calculateur!V90*Calculateur!X90*VLOOKUP('Données projet'!$B$9,Paramètres!$A$1:$I$89,3,0)*0.475*44/12</f>
        <v>27.712341575173554</v>
      </c>
      <c r="AB90" s="21">
        <f>EXP(-LN(2)/2)*AB89+(1-EXP(-LN(2)/2))/(LN(2)/2)*V90*Y90*VLOOKUP('Données projet'!$B$9,Paramètres!$A$1:$I$89,3,0)*0.475*44/12</f>
        <v>3.3388861898434475E-3</v>
      </c>
      <c r="AC90" s="22">
        <f t="shared" si="57"/>
        <v>183.19071911673169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9.9316821433603781E-14</v>
      </c>
      <c r="AK90" s="13">
        <f t="shared" si="89"/>
        <v>1.4932118279712753E-12</v>
      </c>
      <c r="AL90" s="20">
        <f t="shared" si="58"/>
        <v>2.7736540643801645E-12</v>
      </c>
      <c r="AM90" s="59">
        <f t="shared" si="59"/>
        <v>293.3333333333361</v>
      </c>
      <c r="AN90" s="59">
        <f ca="1">AVERAGE(OFFSET($AM$3,0,0,'Données projet'!$E$10+1,1))-AVERAGE(OFFSET($H$3,0,0,'Données projet'!$E$10+1,1))</f>
        <v>208.92731420103507</v>
      </c>
      <c r="AO90" s="59">
        <f t="shared" si="90"/>
        <v>247.96048911281395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34.848653446181437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34.848653446181437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-2.8421709430404007E-13</v>
      </c>
      <c r="BE90" s="13">
        <f>BD90*VLOOKUP('Données projet'!$B$11,Paramètres!$A$1:$I$89,3,0)*VLOOKUP('Données projet'!$B$11,Paramètres!$A$1:$I$89,5,0)</f>
        <v>-2.0838797354372215E-13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162.3892440844827</v>
      </c>
      <c r="BJ90" s="59">
        <f t="shared" si="92"/>
        <v>198.28846462484438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43.154184335133607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43.154184335133607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378.17323480030268</v>
      </c>
      <c r="T91" s="59">
        <f t="shared" si="88"/>
        <v>471.89239871617241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152.42626797774636</v>
      </c>
      <c r="AA91" s="21">
        <f>EXP(-LN(2)/25)*AA90+(1-EXP(-LN(2)/25))/(LN(2)/25)*Calculateur!V91*Calculateur!X91*VLOOKUP('Données projet'!$B$9,Paramètres!$A$1:$I$89,3,0)*0.475*44/12</f>
        <v>26.954546137471727</v>
      </c>
      <c r="AB91" s="21">
        <f>EXP(-LN(2)/2)*AB90+(1-EXP(-LN(2)/2))/(LN(2)/2)*V91*Y91*VLOOKUP('Données projet'!$B$9,Paramètres!$A$1:$I$89,3,0)*0.475*44/12</f>
        <v>2.360949066448416E-3</v>
      </c>
      <c r="AC91" s="22">
        <f t="shared" si="57"/>
        <v>179.38317506428456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9.9316821433603781E-14</v>
      </c>
      <c r="AK91" s="13">
        <f t="shared" si="89"/>
        <v>1.4932118279712753E-12</v>
      </c>
      <c r="AL91" s="20">
        <f t="shared" si="58"/>
        <v>2.7736540643801645E-12</v>
      </c>
      <c r="AM91" s="59">
        <f t="shared" si="59"/>
        <v>293.3333333333361</v>
      </c>
      <c r="AN91" s="59">
        <f ca="1">AVERAGE(OFFSET($AM$3,0,0,'Données projet'!$E$10+1,1))-AVERAGE(OFFSET($H$3,0,0,'Données projet'!$E$10+1,1))</f>
        <v>208.92731420103507</v>
      </c>
      <c r="AO91" s="59">
        <f t="shared" si="90"/>
        <v>247.96048911281395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34.165292607681607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34.165292607681607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-2.8421709430404007E-13</v>
      </c>
      <c r="BE91" s="13">
        <f>BD91*VLOOKUP('Données projet'!$B$11,Paramètres!$A$1:$I$89,3,0)*VLOOKUP('Données projet'!$B$11,Paramètres!$A$1:$I$89,5,0)</f>
        <v>-2.0838797354372215E-13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162.3892440844827</v>
      </c>
      <c r="BJ91" s="59">
        <f t="shared" si="92"/>
        <v>198.28846462484438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42.307957101775052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42.307957101775052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378.17323480030268</v>
      </c>
      <c r="T92" s="59">
        <f t="shared" si="88"/>
        <v>471.89239871617241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149.43728183354611</v>
      </c>
      <c r="AA92" s="21">
        <f>EXP(-LN(2)/25)*AA91+(1-EXP(-LN(2)/25))/(LN(2)/25)*Calculateur!V92*Calculateur!X92*VLOOKUP('Données projet'!$B$9,Paramètres!$A$1:$I$89,3,0)*0.475*44/12</f>
        <v>26.217472655864587</v>
      </c>
      <c r="AB92" s="21">
        <f>EXP(-LN(2)/2)*AB91+(1-EXP(-LN(2)/2))/(LN(2)/2)*V92*Y92*VLOOKUP('Données projet'!$B$9,Paramètres!$A$1:$I$89,3,0)*0.475*44/12</f>
        <v>1.6694430949217237E-3</v>
      </c>
      <c r="AC92" s="22">
        <f t="shared" si="57"/>
        <v>175.65642393250562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9.9316821433603781E-14</v>
      </c>
      <c r="AK92" s="13">
        <f t="shared" si="89"/>
        <v>1.4932118279712753E-12</v>
      </c>
      <c r="AL92" s="20">
        <f t="shared" si="58"/>
        <v>2.7736540643801645E-12</v>
      </c>
      <c r="AM92" s="59">
        <f t="shared" si="59"/>
        <v>293.3333333333361</v>
      </c>
      <c r="AN92" s="59">
        <f ca="1">AVERAGE(OFFSET($AM$3,0,0,'Données projet'!$E$10+1,1))-AVERAGE(OFFSET($H$3,0,0,'Données projet'!$E$10+1,1))</f>
        <v>208.92731420103507</v>
      </c>
      <c r="AO92" s="59">
        <f t="shared" si="90"/>
        <v>247.96048911281395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33.495332058415805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33.495332058415805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-2.8421709430404007E-13</v>
      </c>
      <c r="BE92" s="13">
        <f>BD92*VLOOKUP('Données projet'!$B$11,Paramètres!$A$1:$I$89,3,0)*VLOOKUP('Données projet'!$B$11,Paramètres!$A$1:$I$89,5,0)</f>
        <v>-2.0838797354372215E-13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162.3892440844827</v>
      </c>
      <c r="BJ92" s="59">
        <f t="shared" si="92"/>
        <v>198.28846462484438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41.478323868315016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41.478323868315016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378.17323480030268</v>
      </c>
      <c r="T93" s="59">
        <f t="shared" si="88"/>
        <v>471.89239871617241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146.5069078845321</v>
      </c>
      <c r="AA93" s="21">
        <f>EXP(-LN(2)/25)*AA92+(1-EXP(-LN(2)/25))/(LN(2)/25)*Calculateur!V93*Calculateur!X93*VLOOKUP('Données projet'!$B$9,Paramètres!$A$1:$I$89,3,0)*0.475*44/12</f>
        <v>25.500554487373002</v>
      </c>
      <c r="AB93" s="21">
        <f>EXP(-LN(2)/2)*AB92+(1-EXP(-LN(2)/2))/(LN(2)/2)*V93*Y93*VLOOKUP('Données projet'!$B$9,Paramètres!$A$1:$I$89,3,0)*0.475*44/12</f>
        <v>1.180474533224208E-3</v>
      </c>
      <c r="AC93" s="22">
        <f t="shared" si="57"/>
        <v>172.00864284643831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9.9316821433603781E-14</v>
      </c>
      <c r="AK93" s="13">
        <f t="shared" si="89"/>
        <v>1.4932118279712753E-12</v>
      </c>
      <c r="AL93" s="20">
        <f t="shared" si="58"/>
        <v>2.7736540643801645E-12</v>
      </c>
      <c r="AM93" s="59">
        <f t="shared" si="59"/>
        <v>293.3333333333361</v>
      </c>
      <c r="AN93" s="59">
        <f ca="1">AVERAGE(OFFSET($AM$3,0,0,'Données projet'!$E$10+1,1))-AVERAGE(OFFSET($H$3,0,0,'Données projet'!$E$10+1,1))</f>
        <v>208.92731420103507</v>
      </c>
      <c r="AO93" s="59">
        <f t="shared" si="90"/>
        <v>247.96048911281395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32.838509026885518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32.838509026885518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-2.8421709430404007E-13</v>
      </c>
      <c r="BE93" s="13">
        <f>BD93*VLOOKUP('Données projet'!$B$11,Paramètres!$A$1:$I$89,3,0)*VLOOKUP('Données projet'!$B$11,Paramètres!$A$1:$I$89,5,0)</f>
        <v>-2.0838797354372215E-13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162.3892440844827</v>
      </c>
      <c r="BJ93" s="59">
        <f t="shared" si="92"/>
        <v>198.28846462484438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40.664959236536824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40.664959236536824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378.17323480030268</v>
      </c>
      <c r="T94" s="59">
        <f t="shared" si="88"/>
        <v>471.89239871617241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143.63399678130662</v>
      </c>
      <c r="AA94" s="21">
        <f>EXP(-LN(2)/25)*AA93+(1-EXP(-LN(2)/25))/(LN(2)/25)*Calculateur!V94*Calculateur!X94*VLOOKUP('Données projet'!$B$9,Paramètres!$A$1:$I$89,3,0)*0.475*44/12</f>
        <v>24.803240483899909</v>
      </c>
      <c r="AB94" s="21">
        <f>EXP(-LN(2)/2)*AB93+(1-EXP(-LN(2)/2))/(LN(2)/2)*V94*Y94*VLOOKUP('Données projet'!$B$9,Paramètres!$A$1:$I$89,3,0)*0.475*44/12</f>
        <v>8.3472154746086187E-4</v>
      </c>
      <c r="AC94" s="22">
        <f t="shared" si="57"/>
        <v>168.43807198675398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9.9316821433603781E-14</v>
      </c>
      <c r="AK94" s="13">
        <f t="shared" si="89"/>
        <v>1.4932118279712753E-12</v>
      </c>
      <c r="AL94" s="20">
        <f t="shared" si="58"/>
        <v>2.7736540643801645E-12</v>
      </c>
      <c r="AM94" s="59">
        <f t="shared" si="59"/>
        <v>293.3333333333361</v>
      </c>
      <c r="AN94" s="59">
        <f ca="1">AVERAGE(OFFSET($AM$3,0,0,'Données projet'!$E$10+1,1))-AVERAGE(OFFSET($H$3,0,0,'Données projet'!$E$10+1,1))</f>
        <v>208.92731420103507</v>
      </c>
      <c r="AO94" s="59">
        <f t="shared" si="90"/>
        <v>247.96048911281395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32.19456589438105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32.19456589438105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-2.8421709430404007E-13</v>
      </c>
      <c r="BE94" s="13">
        <f>BD94*VLOOKUP('Données projet'!$B$11,Paramètres!$A$1:$I$89,3,0)*VLOOKUP('Données projet'!$B$11,Paramètres!$A$1:$I$89,5,0)</f>
        <v>-2.0838797354372215E-13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162.3892440844827</v>
      </c>
      <c r="BJ94" s="59">
        <f t="shared" si="92"/>
        <v>198.28846462484438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39.867544189084363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39.867544189084363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378.17323480030268</v>
      </c>
      <c r="T95" s="59">
        <f t="shared" si="88"/>
        <v>471.89239871617241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140.81742171251264</v>
      </c>
      <c r="AA95" s="21">
        <f>EXP(-LN(2)/25)*AA94+(1-EXP(-LN(2)/25))/(LN(2)/25)*Calculateur!V95*Calculateur!X95*VLOOKUP('Données projet'!$B$9,Paramètres!$A$1:$I$89,3,0)*0.475*44/12</f>
        <v>24.124994568521938</v>
      </c>
      <c r="AB95" s="21">
        <f>EXP(-LN(2)/2)*AB94+(1-EXP(-LN(2)/2))/(LN(2)/2)*V95*Y95*VLOOKUP('Données projet'!$B$9,Paramètres!$A$1:$I$89,3,0)*0.475*44/12</f>
        <v>5.90237266612104E-4</v>
      </c>
      <c r="AC95" s="22">
        <f t="shared" si="57"/>
        <v>164.94300651830119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9.9316821433603781E-14</v>
      </c>
      <c r="AK95" s="13">
        <f t="shared" si="89"/>
        <v>1.4932118279712753E-12</v>
      </c>
      <c r="AL95" s="20">
        <f t="shared" si="58"/>
        <v>2.7736540643801645E-12</v>
      </c>
      <c r="AM95" s="59">
        <f t="shared" si="59"/>
        <v>293.3333333333361</v>
      </c>
      <c r="AN95" s="59">
        <f ca="1">AVERAGE(OFFSET($AM$3,0,0,'Données projet'!$E$10+1,1))-AVERAGE(OFFSET($H$3,0,0,'Données projet'!$E$10+1,1))</f>
        <v>208.92731420103507</v>
      </c>
      <c r="AO95" s="59">
        <f t="shared" si="90"/>
        <v>247.96048911281395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31.563250093938464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31.563250093938464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-2.8421709430404007E-13</v>
      </c>
      <c r="BE95" s="13">
        <f>BD95*VLOOKUP('Données projet'!$B$11,Paramètres!$A$1:$I$89,3,0)*VLOOKUP('Données projet'!$B$11,Paramètres!$A$1:$I$89,5,0)</f>
        <v>-2.0838797354372215E-13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162.3892440844827</v>
      </c>
      <c r="BJ95" s="59">
        <f t="shared" si="92"/>
        <v>198.28846462484438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39.085765964337291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39.085765964337291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378.17323480030268</v>
      </c>
      <c r="T96" s="59">
        <f t="shared" si="88"/>
        <v>471.89239871617241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138.05607796287657</v>
      </c>
      <c r="AA96" s="21">
        <f>EXP(-LN(2)/25)*AA95+(1-EXP(-LN(2)/25))/(LN(2)/25)*Calculateur!V96*Calculateur!X96*VLOOKUP('Données projet'!$B$9,Paramètres!$A$1:$I$89,3,0)*0.475*44/12</f>
        <v>23.465295323367378</v>
      </c>
      <c r="AB96" s="21">
        <f>EXP(-LN(2)/2)*AB95+(1-EXP(-LN(2)/2))/(LN(2)/2)*V96*Y96*VLOOKUP('Données projet'!$B$9,Paramètres!$A$1:$I$89,3,0)*0.475*44/12</f>
        <v>4.1736077373043094E-4</v>
      </c>
      <c r="AC96" s="22">
        <f t="shared" si="57"/>
        <v>161.52179064701767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9.9316821433603781E-14</v>
      </c>
      <c r="AK96" s="13">
        <f t="shared" si="89"/>
        <v>1.4932118279712753E-12</v>
      </c>
      <c r="AL96" s="20">
        <f t="shared" si="58"/>
        <v>2.7736540643801645E-12</v>
      </c>
      <c r="AM96" s="59">
        <f t="shared" si="59"/>
        <v>293.3333333333361</v>
      </c>
      <c r="AN96" s="59">
        <f ca="1">AVERAGE(OFFSET($AM$3,0,0,'Données projet'!$E$10+1,1))-AVERAGE(OFFSET($H$3,0,0,'Données projet'!$E$10+1,1))</f>
        <v>208.92731420103507</v>
      </c>
      <c r="AO96" s="59">
        <f t="shared" si="90"/>
        <v>247.96048911281395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30.944314011277942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30.944314011277942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-2.8421709430404007E-13</v>
      </c>
      <c r="BE96" s="13">
        <f>BD96*VLOOKUP('Données projet'!$B$11,Paramètres!$A$1:$I$89,3,0)*VLOOKUP('Données projet'!$B$11,Paramètres!$A$1:$I$89,5,0)</f>
        <v>-2.0838797354372215E-13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162.3892440844827</v>
      </c>
      <c r="BJ96" s="59">
        <f t="shared" si="92"/>
        <v>198.28846462484438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38.319317933739875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38.319317933739875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378.17323480030268</v>
      </c>
      <c r="T97" s="59">
        <f t="shared" si="88"/>
        <v>471.89239871617241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135.34888247991748</v>
      </c>
      <c r="AA97" s="21">
        <f>EXP(-LN(2)/25)*AA96+(1-EXP(-LN(2)/25))/(LN(2)/25)*Calculateur!V97*Calculateur!X97*VLOOKUP('Données projet'!$B$9,Paramètres!$A$1:$I$89,3,0)*0.475*44/12</f>
        <v>22.823635588763647</v>
      </c>
      <c r="AB97" s="21">
        <f>EXP(-LN(2)/2)*AB96+(1-EXP(-LN(2)/2))/(LN(2)/2)*V97*Y97*VLOOKUP('Données projet'!$B$9,Paramètres!$A$1:$I$89,3,0)*0.475*44/12</f>
        <v>2.95118633306052E-4</v>
      </c>
      <c r="AC97" s="22">
        <f t="shared" si="57"/>
        <v>158.17281318731443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9.9316821433603781E-14</v>
      </c>
      <c r="AK97" s="13">
        <f t="shared" si="89"/>
        <v>1.4932118279712753E-12</v>
      </c>
      <c r="AL97" s="20">
        <f t="shared" si="58"/>
        <v>2.7736540643801645E-12</v>
      </c>
      <c r="AM97" s="59">
        <f t="shared" si="59"/>
        <v>293.3333333333361</v>
      </c>
      <c r="AN97" s="59">
        <f ca="1">AVERAGE(OFFSET($AM$3,0,0,'Données projet'!$E$10+1,1))-AVERAGE(OFFSET($H$3,0,0,'Données projet'!$E$10+1,1))</f>
        <v>208.92731420103507</v>
      </c>
      <c r="AO97" s="59">
        <f t="shared" si="90"/>
        <v>247.96048911281395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30.337514887684659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30.337514887684659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-2.8421709430404007E-13</v>
      </c>
      <c r="BE97" s="13">
        <f>BD97*VLOOKUP('Données projet'!$B$11,Paramètres!$A$1:$I$89,3,0)*VLOOKUP('Données projet'!$B$11,Paramètres!$A$1:$I$89,5,0)</f>
        <v>-2.0838797354372215E-13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162.3892440844827</v>
      </c>
      <c r="BJ97" s="59">
        <f t="shared" si="92"/>
        <v>198.28846462484438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37.567899481535335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37.567899481535335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378.17323480030268</v>
      </c>
      <c r="T98" s="59">
        <f t="shared" si="88"/>
        <v>471.89239871617241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132.69477344915302</v>
      </c>
      <c r="AA98" s="21">
        <f>EXP(-LN(2)/25)*AA97+(1-EXP(-LN(2)/25))/(LN(2)/25)*Calculateur!V98*Calculateur!X98*VLOOKUP('Données projet'!$B$9,Paramètres!$A$1:$I$89,3,0)*0.475*44/12</f>
        <v>22.199522073346074</v>
      </c>
      <c r="AB98" s="21">
        <f>EXP(-LN(2)/2)*AB97+(1-EXP(-LN(2)/2))/(LN(2)/2)*V98*Y98*VLOOKUP('Données projet'!$B$9,Paramètres!$A$1:$I$89,3,0)*0.475*44/12</f>
        <v>2.0868038686521547E-4</v>
      </c>
      <c r="AC98" s="22">
        <f t="shared" si="57"/>
        <v>154.89450420288594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9.9316821433603781E-14</v>
      </c>
      <c r="AK98" s="13">
        <f t="shared" si="89"/>
        <v>1.4932118279712753E-12</v>
      </c>
      <c r="AL98" s="20">
        <f t="shared" si="58"/>
        <v>2.7736540643801645E-12</v>
      </c>
      <c r="AM98" s="59">
        <f t="shared" si="59"/>
        <v>293.3333333333361</v>
      </c>
      <c r="AN98" s="59">
        <f ca="1">AVERAGE(OFFSET($AM$3,0,0,'Données projet'!$E$10+1,1))-AVERAGE(OFFSET($H$3,0,0,'Données projet'!$E$10+1,1))</f>
        <v>208.92731420103507</v>
      </c>
      <c r="AO98" s="59">
        <f t="shared" si="90"/>
        <v>247.96048911281395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29.742614724794119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29.742614724794119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-2.8421709430404007E-13</v>
      </c>
      <c r="BE98" s="13">
        <f>BD98*VLOOKUP('Données projet'!$B$11,Paramètres!$A$1:$I$89,3,0)*VLOOKUP('Données projet'!$B$11,Paramètres!$A$1:$I$89,5,0)</f>
        <v>-2.0838797354372215E-13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162.3892440844827</v>
      </c>
      <c r="BJ98" s="59">
        <f t="shared" si="92"/>
        <v>198.28846462484438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36.831215886858523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36.831215886858523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378.17323480030268</v>
      </c>
      <c r="T99" s="59">
        <f t="shared" si="88"/>
        <v>471.89239871617241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130.09270987763517</v>
      </c>
      <c r="AA99" s="21">
        <f>EXP(-LN(2)/25)*AA98+(1-EXP(-LN(2)/25))/(LN(2)/25)*Calculateur!V99*Calculateur!X99*VLOOKUP('Données projet'!$B$9,Paramètres!$A$1:$I$89,3,0)*0.475*44/12</f>
        <v>21.592474974828299</v>
      </c>
      <c r="AB99" s="21">
        <f>EXP(-LN(2)/2)*AB98+(1-EXP(-LN(2)/2))/(LN(2)/2)*V99*Y99*VLOOKUP('Données projet'!$B$9,Paramètres!$A$1:$I$89,3,0)*0.475*44/12</f>
        <v>1.47559316653026E-4</v>
      </c>
      <c r="AC99" s="22">
        <f t="shared" si="57"/>
        <v>151.68533241178011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9.9316821433603781E-14</v>
      </c>
      <c r="AK99" s="13">
        <f t="shared" si="89"/>
        <v>1.4932118279712753E-12</v>
      </c>
      <c r="AL99" s="20">
        <f t="shared" si="58"/>
        <v>2.7736540643801645E-12</v>
      </c>
      <c r="AM99" s="59">
        <f t="shared" si="59"/>
        <v>293.3333333333361</v>
      </c>
      <c r="AN99" s="59">
        <f ca="1">AVERAGE(OFFSET($AM$3,0,0,'Données projet'!$E$10+1,1))-AVERAGE(OFFSET($H$3,0,0,'Données projet'!$E$10+1,1))</f>
        <v>208.92731420103507</v>
      </c>
      <c r="AO99" s="59">
        <f t="shared" si="90"/>
        <v>247.96048911281395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29.159380191244594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29.159380191244594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-2.8421709430404007E-13</v>
      </c>
      <c r="BE99" s="13">
        <f>BD99*VLOOKUP('Données projet'!$B$11,Paramètres!$A$1:$I$89,3,0)*VLOOKUP('Données projet'!$B$11,Paramètres!$A$1:$I$89,5,0)</f>
        <v>-2.0838797354372215E-13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162.3892440844827</v>
      </c>
      <c r="BJ99" s="59">
        <f t="shared" si="92"/>
        <v>198.28846462484438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36.108978208140698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36.108978208140698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378.17323480030268</v>
      </c>
      <c r="T100" s="59">
        <f t="shared" si="88"/>
        <v>471.89239871617241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127.54167118565273</v>
      </c>
      <c r="AA100" s="21">
        <f>EXP(-LN(2)/25)*AA99+(1-EXP(-LN(2)/25))/(LN(2)/25)*Calculateur!V100*Calculateur!X100*VLOOKUP('Données projet'!$B$9,Paramètres!$A$1:$I$89,3,0)*0.475*44/12</f>
        <v>21.002027611142712</v>
      </c>
      <c r="AB100" s="21">
        <f>EXP(-LN(2)/2)*AB99+(1-EXP(-LN(2)/2))/(LN(2)/2)*V100*Y100*VLOOKUP('Données projet'!$B$9,Paramètres!$A$1:$I$89,3,0)*0.475*44/12</f>
        <v>1.0434019343260773E-4</v>
      </c>
      <c r="AC100" s="22">
        <f t="shared" si="57"/>
        <v>148.54380313698888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9.9316821433603781E-14</v>
      </c>
      <c r="AK100" s="13">
        <f t="shared" si="89"/>
        <v>1.4932118279712753E-12</v>
      </c>
      <c r="AL100" s="20">
        <f t="shared" si="58"/>
        <v>2.7736540643801645E-12</v>
      </c>
      <c r="AM100" s="59">
        <f t="shared" si="59"/>
        <v>293.3333333333361</v>
      </c>
      <c r="AN100" s="59">
        <f ca="1">AVERAGE(OFFSET($AM$3,0,0,'Données projet'!$E$10+1,1))-AVERAGE(OFFSET($H$3,0,0,'Données projet'!$E$10+1,1))</f>
        <v>208.92731420103507</v>
      </c>
      <c r="AO100" s="59">
        <f t="shared" si="90"/>
        <v>247.96048911281395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28.587582531160034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28.587582531160034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-2.8421709430404007E-13</v>
      </c>
      <c r="BE100" s="13">
        <f>BD100*VLOOKUP('Données projet'!$B$11,Paramètres!$A$1:$I$89,3,0)*VLOOKUP('Données projet'!$B$11,Paramètres!$A$1:$I$89,5,0)</f>
        <v>-2.0838797354372215E-13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162.3892440844827</v>
      </c>
      <c r="BJ100" s="59">
        <f t="shared" si="92"/>
        <v>198.28846462484438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35.400903169781046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35.400903169781046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378.17323480030268</v>
      </c>
      <c r="T101" s="59">
        <f t="shared" si="88"/>
        <v>471.89239871617241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125.04065680644011</v>
      </c>
      <c r="AA101" s="21">
        <f>EXP(-LN(2)/25)*AA100+(1-EXP(-LN(2)/25))/(LN(2)/25)*Calculateur!V101*Calculateur!X101*VLOOKUP('Données projet'!$B$9,Paramètres!$A$1:$I$89,3,0)*0.475*44/12</f>
        <v>20.427726061667382</v>
      </c>
      <c r="AB101" s="21">
        <f>EXP(-LN(2)/2)*AB100+(1-EXP(-LN(2)/2))/(LN(2)/2)*V101*Y101*VLOOKUP('Données projet'!$B$9,Paramètres!$A$1:$I$89,3,0)*0.475*44/12</f>
        <v>7.3779658326513E-5</v>
      </c>
      <c r="AC101" s="22">
        <f t="shared" si="57"/>
        <v>145.46845664776581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9.9316821433603781E-14</v>
      </c>
      <c r="AK101" s="13">
        <f t="shared" si="89"/>
        <v>1.4932118279712753E-12</v>
      </c>
      <c r="AL101" s="20">
        <f t="shared" si="58"/>
        <v>2.7736540643801645E-12</v>
      </c>
      <c r="AM101" s="59">
        <f t="shared" si="59"/>
        <v>293.3333333333361</v>
      </c>
      <c r="AN101" s="59">
        <f ca="1">AVERAGE(OFFSET($AM$3,0,0,'Données projet'!$E$10+1,1))-AVERAGE(OFFSET($H$3,0,0,'Données projet'!$E$10+1,1))</f>
        <v>208.92731420103507</v>
      </c>
      <c r="AO101" s="59">
        <f t="shared" si="90"/>
        <v>247.96048911281395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28.026997474427599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28.026997474427599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-2.8421709430404007E-13</v>
      </c>
      <c r="BE101" s="13">
        <f>BD101*VLOOKUP('Données projet'!$B$11,Paramètres!$A$1:$I$89,3,0)*VLOOKUP('Données projet'!$B$11,Paramètres!$A$1:$I$89,5,0)</f>
        <v>-2.0838797354372215E-13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162.3892440844827</v>
      </c>
      <c r="BJ101" s="59">
        <f t="shared" si="92"/>
        <v>198.28846462484438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34.706713051040502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34.706713051040502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378.17323480030268</v>
      </c>
      <c r="T102" s="59">
        <f t="shared" si="88"/>
        <v>471.89239871617241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122.58868579373571</v>
      </c>
      <c r="AA102" s="21">
        <f>EXP(-LN(2)/25)*AA101+(1-EXP(-LN(2)/25))/(LN(2)/25)*Calculateur!V102*Calculateur!X102*VLOOKUP('Données projet'!$B$9,Paramètres!$A$1:$I$89,3,0)*0.475*44/12</f>
        <v>19.869128818263661</v>
      </c>
      <c r="AB102" s="21">
        <f>EXP(-LN(2)/2)*AB101+(1-EXP(-LN(2)/2))/(LN(2)/2)*V102*Y102*VLOOKUP('Données projet'!$B$9,Paramètres!$A$1:$I$89,3,0)*0.475*44/12</f>
        <v>5.2170096716303867E-5</v>
      </c>
      <c r="AC102" s="22">
        <f t="shared" si="57"/>
        <v>142.45786678209609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9.9316821433603781E-14</v>
      </c>
      <c r="AK102" s="13">
        <f t="shared" si="89"/>
        <v>1.4932118279712753E-12</v>
      </c>
      <c r="AL102" s="20">
        <f t="shared" si="58"/>
        <v>2.7736540643801645E-12</v>
      </c>
      <c r="AM102" s="59">
        <f t="shared" si="59"/>
        <v>293.3333333333361</v>
      </c>
      <c r="AN102" s="59">
        <f ca="1">AVERAGE(OFFSET($AM$3,0,0,'Données projet'!$E$10+1,1))-AVERAGE(OFFSET($H$3,0,0,'Données projet'!$E$10+1,1))</f>
        <v>208.92731420103507</v>
      </c>
      <c r="AO102" s="59">
        <f t="shared" si="90"/>
        <v>247.96048911281395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27.477405148734565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27.477405148734565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-2.8421709430404007E-13</v>
      </c>
      <c r="BE102" s="13">
        <f>BD102*VLOOKUP('Données projet'!$B$11,Paramètres!$A$1:$I$89,3,0)*VLOOKUP('Données projet'!$B$11,Paramètres!$A$1:$I$89,5,0)</f>
        <v>-2.0838797354372215E-13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162.3892440844827</v>
      </c>
      <c r="BJ102" s="59">
        <f t="shared" si="92"/>
        <v>198.28846462484438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34.026135577114296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34.026135577114296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378.17323480030268</v>
      </c>
      <c r="T103" s="59">
        <f t="shared" si="88"/>
        <v>471.89239871617241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120.18479643703579</v>
      </c>
      <c r="AA103" s="21">
        <f>EXP(-LN(2)/25)*AA102+(1-EXP(-LN(2)/25))/(LN(2)/25)*Calculateur!V103*Calculateur!X103*VLOOKUP('Données projet'!$B$9,Paramètres!$A$1:$I$89,3,0)*0.475*44/12</f>
        <v>19.32580644585617</v>
      </c>
      <c r="AB103" s="21">
        <f>EXP(-LN(2)/2)*AB102+(1-EXP(-LN(2)/2))/(LN(2)/2)*V103*Y103*VLOOKUP('Données projet'!$B$9,Paramètres!$A$1:$I$89,3,0)*0.475*44/12</f>
        <v>3.68898291632565E-5</v>
      </c>
      <c r="AC103" s="22">
        <f t="shared" si="57"/>
        <v>139.51063977272113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9.9316821433603781E-14</v>
      </c>
      <c r="AK103" s="13">
        <f t="shared" si="89"/>
        <v>1.4932118279712753E-12</v>
      </c>
      <c r="AL103" s="20">
        <f t="shared" si="58"/>
        <v>2.7736540643801645E-12</v>
      </c>
      <c r="AM103" s="59">
        <f t="shared" si="59"/>
        <v>293.3333333333361</v>
      </c>
      <c r="AN103" s="59">
        <f ca="1">AVERAGE(OFFSET($AM$3,0,0,'Données projet'!$E$10+1,1))-AVERAGE(OFFSET($H$3,0,0,'Données projet'!$E$10+1,1))</f>
        <v>208.92731420103507</v>
      </c>
      <c r="AO103" s="59">
        <f t="shared" si="90"/>
        <v>247.96048911281395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26.938589993330151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26.938589993330151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-2.8421709430404007E-13</v>
      </c>
      <c r="BE103" s="13">
        <f>BD103*VLOOKUP('Données projet'!$B$11,Paramètres!$A$1:$I$89,3,0)*VLOOKUP('Données projet'!$B$11,Paramètres!$A$1:$I$89,5,0)</f>
        <v>-2.0838797354372215E-13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162.3892440844827</v>
      </c>
      <c r="BJ103" s="59">
        <f t="shared" si="92"/>
        <v>198.28846462484438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33.358903812340507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33.358903812340507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378.17323480030268</v>
      </c>
      <c r="T104" s="59">
        <f t="shared" si="88"/>
        <v>471.89239871617241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117.82804588439302</v>
      </c>
      <c r="AA104" s="21">
        <f>EXP(-LN(2)/25)*AA103+(1-EXP(-LN(2)/25))/(LN(2)/25)*Calculateur!V104*Calculateur!X104*VLOOKUP('Données projet'!$B$9,Paramètres!$A$1:$I$89,3,0)*0.475*44/12</f>
        <v>18.797341252294242</v>
      </c>
      <c r="AB104" s="21">
        <f>EXP(-LN(2)/2)*AB103+(1-EXP(-LN(2)/2))/(LN(2)/2)*V104*Y104*VLOOKUP('Données projet'!$B$9,Paramètres!$A$1:$I$89,3,0)*0.475*44/12</f>
        <v>2.6085048358151934E-5</v>
      </c>
      <c r="AC104" s="22">
        <f t="shared" si="57"/>
        <v>136.62541322173561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9.9316821433603781E-14</v>
      </c>
      <c r="AK104" s="13">
        <f t="shared" si="89"/>
        <v>1.4932118279712753E-12</v>
      </c>
      <c r="AL104" s="20">
        <f t="shared" si="58"/>
        <v>2.7736540643801645E-12</v>
      </c>
      <c r="AM104" s="59">
        <f t="shared" si="59"/>
        <v>293.3333333333361</v>
      </c>
      <c r="AN104" s="59">
        <f ca="1">AVERAGE(OFFSET($AM$3,0,0,'Données projet'!$E$10+1,1))-AVERAGE(OFFSET($H$3,0,0,'Données projet'!$E$10+1,1))</f>
        <v>208.92731420103507</v>
      </c>
      <c r="AO104" s="59">
        <f t="shared" si="90"/>
        <v>247.96048911281395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26.410340674478423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26.410340674478423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-2.8421709430404007E-13</v>
      </c>
      <c r="BE104" s="13">
        <f>BD104*VLOOKUP('Données projet'!$B$11,Paramètres!$A$1:$I$89,3,0)*VLOOKUP('Données projet'!$B$11,Paramètres!$A$1:$I$89,5,0)</f>
        <v>-2.0838797354372215E-13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162.3892440844827</v>
      </c>
      <c r="BJ104" s="59">
        <f t="shared" si="92"/>
        <v>198.28846462484438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32.704756055502742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32.704756055502742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378.17323480030268</v>
      </c>
      <c r="T105" s="59">
        <f t="shared" si="88"/>
        <v>471.89239871617241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115.51750977261169</v>
      </c>
      <c r="AA105" s="21">
        <f>EXP(-LN(2)/25)*AA104+(1-EXP(-LN(2)/25))/(LN(2)/25)*Calculateur!V105*Calculateur!X105*VLOOKUP('Données projet'!$B$9,Paramètres!$A$1:$I$89,3,0)*0.475*44/12</f>
        <v>18.283326967241042</v>
      </c>
      <c r="AB105" s="21">
        <f>EXP(-LN(2)/2)*AB104+(1-EXP(-LN(2)/2))/(LN(2)/2)*V105*Y105*VLOOKUP('Données projet'!$B$9,Paramètres!$A$1:$I$89,3,0)*0.475*44/12</f>
        <v>1.844491458162825E-5</v>
      </c>
      <c r="AC105" s="22">
        <f t="shared" si="57"/>
        <v>133.80085518476733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9.9316821433603781E-14</v>
      </c>
      <c r="AK105" s="13">
        <f t="shared" si="89"/>
        <v>1.4932118279712753E-12</v>
      </c>
      <c r="AL105" s="20">
        <f t="shared" si="58"/>
        <v>2.7736540643801645E-12</v>
      </c>
      <c r="AM105" s="59">
        <f t="shared" si="59"/>
        <v>293.3333333333361</v>
      </c>
      <c r="AN105" s="59">
        <f ca="1">AVERAGE(OFFSET($AM$3,0,0,'Données projet'!$E$10+1,1))-AVERAGE(OFFSET($H$3,0,0,'Données projet'!$E$10+1,1))</f>
        <v>208.92731420103507</v>
      </c>
      <c r="AO105" s="59">
        <f t="shared" si="90"/>
        <v>247.96048911281395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25.89245000256911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25.89245000256911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-2.8421709430404007E-13</v>
      </c>
      <c r="BE105" s="13">
        <f>BD105*VLOOKUP('Données projet'!$B$11,Paramètres!$A$1:$I$89,3,0)*VLOOKUP('Données projet'!$B$11,Paramètres!$A$1:$I$89,5,0)</f>
        <v>-2.0838797354372215E-13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162.3892440844827</v>
      </c>
      <c r="BJ105" s="59">
        <f t="shared" si="92"/>
        <v>198.28846462484438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32.063435737185834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32.063435737185834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378.17323480030268</v>
      </c>
      <c r="T106" s="59">
        <f t="shared" si="88"/>
        <v>471.89239871617241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113.25228186469451</v>
      </c>
      <c r="AA106" s="21">
        <f>EXP(-LN(2)/25)*AA105+(1-EXP(-LN(2)/25))/(LN(2)/25)*Calculateur!V106*Calculateur!X106*VLOOKUP('Données projet'!$B$9,Paramètres!$A$1:$I$89,3,0)*0.475*44/12</f>
        <v>17.783368429843456</v>
      </c>
      <c r="AB106" s="21">
        <f>EXP(-LN(2)/2)*AB105+(1-EXP(-LN(2)/2))/(LN(2)/2)*V106*Y106*VLOOKUP('Données projet'!$B$9,Paramètres!$A$1:$I$89,3,0)*0.475*44/12</f>
        <v>1.3042524179075967E-5</v>
      </c>
      <c r="AC106" s="22">
        <f t="shared" si="57"/>
        <v>131.03566333706215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9.9316821433603781E-14</v>
      </c>
      <c r="AK106" s="13">
        <f t="shared" si="89"/>
        <v>1.4932118279712753E-12</v>
      </c>
      <c r="AL106" s="20">
        <f t="shared" si="58"/>
        <v>2.7736540643801645E-12</v>
      </c>
      <c r="AM106" s="59">
        <f t="shared" si="59"/>
        <v>293.3333333333361</v>
      </c>
      <c r="AN106" s="59">
        <f ca="1">AVERAGE(OFFSET($AM$3,0,0,'Données projet'!$E$10+1,1))-AVERAGE(OFFSET($H$3,0,0,'Données projet'!$E$10+1,1))</f>
        <v>208.92731420103507</v>
      </c>
      <c r="AO106" s="59">
        <f t="shared" si="90"/>
        <v>247.96048911281395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25.384714850853818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25.384714850853818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-2.8421709430404007E-13</v>
      </c>
      <c r="BE106" s="13">
        <f>BD106*VLOOKUP('Données projet'!$B$11,Paramètres!$A$1:$I$89,3,0)*VLOOKUP('Données projet'!$B$11,Paramètres!$A$1:$I$89,5,0)</f>
        <v>-2.0838797354372215E-13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162.3892440844827</v>
      </c>
      <c r="BJ106" s="59">
        <f t="shared" si="92"/>
        <v>198.28846462484438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31.434691319144349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31.434691319144349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378.17323480030268</v>
      </c>
      <c r="T107" s="59">
        <f t="shared" si="88"/>
        <v>471.89239871617241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111.031473694399</v>
      </c>
      <c r="AA107" s="21">
        <f>EXP(-LN(2)/25)*AA106+(1-EXP(-LN(2)/25))/(LN(2)/25)*Calculateur!V107*Calculateur!X107*VLOOKUP('Données projet'!$B$9,Paramètres!$A$1:$I$89,3,0)*0.475*44/12</f>
        <v>17.297081284942685</v>
      </c>
      <c r="AB107" s="21">
        <f>EXP(-LN(2)/2)*AB106+(1-EXP(-LN(2)/2))/(LN(2)/2)*V107*Y107*VLOOKUP('Données projet'!$B$9,Paramètres!$A$1:$I$89,3,0)*0.475*44/12</f>
        <v>9.222457290814125E-6</v>
      </c>
      <c r="AC107" s="22">
        <f t="shared" si="57"/>
        <v>128.32856420179897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9.9316821433603781E-14</v>
      </c>
      <c r="AK107" s="13">
        <f t="shared" si="89"/>
        <v>1.4932118279712753E-12</v>
      </c>
      <c r="AL107" s="20">
        <f t="shared" si="58"/>
        <v>2.7736540643801645E-12</v>
      </c>
      <c r="AM107" s="59">
        <f t="shared" si="59"/>
        <v>293.3333333333361</v>
      </c>
      <c r="AN107" s="59">
        <f ca="1">AVERAGE(OFFSET($AM$3,0,0,'Données projet'!$E$10+1,1))-AVERAGE(OFFSET($H$3,0,0,'Données projet'!$E$10+1,1))</f>
        <v>208.92731420103507</v>
      </c>
      <c r="AO107" s="59">
        <f t="shared" si="90"/>
        <v>247.96048911281395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24.8869360757758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24.8869360757758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-2.8421709430404007E-13</v>
      </c>
      <c r="BE107" s="13">
        <f>BD107*VLOOKUP('Données projet'!$B$11,Paramètres!$A$1:$I$89,3,0)*VLOOKUP('Données projet'!$B$11,Paramètres!$A$1:$I$89,5,0)</f>
        <v>-2.0838797354372215E-13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162.3892440844827</v>
      </c>
      <c r="BJ107" s="59">
        <f t="shared" si="92"/>
        <v>198.28846462484438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30.81827619564443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30.81827619564443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378.17323480030268</v>
      </c>
      <c r="T108" s="59">
        <f t="shared" si="88"/>
        <v>471.89239871617241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108.85421421776374</v>
      </c>
      <c r="AA108" s="21">
        <f>EXP(-LN(2)/25)*AA107+(1-EXP(-LN(2)/25))/(LN(2)/25)*Calculateur!V108*Calculateur!X108*VLOOKUP('Données projet'!$B$9,Paramètres!$A$1:$I$89,3,0)*0.475*44/12</f>
        <v>16.824091687591956</v>
      </c>
      <c r="AB108" s="21">
        <f>EXP(-LN(2)/2)*AB107+(1-EXP(-LN(2)/2))/(LN(2)/2)*V108*Y108*VLOOKUP('Données projet'!$B$9,Paramètres!$A$1:$I$89,3,0)*0.475*44/12</f>
        <v>6.5212620895379834E-6</v>
      </c>
      <c r="AC108" s="22">
        <f t="shared" si="57"/>
        <v>125.67831242661779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9.9316821433603781E-14</v>
      </c>
      <c r="AK108" s="13">
        <f t="shared" si="89"/>
        <v>1.4932118279712753E-12</v>
      </c>
      <c r="AL108" s="20">
        <f t="shared" si="58"/>
        <v>2.7736540643801645E-12</v>
      </c>
      <c r="AM108" s="59">
        <f t="shared" si="59"/>
        <v>293.3333333333361</v>
      </c>
      <c r="AN108" s="59">
        <f ca="1">AVERAGE(OFFSET($AM$3,0,0,'Données projet'!$E$10+1,1))-AVERAGE(OFFSET($H$3,0,0,'Données projet'!$E$10+1,1))</f>
        <v>208.92731420103507</v>
      </c>
      <c r="AO108" s="59">
        <f t="shared" si="90"/>
        <v>247.96048911281395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24.39891843886199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24.39891843886199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-2.8421709430404007E-13</v>
      </c>
      <c r="BE108" s="13">
        <f>BD108*VLOOKUP('Données projet'!$B$11,Paramètres!$A$1:$I$89,3,0)*VLOOKUP('Données projet'!$B$11,Paramètres!$A$1:$I$89,5,0)</f>
        <v>-2.0838797354372215E-13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162.3892440844827</v>
      </c>
      <c r="BJ108" s="59">
        <f t="shared" si="92"/>
        <v>198.28846462484438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30.213948596740241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30.213948596740241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378.17323480030268</v>
      </c>
      <c r="T109" s="59">
        <f t="shared" si="88"/>
        <v>471.89239871617241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106.71964947146816</v>
      </c>
      <c r="AA109" s="21">
        <f>EXP(-LN(2)/25)*AA108+(1-EXP(-LN(2)/25))/(LN(2)/25)*Calculateur!V109*Calculateur!X109*VLOOKUP('Données projet'!$B$9,Paramètres!$A$1:$I$89,3,0)*0.475*44/12</f>
        <v>16.364036015654225</v>
      </c>
      <c r="AB109" s="21">
        <f>EXP(-LN(2)/2)*AB108+(1-EXP(-LN(2)/2))/(LN(2)/2)*V109*Y109*VLOOKUP('Données projet'!$B$9,Paramètres!$A$1:$I$89,3,0)*0.475*44/12</f>
        <v>4.6112286454070625E-6</v>
      </c>
      <c r="AC109" s="22">
        <f t="shared" si="57"/>
        <v>123.08369009835103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9.9316821433603781E-14</v>
      </c>
      <c r="AK109" s="13">
        <f t="shared" si="89"/>
        <v>1.4932118279712753E-12</v>
      </c>
      <c r="AL109" s="20">
        <f t="shared" si="58"/>
        <v>2.7736540643801645E-12</v>
      </c>
      <c r="AM109" s="59">
        <f t="shared" si="59"/>
        <v>293.3333333333361</v>
      </c>
      <c r="AN109" s="59">
        <f ca="1">AVERAGE(OFFSET($AM$3,0,0,'Données projet'!$E$10+1,1))-AVERAGE(OFFSET($H$3,0,0,'Données projet'!$E$10+1,1))</f>
        <v>208.92731420103507</v>
      </c>
      <c r="AO109" s="59">
        <f t="shared" si="90"/>
        <v>247.96048911281395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23.920470530146691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23.920470530146691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-2.8421709430404007E-13</v>
      </c>
      <c r="BE109" s="13">
        <f>BD109*VLOOKUP('Données projet'!$B$11,Paramètres!$A$1:$I$89,3,0)*VLOOKUP('Données projet'!$B$11,Paramètres!$A$1:$I$89,5,0)</f>
        <v>-2.0838797354372215E-13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162.3892440844827</v>
      </c>
      <c r="BJ109" s="59">
        <f t="shared" si="92"/>
        <v>198.28846462484438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29.621471493447128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29.621471493447128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378.17323480030268</v>
      </c>
      <c r="T110" s="59">
        <f t="shared" si="88"/>
        <v>471.89239871617241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104.62694223789148</v>
      </c>
      <c r="AA110" s="21">
        <f>EXP(-LN(2)/25)*AA109+(1-EXP(-LN(2)/25))/(LN(2)/25)*Calculateur!V110*Calculateur!X110*VLOOKUP('Données projet'!$B$9,Paramètres!$A$1:$I$89,3,0)*0.475*44/12</f>
        <v>15.916560590258907</v>
      </c>
      <c r="AB110" s="21">
        <f>EXP(-LN(2)/2)*AB109+(1-EXP(-LN(2)/2))/(LN(2)/2)*V110*Y110*VLOOKUP('Données projet'!$B$9,Paramètres!$A$1:$I$89,3,0)*0.475*44/12</f>
        <v>3.2606310447689917E-6</v>
      </c>
      <c r="AC110" s="22">
        <f t="shared" si="57"/>
        <v>120.54350608878144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9.9316821433603781E-14</v>
      </c>
      <c r="AK110" s="13">
        <f t="shared" si="89"/>
        <v>1.4932118279712753E-12</v>
      </c>
      <c r="AL110" s="20">
        <f t="shared" si="58"/>
        <v>2.7736540643801645E-12</v>
      </c>
      <c r="AM110" s="59">
        <f t="shared" si="59"/>
        <v>293.3333333333361</v>
      </c>
      <c r="AN110" s="59">
        <f ca="1">AVERAGE(OFFSET($AM$3,0,0,'Données projet'!$E$10+1,1))-AVERAGE(OFFSET($H$3,0,0,'Données projet'!$E$10+1,1))</f>
        <v>208.92731420103507</v>
      </c>
      <c r="AO110" s="59">
        <f t="shared" si="90"/>
        <v>247.96048911281395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23.45140469309689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23.45140469309689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-2.8421709430404007E-13</v>
      </c>
      <c r="BE110" s="13">
        <f>BD110*VLOOKUP('Données projet'!$B$11,Paramètres!$A$1:$I$89,3,0)*VLOOKUP('Données projet'!$B$11,Paramètres!$A$1:$I$89,5,0)</f>
        <v>-2.0838797354372215E-13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162.3892440844827</v>
      </c>
      <c r="BJ110" s="59">
        <f t="shared" si="92"/>
        <v>198.28846462484438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29.040612504774241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29.040612504774241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378.17323480030268</v>
      </c>
      <c r="T111" s="59">
        <f t="shared" si="88"/>
        <v>471.89239871617241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102.57527171673988</v>
      </c>
      <c r="AA111" s="21">
        <f>EXP(-LN(2)/25)*AA110+(1-EXP(-LN(2)/25))/(LN(2)/25)*Calculateur!V111*Calculateur!X111*VLOOKUP('Données projet'!$B$9,Paramètres!$A$1:$I$89,3,0)*0.475*44/12</f>
        <v>15.481321403902733</v>
      </c>
      <c r="AB111" s="21">
        <f>EXP(-LN(2)/2)*AB110+(1-EXP(-LN(2)/2))/(LN(2)/2)*V111*Y111*VLOOKUP('Données projet'!$B$9,Paramètres!$A$1:$I$89,3,0)*0.475*44/12</f>
        <v>2.3056143227035312E-6</v>
      </c>
      <c r="AC111" s="22">
        <f t="shared" si="57"/>
        <v>118.05659542625693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9.9316821433603781E-14</v>
      </c>
      <c r="AK111" s="13">
        <f t="shared" si="89"/>
        <v>1.4932118279712753E-12</v>
      </c>
      <c r="AL111" s="20">
        <f t="shared" si="58"/>
        <v>2.7736540643801645E-12</v>
      </c>
      <c r="AM111" s="59">
        <f t="shared" si="59"/>
        <v>293.3333333333361</v>
      </c>
      <c r="AN111" s="59">
        <f ca="1">AVERAGE(OFFSET($AM$3,0,0,'Données projet'!$E$10+1,1))-AVERAGE(OFFSET($H$3,0,0,'Données projet'!$E$10+1,1))</f>
        <v>208.92731420103507</v>
      </c>
      <c r="AO111" s="59">
        <f t="shared" si="90"/>
        <v>247.96048911281395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22.991536951009724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22.991536951009724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-2.8421709430404007E-13</v>
      </c>
      <c r="BE111" s="13">
        <f>BD111*VLOOKUP('Données projet'!$B$11,Paramètres!$A$1:$I$89,3,0)*VLOOKUP('Données projet'!$B$11,Paramètres!$A$1:$I$89,5,0)</f>
        <v>-2.0838797354372215E-13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162.3892440844827</v>
      </c>
      <c r="BJ111" s="59">
        <f t="shared" si="92"/>
        <v>198.28846462484438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28.47114380658023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28.47114380658023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378.17323480030268</v>
      </c>
      <c r="T112" s="59">
        <f t="shared" si="88"/>
        <v>471.89239871617241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100.56383320311259</v>
      </c>
      <c r="AA112" s="21">
        <f>EXP(-LN(2)/25)*AA111+(1-EXP(-LN(2)/25))/(LN(2)/25)*Calculateur!V112*Calculateur!X112*VLOOKUP('Données projet'!$B$9,Paramètres!$A$1:$I$89,3,0)*0.475*44/12</f>
        <v>15.057983855985704</v>
      </c>
      <c r="AB112" s="21">
        <f>EXP(-LN(2)/2)*AB111+(1-EXP(-LN(2)/2))/(LN(2)/2)*V112*Y112*VLOOKUP('Données projet'!$B$9,Paramètres!$A$1:$I$89,3,0)*0.475*44/12</f>
        <v>1.6303155223844958E-6</v>
      </c>
      <c r="AC112" s="22">
        <f t="shared" si="57"/>
        <v>115.62181868941383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9.9316821433603781E-14</v>
      </c>
      <c r="AK112" s="13">
        <f t="shared" si="89"/>
        <v>1.4932118279712753E-12</v>
      </c>
      <c r="AL112" s="20">
        <f t="shared" si="58"/>
        <v>2.7736540643801645E-12</v>
      </c>
      <c r="AM112" s="59">
        <f t="shared" si="59"/>
        <v>293.3333333333361</v>
      </c>
      <c r="AN112" s="59">
        <f ca="1">AVERAGE(OFFSET($AM$3,0,0,'Données projet'!$E$10+1,1))-AVERAGE(OFFSET($H$3,0,0,'Données projet'!$E$10+1,1))</f>
        <v>208.92731420103507</v>
      </c>
      <c r="AO112" s="59">
        <f t="shared" si="90"/>
        <v>247.96048911281395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22.540686934853262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22.540686934853262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-2.8421709430404007E-13</v>
      </c>
      <c r="BE112" s="13">
        <f>BD112*VLOOKUP('Données projet'!$B$11,Paramètres!$A$1:$I$89,3,0)*VLOOKUP('Données projet'!$B$11,Paramètres!$A$1:$I$89,5,0)</f>
        <v>-2.0838797354372215E-13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162.3892440844827</v>
      </c>
      <c r="BJ112" s="59">
        <f t="shared" si="92"/>
        <v>198.28846462484438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27.912842042216194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27.912842042216194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378.17323480030268</v>
      </c>
      <c r="T113" s="59">
        <f t="shared" si="88"/>
        <v>471.89239871617241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98.591837771881202</v>
      </c>
      <c r="AA113" s="21">
        <f>EXP(-LN(2)/25)*AA112+(1-EXP(-LN(2)/25))/(LN(2)/25)*Calculateur!V113*Calculateur!X113*VLOOKUP('Données projet'!$B$9,Paramètres!$A$1:$I$89,3,0)*0.475*44/12</f>
        <v>14.646222495578819</v>
      </c>
      <c r="AB113" s="21">
        <f>EXP(-LN(2)/2)*AB112+(1-EXP(-LN(2)/2))/(LN(2)/2)*V113*Y113*VLOOKUP('Données projet'!$B$9,Paramètres!$A$1:$I$89,3,0)*0.475*44/12</f>
        <v>1.1528071613517656E-6</v>
      </c>
      <c r="AC113" s="22">
        <f t="shared" si="57"/>
        <v>113.23806142026717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9.9316821433603781E-14</v>
      </c>
      <c r="AK113" s="13">
        <f t="shared" si="89"/>
        <v>1.4932118279712753E-12</v>
      </c>
      <c r="AL113" s="20">
        <f t="shared" si="58"/>
        <v>2.7736540643801645E-12</v>
      </c>
      <c r="AM113" s="59">
        <f t="shared" si="59"/>
        <v>293.3333333333361</v>
      </c>
      <c r="AN113" s="59">
        <f ca="1">AVERAGE(OFFSET($AM$3,0,0,'Données projet'!$E$10+1,1))-AVERAGE(OFFSET($H$3,0,0,'Données projet'!$E$10+1,1))</f>
        <v>208.92731420103507</v>
      </c>
      <c r="AO113" s="59">
        <f t="shared" si="90"/>
        <v>247.96048911281395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22.098677812522272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22.098677812522272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-2.8421709430404007E-13</v>
      </c>
      <c r="BE113" s="13">
        <f>BD113*VLOOKUP('Données projet'!$B$11,Paramètres!$A$1:$I$89,3,0)*VLOOKUP('Données projet'!$B$11,Paramètres!$A$1:$I$89,5,0)</f>
        <v>-2.0838797354372215E-13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162.3892440844827</v>
      </c>
      <c r="BJ113" s="59">
        <f t="shared" si="92"/>
        <v>198.28846462484438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27.365488234920885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27.365488234920885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378.17323480030268</v>
      </c>
      <c r="T114" s="59">
        <f t="shared" si="88"/>
        <v>471.89239871617241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96.658511968257812</v>
      </c>
      <c r="AA114" s="21">
        <f>EXP(-LN(2)/25)*AA113+(1-EXP(-LN(2)/25))/(LN(2)/25)*Calculateur!V114*Calculateur!X114*VLOOKUP('Données projet'!$B$9,Paramètres!$A$1:$I$89,3,0)*0.475*44/12</f>
        <v>14.24572077122585</v>
      </c>
      <c r="AB114" s="21">
        <f>EXP(-LN(2)/2)*AB113+(1-EXP(-LN(2)/2))/(LN(2)/2)*V114*Y114*VLOOKUP('Données projet'!$B$9,Paramètres!$A$1:$I$89,3,0)*0.475*44/12</f>
        <v>8.1515776119224792E-7</v>
      </c>
      <c r="AC114" s="22">
        <f t="shared" si="57"/>
        <v>110.90423355464142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9.9316821433603781E-14</v>
      </c>
      <c r="AK114" s="13">
        <f t="shared" si="89"/>
        <v>1.4932118279712753E-12</v>
      </c>
      <c r="AL114" s="20">
        <f t="shared" si="58"/>
        <v>2.7736540643801645E-12</v>
      </c>
      <c r="AM114" s="59">
        <f t="shared" si="59"/>
        <v>293.3333333333361</v>
      </c>
      <c r="AN114" s="59">
        <f ca="1">AVERAGE(OFFSET($AM$3,0,0,'Données projet'!$E$10+1,1))-AVERAGE(OFFSET($H$3,0,0,'Données projet'!$E$10+1,1))</f>
        <v>208.92731420103507</v>
      </c>
      <c r="AO114" s="59">
        <f t="shared" si="90"/>
        <v>247.96048911281395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21.665336219481247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21.665336219481247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-2.8421709430404007E-13</v>
      </c>
      <c r="BE114" s="13">
        <f>BD114*VLOOKUP('Données projet'!$B$11,Paramètres!$A$1:$I$89,3,0)*VLOOKUP('Données projet'!$B$11,Paramètres!$A$1:$I$89,5,0)</f>
        <v>-2.0838797354372215E-13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162.3892440844827</v>
      </c>
      <c r="BJ114" s="59">
        <f t="shared" si="92"/>
        <v>198.28846462484438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26.828867701933781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26.828867701933781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378.17323480030268</v>
      </c>
      <c r="T115" s="59">
        <f t="shared" si="88"/>
        <v>471.89239871617241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94.763097504431173</v>
      </c>
      <c r="AA115" s="21">
        <f>EXP(-LN(2)/25)*AA114+(1-EXP(-LN(2)/25))/(LN(2)/25)*Calculateur!V115*Calculateur!X115*VLOOKUP('Données projet'!$B$9,Paramètres!$A$1:$I$89,3,0)*0.475*44/12</f>
        <v>13.856170787586782</v>
      </c>
      <c r="AB115" s="21">
        <f>EXP(-LN(2)/2)*AB114+(1-EXP(-LN(2)/2))/(LN(2)/2)*V115*Y115*VLOOKUP('Données projet'!$B$9,Paramètres!$A$1:$I$89,3,0)*0.475*44/12</f>
        <v>5.7640358067588281E-7</v>
      </c>
      <c r="AC115" s="22">
        <f t="shared" si="57"/>
        <v>108.61926886842153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9.9316821433603781E-14</v>
      </c>
      <c r="AK115" s="13">
        <f t="shared" si="89"/>
        <v>1.4932118279712753E-12</v>
      </c>
      <c r="AL115" s="20">
        <f t="shared" si="58"/>
        <v>2.7736540643801645E-12</v>
      </c>
      <c r="AM115" s="59">
        <f t="shared" si="59"/>
        <v>293.3333333333361</v>
      </c>
      <c r="AN115" s="59">
        <f ca="1">AVERAGE(OFFSET($AM$3,0,0,'Données projet'!$E$10+1,1))-AVERAGE(OFFSET($H$3,0,0,'Données projet'!$E$10+1,1))</f>
        <v>208.92731420103507</v>
      </c>
      <c r="AO115" s="59">
        <f t="shared" si="90"/>
        <v>247.96048911281395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21.240492190767487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21.240492190767487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-2.8421709430404007E-13</v>
      </c>
      <c r="BE115" s="13">
        <f>BD115*VLOOKUP('Données projet'!$B$11,Paramètres!$A$1:$I$89,3,0)*VLOOKUP('Données projet'!$B$11,Paramètres!$A$1:$I$89,5,0)</f>
        <v>-2.0838797354372215E-13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162.3892440844827</v>
      </c>
      <c r="BJ115" s="59">
        <f t="shared" si="92"/>
        <v>198.28846462484438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26.302769970292349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26.302769970292349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378.17323480030268</v>
      </c>
      <c r="T116" s="59">
        <f t="shared" si="88"/>
        <v>471.89239871617241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92.9048509621515</v>
      </c>
      <c r="AA116" s="21">
        <f>EXP(-LN(2)/25)*AA115+(1-EXP(-LN(2)/25))/(LN(2)/25)*Calculateur!V116*Calculateur!X116*VLOOKUP('Données projet'!$B$9,Paramètres!$A$1:$I$89,3,0)*0.475*44/12</f>
        <v>13.477273068735869</v>
      </c>
      <c r="AB116" s="21">
        <f>EXP(-LN(2)/2)*AB115+(1-EXP(-LN(2)/2))/(LN(2)/2)*V116*Y116*VLOOKUP('Données projet'!$B$9,Paramètres!$A$1:$I$89,3,0)*0.475*44/12</f>
        <v>4.0757888059612396E-7</v>
      </c>
      <c r="AC116" s="22">
        <f t="shared" si="57"/>
        <v>106.38212443846625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9.9316821433603781E-14</v>
      </c>
      <c r="AK116" s="13">
        <f t="shared" si="89"/>
        <v>1.4932118279712753E-12</v>
      </c>
      <c r="AL116" s="20">
        <f t="shared" si="58"/>
        <v>2.7736540643801645E-12</v>
      </c>
      <c r="AM116" s="59">
        <f t="shared" si="59"/>
        <v>293.3333333333361</v>
      </c>
      <c r="AN116" s="59">
        <f ca="1">AVERAGE(OFFSET($AM$3,0,0,'Données projet'!$E$10+1,1))-AVERAGE(OFFSET($H$3,0,0,'Données projet'!$E$10+1,1))</f>
        <v>208.92731420103507</v>
      </c>
      <c r="AO116" s="59">
        <f t="shared" si="90"/>
        <v>247.96048911281395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20.82397909432753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20.82397909432753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-2.8421709430404007E-13</v>
      </c>
      <c r="BE116" s="13">
        <f>BD116*VLOOKUP('Données projet'!$B$11,Paramètres!$A$1:$I$89,3,0)*VLOOKUP('Données projet'!$B$11,Paramètres!$A$1:$I$89,5,0)</f>
        <v>-2.0838797354372215E-13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162.3892440844827</v>
      </c>
      <c r="BJ116" s="59">
        <f t="shared" si="92"/>
        <v>198.28846462484438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25.786988694280474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25.786988694280474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378.17323480030268</v>
      </c>
      <c r="T117" s="59">
        <f t="shared" si="88"/>
        <v>471.89239871617241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91.083043501147458</v>
      </c>
      <c r="AA117" s="21">
        <f>EXP(-LN(2)/25)*AA116+(1-EXP(-LN(2)/25))/(LN(2)/25)*Calculateur!V117*Calculateur!X117*VLOOKUP('Données projet'!$B$9,Paramètres!$A$1:$I$89,3,0)*0.475*44/12</f>
        <v>13.108736327932299</v>
      </c>
      <c r="AB117" s="21">
        <f>EXP(-LN(2)/2)*AB116+(1-EXP(-LN(2)/2))/(LN(2)/2)*V117*Y117*VLOOKUP('Données projet'!$B$9,Paramètres!$A$1:$I$89,3,0)*0.475*44/12</f>
        <v>2.882017903379414E-7</v>
      </c>
      <c r="AC117" s="22">
        <f t="shared" si="57"/>
        <v>104.19178011728155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9.9316821433603781E-14</v>
      </c>
      <c r="AK117" s="13">
        <f t="shared" si="89"/>
        <v>1.4932118279712753E-12</v>
      </c>
      <c r="AL117" s="20">
        <f t="shared" si="58"/>
        <v>2.7736540643801645E-12</v>
      </c>
      <c r="AM117" s="59">
        <f t="shared" si="59"/>
        <v>293.3333333333361</v>
      </c>
      <c r="AN117" s="59">
        <f ca="1">AVERAGE(OFFSET($AM$3,0,0,'Données projet'!$E$10+1,1))-AVERAGE(OFFSET($H$3,0,0,'Données projet'!$E$10+1,1))</f>
        <v>208.92731420103507</v>
      </c>
      <c r="AO117" s="59">
        <f t="shared" si="90"/>
        <v>247.96048911281395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20.415633565660858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20.415633565660858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-2.8421709430404007E-13</v>
      </c>
      <c r="BE117" s="13">
        <f>BD117*VLOOKUP('Données projet'!$B$11,Paramètres!$A$1:$I$89,3,0)*VLOOKUP('Données projet'!$B$11,Paramètres!$A$1:$I$89,5,0)</f>
        <v>-2.0838797354372215E-13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162.3892440844827</v>
      </c>
      <c r="BJ117" s="59">
        <f t="shared" si="92"/>
        <v>198.28846462484438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25.281321574495674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25.281321574495674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378.17323480030268</v>
      </c>
      <c r="T118" s="59">
        <f t="shared" si="88"/>
        <v>471.89239871617241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89.296960573260876</v>
      </c>
      <c r="AA118" s="21">
        <f>EXP(-LN(2)/25)*AA117+(1-EXP(-LN(2)/25))/(LN(2)/25)*Calculateur!V118*Calculateur!X118*VLOOKUP('Données projet'!$B$9,Paramètres!$A$1:$I$89,3,0)*0.475*44/12</f>
        <v>12.750277243686506</v>
      </c>
      <c r="AB118" s="21">
        <f>EXP(-LN(2)/2)*AB117+(1-EXP(-LN(2)/2))/(LN(2)/2)*V118*Y118*VLOOKUP('Données projet'!$B$9,Paramètres!$A$1:$I$89,3,0)*0.475*44/12</f>
        <v>2.0378944029806198E-7</v>
      </c>
      <c r="AC118" s="22">
        <f t="shared" si="57"/>
        <v>102.04723802073683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9.9316821433603781E-14</v>
      </c>
      <c r="AK118" s="13">
        <f t="shared" si="89"/>
        <v>1.4932118279712753E-12</v>
      </c>
      <c r="AL118" s="20">
        <f t="shared" si="58"/>
        <v>2.7736540643801645E-12</v>
      </c>
      <c r="AM118" s="59">
        <f t="shared" si="59"/>
        <v>293.3333333333361</v>
      </c>
      <c r="AN118" s="59">
        <f ca="1">AVERAGE(OFFSET($AM$3,0,0,'Données projet'!$E$10+1,1))-AVERAGE(OFFSET($H$3,0,0,'Données projet'!$E$10+1,1))</f>
        <v>208.92731420103507</v>
      </c>
      <c r="AO118" s="59">
        <f t="shared" si="90"/>
        <v>247.96048911281395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20.01529544374516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20.01529544374516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-2.8421709430404007E-13</v>
      </c>
      <c r="BE118" s="13">
        <f>BD118*VLOOKUP('Données projet'!$B$11,Paramètres!$A$1:$I$89,3,0)*VLOOKUP('Données projet'!$B$11,Paramètres!$A$1:$I$89,5,0)</f>
        <v>-2.0838797354372215E-13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162.3892440844827</v>
      </c>
      <c r="BJ118" s="59">
        <f t="shared" si="92"/>
        <v>198.28846462484438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24.785570278503368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24.785570278503368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378.17323480030268</v>
      </c>
      <c r="T119" s="59">
        <f t="shared" si="88"/>
        <v>471.89239871617241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87.545901642187133</v>
      </c>
      <c r="AA119" s="21">
        <f>EXP(-LN(2)/25)*AA118+(1-EXP(-LN(2)/25))/(LN(2)/25)*Calculateur!V119*Calculateur!X119*VLOOKUP('Données projet'!$B$9,Paramètres!$A$1:$I$89,3,0)*0.475*44/12</f>
        <v>12.40162024194996</v>
      </c>
      <c r="AB119" s="21">
        <f>EXP(-LN(2)/2)*AB118+(1-EXP(-LN(2)/2))/(LN(2)/2)*V119*Y119*VLOOKUP('Données projet'!$B$9,Paramètres!$A$1:$I$89,3,0)*0.475*44/12</f>
        <v>1.441008951689707E-7</v>
      </c>
      <c r="AC119" s="22">
        <f t="shared" si="57"/>
        <v>99.947522028237984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9.9316821433603781E-14</v>
      </c>
      <c r="AK119" s="13">
        <f t="shared" si="89"/>
        <v>1.4932118279712753E-12</v>
      </c>
      <c r="AL119" s="20">
        <f t="shared" si="58"/>
        <v>2.7736540643801645E-12</v>
      </c>
      <c r="AM119" s="59">
        <f t="shared" si="59"/>
        <v>293.3333333333361</v>
      </c>
      <c r="AN119" s="59">
        <f ca="1">AVERAGE(OFFSET($AM$3,0,0,'Données projet'!$E$10+1,1))-AVERAGE(OFFSET($H$3,0,0,'Données projet'!$E$10+1,1))</f>
        <v>208.92731420103507</v>
      </c>
      <c r="AO119" s="59">
        <f t="shared" si="90"/>
        <v>247.96048911281395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19.622807708218087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19.622807708218087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-2.8421709430404007E-13</v>
      </c>
      <c r="BE119" s="13">
        <f>BD119*VLOOKUP('Données projet'!$B$11,Paramètres!$A$1:$I$89,3,0)*VLOOKUP('Données projet'!$B$11,Paramètres!$A$1:$I$89,5,0)</f>
        <v>-2.0838797354372215E-13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162.3892440844827</v>
      </c>
      <c r="BJ119" s="59">
        <f t="shared" si="92"/>
        <v>198.28846462484438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24.299540363047036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24.299540363047036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378.17323480030268</v>
      </c>
      <c r="T120" s="59">
        <f t="shared" si="88"/>
        <v>471.89239871617241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85.829179908711254</v>
      </c>
      <c r="AA120" s="21">
        <f>EXP(-LN(2)/25)*AA119+(1-EXP(-LN(2)/25))/(LN(2)/25)*Calculateur!V120*Calculateur!X120*VLOOKUP('Données projet'!$B$9,Paramètres!$A$1:$I$89,3,0)*0.475*44/12</f>
        <v>12.062497284260974</v>
      </c>
      <c r="AB120" s="21">
        <f>EXP(-LN(2)/2)*AB119+(1-EXP(-LN(2)/2))/(LN(2)/2)*V120*Y120*VLOOKUP('Données projet'!$B$9,Paramètres!$A$1:$I$89,3,0)*0.475*44/12</f>
        <v>1.0189472014903099E-7</v>
      </c>
      <c r="AC120" s="22">
        <f t="shared" si="57"/>
        <v>97.891677294866938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9.9316821433603781E-14</v>
      </c>
      <c r="AK120" s="13">
        <f t="shared" si="89"/>
        <v>1.4932118279712753E-12</v>
      </c>
      <c r="AL120" s="20">
        <f t="shared" si="58"/>
        <v>2.7736540643801645E-12</v>
      </c>
      <c r="AM120" s="59">
        <f t="shared" si="59"/>
        <v>293.3333333333361</v>
      </c>
      <c r="AN120" s="59">
        <f ca="1">AVERAGE(OFFSET($AM$3,0,0,'Données projet'!$E$10+1,1))-AVERAGE(OFFSET($H$3,0,0,'Données projet'!$E$10+1,1))</f>
        <v>208.92731420103507</v>
      </c>
      <c r="AO120" s="59">
        <f t="shared" si="90"/>
        <v>247.96048911281395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19.238016417790817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19.238016417790817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-2.8421709430404007E-13</v>
      </c>
      <c r="BE120" s="13">
        <f>BD120*VLOOKUP('Données projet'!$B$11,Paramètres!$A$1:$I$89,3,0)*VLOOKUP('Données projet'!$B$11,Paramètres!$A$1:$I$89,5,0)</f>
        <v>-2.0838797354372215E-13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162.3892440844827</v>
      </c>
      <c r="BJ120" s="59">
        <f t="shared" si="92"/>
        <v>198.28846462484438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23.823041197783827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23.823041197783827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378.17323480030268</v>
      </c>
      <c r="T121" s="59">
        <f t="shared" si="88"/>
        <v>471.89239871617241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84.146122041331978</v>
      </c>
      <c r="AA121" s="21">
        <f>EXP(-LN(2)/25)*AA120+(1-EXP(-LN(2)/25))/(LN(2)/25)*Calculateur!V121*Calculateur!X121*VLOOKUP('Données projet'!$B$9,Paramètres!$A$1:$I$89,3,0)*0.475*44/12</f>
        <v>11.732647661683695</v>
      </c>
      <c r="AB121" s="21">
        <f>EXP(-LN(2)/2)*AB120+(1-EXP(-LN(2)/2))/(LN(2)/2)*V121*Y121*VLOOKUP('Données projet'!$B$9,Paramètres!$A$1:$I$89,3,0)*0.475*44/12</f>
        <v>7.2050447584485351E-8</v>
      </c>
      <c r="AC121" s="22">
        <f t="shared" si="57"/>
        <v>95.878769775066132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9.9316821433603781E-14</v>
      </c>
      <c r="AK121" s="13">
        <f t="shared" si="89"/>
        <v>1.4932118279712753E-12</v>
      </c>
      <c r="AL121" s="20">
        <f t="shared" si="58"/>
        <v>2.7736540643801645E-12</v>
      </c>
      <c r="AM121" s="59">
        <f t="shared" si="59"/>
        <v>293.3333333333361</v>
      </c>
      <c r="AN121" s="59">
        <f ca="1">AVERAGE(OFFSET($AM$3,0,0,'Données projet'!$E$10+1,1))-AVERAGE(OFFSET($H$3,0,0,'Données projet'!$E$10+1,1))</f>
        <v>208.92731420103507</v>
      </c>
      <c r="AO121" s="59">
        <f t="shared" si="90"/>
        <v>247.96048911281395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18.860770649869316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18.860770649869316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-2.8421709430404007E-13</v>
      </c>
      <c r="BE121" s="13">
        <f>BD121*VLOOKUP('Données projet'!$B$11,Paramètres!$A$1:$I$89,3,0)*VLOOKUP('Données projet'!$B$11,Paramètres!$A$1:$I$89,5,0)</f>
        <v>-2.0838797354372215E-13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162.3892440844827</v>
      </c>
      <c r="BJ121" s="59">
        <f t="shared" si="92"/>
        <v>198.28846462484438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23.355885890515637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23.355885890515637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378.17323480030268</v>
      </c>
      <c r="T122" s="59">
        <f t="shared" si="88"/>
        <v>471.89239871617241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82.496067912168073</v>
      </c>
      <c r="AA122" s="21">
        <f>EXP(-LN(2)/25)*AA121+(1-EXP(-LN(2)/25))/(LN(2)/25)*Calculateur!V122*Calculateur!X122*VLOOKUP('Données projet'!$B$9,Paramètres!$A$1:$I$89,3,0)*0.475*44/12</f>
        <v>11.411817794381829</v>
      </c>
      <c r="AB122" s="21">
        <f>EXP(-LN(2)/2)*AB121+(1-EXP(-LN(2)/2))/(LN(2)/2)*V122*Y122*VLOOKUP('Données projet'!$B$9,Paramètres!$A$1:$I$89,3,0)*0.475*44/12</f>
        <v>5.0947360074515495E-8</v>
      </c>
      <c r="AC122" s="22">
        <f t="shared" si="57"/>
        <v>93.907885757497269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9.9316821433603781E-14</v>
      </c>
      <c r="AK122" s="13">
        <f t="shared" si="89"/>
        <v>1.4932118279712753E-12</v>
      </c>
      <c r="AL122" s="20">
        <f t="shared" si="58"/>
        <v>2.7736540643801645E-12</v>
      </c>
      <c r="AM122" s="59">
        <f t="shared" si="59"/>
        <v>293.3333333333361</v>
      </c>
      <c r="AN122" s="59">
        <f ca="1">AVERAGE(OFFSET($AM$3,0,0,'Données projet'!$E$10+1,1))-AVERAGE(OFFSET($H$3,0,0,'Données projet'!$E$10+1,1))</f>
        <v>208.92731420103507</v>
      </c>
      <c r="AO122" s="59">
        <f t="shared" si="90"/>
        <v>247.96048911281395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18.490922441359555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18.490922441359555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-2.8421709430404007E-13</v>
      </c>
      <c r="BE122" s="13">
        <f>BD122*VLOOKUP('Données projet'!$B$11,Paramètres!$A$1:$I$89,3,0)*VLOOKUP('Données projet'!$B$11,Paramètres!$A$1:$I$89,5,0)</f>
        <v>-2.0838797354372215E-13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162.3892440844827</v>
      </c>
      <c r="BJ122" s="59">
        <f t="shared" si="92"/>
        <v>198.28846462484438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22.897891213886375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22.897891213886375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378.17323480030268</v>
      </c>
      <c r="T123" s="59">
        <f t="shared" si="88"/>
        <v>471.89239871617241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80.878370338043425</v>
      </c>
      <c r="AA123" s="21">
        <f>EXP(-LN(2)/25)*AA122+(1-EXP(-LN(2)/25))/(LN(2)/25)*Calculateur!V123*Calculateur!X123*VLOOKUP('Données projet'!$B$9,Paramètres!$A$1:$I$89,3,0)*0.475*44/12</f>
        <v>11.099761036673042</v>
      </c>
      <c r="AB123" s="21">
        <f>EXP(-LN(2)/2)*AB122+(1-EXP(-LN(2)/2))/(LN(2)/2)*V123*Y123*VLOOKUP('Données projet'!$B$9,Paramètres!$A$1:$I$89,3,0)*0.475*44/12</f>
        <v>3.6025223792242676E-8</v>
      </c>
      <c r="AC123" s="22">
        <f t="shared" si="57"/>
        <v>91.978131410741696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9.9316821433603781E-14</v>
      </c>
      <c r="AK123" s="13">
        <f t="shared" si="89"/>
        <v>1.4932118279712753E-12</v>
      </c>
      <c r="AL123" s="20">
        <f t="shared" si="58"/>
        <v>2.7736540643801645E-12</v>
      </c>
      <c r="AM123" s="59">
        <f t="shared" si="59"/>
        <v>293.3333333333361</v>
      </c>
      <c r="AN123" s="59">
        <f ca="1">AVERAGE(OFFSET($AM$3,0,0,'Données projet'!$E$10+1,1))-AVERAGE(OFFSET($H$3,0,0,'Données projet'!$E$10+1,1))</f>
        <v>208.92731420103507</v>
      </c>
      <c r="AO123" s="59">
        <f t="shared" si="90"/>
        <v>247.96048911281395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18.128326730633539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18.128326730633539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-2.8421709430404007E-13</v>
      </c>
      <c r="BE123" s="13">
        <f>BD123*VLOOKUP('Données projet'!$B$11,Paramètres!$A$1:$I$89,3,0)*VLOOKUP('Données projet'!$B$11,Paramètres!$A$1:$I$89,5,0)</f>
        <v>-2.0838797354372215E-13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162.3892440844827</v>
      </c>
      <c r="BJ123" s="59">
        <f t="shared" si="92"/>
        <v>198.28846462484438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22.448877533516644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22.448877533516644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378.17323480030268</v>
      </c>
      <c r="T124" s="59">
        <f t="shared" si="88"/>
        <v>471.89239871617241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79.292394826649272</v>
      </c>
      <c r="AA124" s="21">
        <f>EXP(-LN(2)/25)*AA123+(1-EXP(-LN(2)/25))/(LN(2)/25)*Calculateur!V124*Calculateur!X124*VLOOKUP('Données projet'!$B$9,Paramètres!$A$1:$I$89,3,0)*0.475*44/12</f>
        <v>10.796237487414153</v>
      </c>
      <c r="AB124" s="21">
        <f>EXP(-LN(2)/2)*AB123+(1-EXP(-LN(2)/2))/(LN(2)/2)*V124*Y124*VLOOKUP('Données projet'!$B$9,Paramètres!$A$1:$I$89,3,0)*0.475*44/12</f>
        <v>2.5473680037257748E-8</v>
      </c>
      <c r="AC124" s="22">
        <f t="shared" si="57"/>
        <v>90.088632339537114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9.9316821433603781E-14</v>
      </c>
      <c r="AK124" s="13">
        <f t="shared" si="89"/>
        <v>1.4932118279712753E-12</v>
      </c>
      <c r="AL124" s="20">
        <f t="shared" si="58"/>
        <v>2.7736540643801645E-12</v>
      </c>
      <c r="AM124" s="59">
        <f t="shared" si="59"/>
        <v>293.3333333333361</v>
      </c>
      <c r="AN124" s="59">
        <f ca="1">AVERAGE(OFFSET($AM$3,0,0,'Données projet'!$E$10+1,1))-AVERAGE(OFFSET($H$3,0,0,'Données projet'!$E$10+1,1))</f>
        <v>208.92731420103507</v>
      </c>
      <c r="AO124" s="59">
        <f t="shared" si="90"/>
        <v>247.96048911281395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17.772841300633313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17.772841300633313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-2.8421709430404007E-13</v>
      </c>
      <c r="BE124" s="13">
        <f>BD124*VLOOKUP('Données projet'!$B$11,Paramètres!$A$1:$I$89,3,0)*VLOOKUP('Données projet'!$B$11,Paramètres!$A$1:$I$89,5,0)</f>
        <v>-2.0838797354372215E-13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162.3892440844827</v>
      </c>
      <c r="BJ124" s="59">
        <f t="shared" si="92"/>
        <v>198.28846462484438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22.008668737547659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22.008668737547659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378.17323480030268</v>
      </c>
      <c r="T125" s="59">
        <f t="shared" si="88"/>
        <v>471.89239871617241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77.737519327684012</v>
      </c>
      <c r="AA125" s="21">
        <f>EXP(-LN(2)/25)*AA124+(1-EXP(-LN(2)/25))/(LN(2)/25)*Calculateur!V125*Calculateur!X125*VLOOKUP('Données projet'!$B$9,Paramètres!$A$1:$I$89,3,0)*0.475*44/12</f>
        <v>10.501013805571359</v>
      </c>
      <c r="AB125" s="21">
        <f>EXP(-LN(2)/2)*AB124+(1-EXP(-LN(2)/2))/(LN(2)/2)*V125*Y125*VLOOKUP('Données projet'!$B$9,Paramètres!$A$1:$I$89,3,0)*0.475*44/12</f>
        <v>1.8012611896121338E-8</v>
      </c>
      <c r="AC125" s="22">
        <f t="shared" si="57"/>
        <v>88.238533151267987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9.9316821433603781E-14</v>
      </c>
      <c r="AK125" s="13">
        <f t="shared" si="89"/>
        <v>1.4932118279712753E-12</v>
      </c>
      <c r="AL125" s="20">
        <f t="shared" si="58"/>
        <v>2.7736540643801645E-12</v>
      </c>
      <c r="AM125" s="59">
        <f t="shared" si="59"/>
        <v>293.3333333333361</v>
      </c>
      <c r="AN125" s="59">
        <f ca="1">AVERAGE(OFFSET($AM$3,0,0,'Données projet'!$E$10+1,1))-AVERAGE(OFFSET($H$3,0,0,'Données projet'!$E$10+1,1))</f>
        <v>208.92731420103507</v>
      </c>
      <c r="AO125" s="59">
        <f t="shared" si="90"/>
        <v>247.96048911281395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17.42432672309069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17.42432672309069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-2.8421709430404007E-13</v>
      </c>
      <c r="BE125" s="13">
        <f>BD125*VLOOKUP('Données projet'!$B$11,Paramètres!$A$1:$I$89,3,0)*VLOOKUP('Données projet'!$B$11,Paramètres!$A$1:$I$89,5,0)</f>
        <v>-2.0838797354372215E-13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162.3892440844827</v>
      </c>
      <c r="BJ125" s="59">
        <f t="shared" si="92"/>
        <v>198.28846462484438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21.577092167566772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21.577092167566772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378.17323480030268</v>
      </c>
      <c r="T126" s="59">
        <f t="shared" si="88"/>
        <v>471.89239871617241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76.213133988873054</v>
      </c>
      <c r="AA126" s="21">
        <f>EXP(-LN(2)/25)*AA125+(1-EXP(-LN(2)/25))/(LN(2)/25)*Calculateur!V126*Calculateur!X126*VLOOKUP('Données projet'!$B$9,Paramètres!$A$1:$I$89,3,0)*0.475*44/12</f>
        <v>10.213863030833695</v>
      </c>
      <c r="AB126" s="21">
        <f>EXP(-LN(2)/2)*AB125+(1-EXP(-LN(2)/2))/(LN(2)/2)*V126*Y126*VLOOKUP('Données projet'!$B$9,Paramètres!$A$1:$I$89,3,0)*0.475*44/12</f>
        <v>1.2736840018628874E-8</v>
      </c>
      <c r="AC126" s="22">
        <f t="shared" si="57"/>
        <v>86.42699703244358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9.9316821433603781E-14</v>
      </c>
      <c r="AK126" s="13">
        <f t="shared" si="89"/>
        <v>1.4932118279712753E-12</v>
      </c>
      <c r="AL126" s="20">
        <f t="shared" si="58"/>
        <v>2.7736540643801645E-12</v>
      </c>
      <c r="AM126" s="59">
        <f t="shared" si="59"/>
        <v>293.3333333333361</v>
      </c>
      <c r="AN126" s="59">
        <f ca="1">AVERAGE(OFFSET($AM$3,0,0,'Données projet'!$E$10+1,1))-AVERAGE(OFFSET($H$3,0,0,'Données projet'!$E$10+1,1))</f>
        <v>208.92731420103507</v>
      </c>
      <c r="AO126" s="59">
        <f t="shared" si="90"/>
        <v>247.96048911281395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17.082646303840775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17.082646303840775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-2.8421709430404007E-13</v>
      </c>
      <c r="BE126" s="13">
        <f>BD126*VLOOKUP('Données projet'!$B$11,Paramètres!$A$1:$I$89,3,0)*VLOOKUP('Données projet'!$B$11,Paramètres!$A$1:$I$89,5,0)</f>
        <v>-2.0838797354372215E-13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162.3892440844827</v>
      </c>
      <c r="BJ126" s="59">
        <f t="shared" si="92"/>
        <v>198.28846462484438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21.153978550887494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21.153978550887494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378.17323480030268</v>
      </c>
      <c r="T127" s="59">
        <f t="shared" si="88"/>
        <v>471.89239871617241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74.718640916772927</v>
      </c>
      <c r="AA127" s="21">
        <f>EXP(-LN(2)/25)*AA126+(1-EXP(-LN(2)/25))/(LN(2)/25)*Calculateur!V127*Calculateur!X127*VLOOKUP('Données projet'!$B$9,Paramètres!$A$1:$I$89,3,0)*0.475*44/12</f>
        <v>9.9345644091318341</v>
      </c>
      <c r="AB127" s="21">
        <f>EXP(-LN(2)/2)*AB126+(1-EXP(-LN(2)/2))/(LN(2)/2)*V127*Y127*VLOOKUP('Données projet'!$B$9,Paramètres!$A$1:$I$89,3,0)*0.475*44/12</f>
        <v>9.0063059480606689E-9</v>
      </c>
      <c r="AC127" s="22">
        <f t="shared" si="57"/>
        <v>84.653205334911064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9.9316821433603781E-14</v>
      </c>
      <c r="AK127" s="13">
        <f t="shared" si="89"/>
        <v>1.4932118279712753E-12</v>
      </c>
      <c r="AL127" s="20">
        <f t="shared" si="58"/>
        <v>2.7736540643801645E-12</v>
      </c>
      <c r="AM127" s="59">
        <f t="shared" si="59"/>
        <v>293.3333333333361</v>
      </c>
      <c r="AN127" s="59">
        <f ca="1">AVERAGE(OFFSET($AM$3,0,0,'Données projet'!$E$10+1,1))-AVERAGE(OFFSET($H$3,0,0,'Données projet'!$E$10+1,1))</f>
        <v>208.92731420103507</v>
      </c>
      <c r="AO127" s="59">
        <f t="shared" si="90"/>
        <v>247.96048911281395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16.747666029207874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16.747666029207874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-2.8421709430404007E-13</v>
      </c>
      <c r="BE127" s="13">
        <f>BD127*VLOOKUP('Données projet'!$B$11,Paramètres!$A$1:$I$89,3,0)*VLOOKUP('Données projet'!$B$11,Paramètres!$A$1:$I$89,5,0)</f>
        <v>-2.0838797354372215E-13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162.3892440844827</v>
      </c>
      <c r="BJ127" s="59">
        <f t="shared" si="92"/>
        <v>198.28846462484438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20.739161934157476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20.739161934157476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378.17323480030268</v>
      </c>
      <c r="T128" s="59">
        <f t="shared" si="88"/>
        <v>471.89239871617241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73.253453942265921</v>
      </c>
      <c r="AA128" s="21">
        <f>EXP(-LN(2)/25)*AA127+(1-EXP(-LN(2)/25))/(LN(2)/25)*Calculateur!V128*Calculateur!X128*VLOOKUP('Données projet'!$B$9,Paramètres!$A$1:$I$89,3,0)*0.475*44/12</f>
        <v>9.6629032229280885</v>
      </c>
      <c r="AB128" s="21">
        <f>EXP(-LN(2)/2)*AB127+(1-EXP(-LN(2)/2))/(LN(2)/2)*V128*Y128*VLOOKUP('Données projet'!$B$9,Paramètres!$A$1:$I$89,3,0)*0.475*44/12</f>
        <v>6.3684200093144369E-9</v>
      </c>
      <c r="AC128" s="22">
        <f t="shared" si="57"/>
        <v>82.916357171562439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9.9316821433603781E-14</v>
      </c>
      <c r="AK128" s="13">
        <f t="shared" si="89"/>
        <v>1.4932118279712753E-12</v>
      </c>
      <c r="AL128" s="20">
        <f t="shared" si="58"/>
        <v>2.7736540643801645E-12</v>
      </c>
      <c r="AM128" s="59">
        <f t="shared" si="59"/>
        <v>293.3333333333361</v>
      </c>
      <c r="AN128" s="59">
        <f ca="1">AVERAGE(OFFSET($AM$3,0,0,'Données projet'!$E$10+1,1))-AVERAGE(OFFSET($H$3,0,0,'Données projet'!$E$10+1,1))</f>
        <v>208.92731420103507</v>
      </c>
      <c r="AO128" s="59">
        <f t="shared" si="90"/>
        <v>247.96048911281395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16.419254513442731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16.419254513442731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-2.8421709430404007E-13</v>
      </c>
      <c r="BE128" s="13">
        <f>BD128*VLOOKUP('Données projet'!$B$11,Paramètres!$A$1:$I$89,3,0)*VLOOKUP('Données projet'!$B$11,Paramètres!$A$1:$I$89,5,0)</f>
        <v>-2.0838797354372215E-13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162.3892440844827</v>
      </c>
      <c r="BJ128" s="59">
        <f t="shared" si="92"/>
        <v>198.28846462484438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20.33247961826838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20.33247961826838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378.17323480030268</v>
      </c>
      <c r="T129" s="59">
        <f t="shared" si="88"/>
        <v>471.89239871617241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71.816998390653183</v>
      </c>
      <c r="AA129" s="21">
        <f>EXP(-LN(2)/25)*AA128+(1-EXP(-LN(2)/25))/(LN(2)/25)*Calculateur!V129*Calculateur!X129*VLOOKUP('Données projet'!$B$9,Paramètres!$A$1:$I$89,3,0)*0.475*44/12</f>
        <v>9.3986706261471245</v>
      </c>
      <c r="AB129" s="21">
        <f>EXP(-LN(2)/2)*AB128+(1-EXP(-LN(2)/2))/(LN(2)/2)*V129*Y129*VLOOKUP('Données projet'!$B$9,Paramètres!$A$1:$I$89,3,0)*0.475*44/12</f>
        <v>4.5031529740303344E-9</v>
      </c>
      <c r="AC129" s="22">
        <f t="shared" si="57"/>
        <v>81.215669021303455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9.9316821433603781E-14</v>
      </c>
      <c r="AK129" s="13">
        <f t="shared" si="89"/>
        <v>1.4932118279712753E-12</v>
      </c>
      <c r="AL129" s="20">
        <f t="shared" si="58"/>
        <v>2.7736540643801645E-12</v>
      </c>
      <c r="AM129" s="59">
        <f t="shared" si="59"/>
        <v>293.3333333333361</v>
      </c>
      <c r="AN129" s="59">
        <f ca="1">AVERAGE(OFFSET($AM$3,0,0,'Données projet'!$E$10+1,1))-AVERAGE(OFFSET($H$3,0,0,'Données projet'!$E$10+1,1))</f>
        <v>208.92731420103507</v>
      </c>
      <c r="AO129" s="59">
        <f t="shared" si="90"/>
        <v>247.96048911281395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16.097282947190497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16.097282947190497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-2.8421709430404007E-13</v>
      </c>
      <c r="BE129" s="13">
        <f>BD129*VLOOKUP('Données projet'!$B$11,Paramètres!$A$1:$I$89,3,0)*VLOOKUP('Données projet'!$B$11,Paramètres!$A$1:$I$89,5,0)</f>
        <v>-2.0838797354372215E-13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162.3892440844827</v>
      </c>
      <c r="BJ129" s="59">
        <f t="shared" si="92"/>
        <v>198.28846462484438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19.933772094542149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19.933772094542149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378.17323480030268</v>
      </c>
      <c r="T130" s="59">
        <f t="shared" si="88"/>
        <v>471.89239871617241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70.408710856256207</v>
      </c>
      <c r="AA130" s="21">
        <f>EXP(-LN(2)/25)*AA129+(1-EXP(-LN(2)/25))/(LN(2)/25)*Calculateur!V130*Calculateur!X130*VLOOKUP('Données projet'!$B$9,Paramètres!$A$1:$I$89,3,0)*0.475*44/12</f>
        <v>9.1416634836205244</v>
      </c>
      <c r="AB130" s="21">
        <f>EXP(-LN(2)/2)*AB129+(1-EXP(-LN(2)/2))/(LN(2)/2)*V130*Y130*VLOOKUP('Données projet'!$B$9,Paramètres!$A$1:$I$89,3,0)*0.475*44/12</f>
        <v>3.1842100046572185E-9</v>
      </c>
      <c r="AC130" s="22">
        <f t="shared" si="57"/>
        <v>79.550374343060938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9.9316821433603781E-14</v>
      </c>
      <c r="AK130" s="13">
        <f t="shared" si="89"/>
        <v>1.4932118279712753E-12</v>
      </c>
      <c r="AL130" s="20">
        <f t="shared" si="58"/>
        <v>2.7736540643801645E-12</v>
      </c>
      <c r="AM130" s="59">
        <f t="shared" si="59"/>
        <v>293.3333333333361</v>
      </c>
      <c r="AN130" s="59">
        <f ca="1">AVERAGE(OFFSET($AM$3,0,0,'Données projet'!$E$10+1,1))-AVERAGE(OFFSET($H$3,0,0,'Données projet'!$E$10+1,1))</f>
        <v>208.92731420103507</v>
      </c>
      <c r="AO130" s="59">
        <f t="shared" si="90"/>
        <v>247.96048911281395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15.781625046969205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15.781625046969205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-2.8421709430404007E-13</v>
      </c>
      <c r="BE130" s="13">
        <f>BD130*VLOOKUP('Données projet'!$B$11,Paramètres!$A$1:$I$89,3,0)*VLOOKUP('Données projet'!$B$11,Paramètres!$A$1:$I$89,5,0)</f>
        <v>-2.0838797354372215E-13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162.3892440844827</v>
      </c>
      <c r="BJ130" s="59">
        <f t="shared" si="92"/>
        <v>198.28846462484438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19.542882982168614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19.542882982168614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378.17323480030268</v>
      </c>
      <c r="T131" s="59">
        <f t="shared" si="88"/>
        <v>471.89239871617241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69.028038981438172</v>
      </c>
      <c r="AA131" s="21">
        <f>EXP(-LN(2)/25)*AA130+(1-EXP(-LN(2)/25))/(LN(2)/25)*Calculateur!V131*Calculateur!X131*VLOOKUP('Données projet'!$B$9,Paramètres!$A$1:$I$89,3,0)*0.475*44/12</f>
        <v>8.8916842149217317</v>
      </c>
      <c r="AB131" s="21">
        <f>EXP(-LN(2)/2)*AB130+(1-EXP(-LN(2)/2))/(LN(2)/2)*V131*Y131*VLOOKUP('Données projet'!$B$9,Paramètres!$A$1:$I$89,3,0)*0.475*44/12</f>
        <v>2.2515764870151672E-9</v>
      </c>
      <c r="AC131" s="22">
        <f t="shared" si="57"/>
        <v>77.919723198611493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9.9316821433603781E-14</v>
      </c>
      <c r="AK131" s="13">
        <f t="shared" si="89"/>
        <v>1.4932118279712753E-12</v>
      </c>
      <c r="AL131" s="20">
        <f t="shared" si="58"/>
        <v>2.7736540643801645E-12</v>
      </c>
      <c r="AM131" s="59">
        <f t="shared" si="59"/>
        <v>293.3333333333361</v>
      </c>
      <c r="AN131" s="59">
        <f ca="1">AVERAGE(OFFSET($AM$3,0,0,'Données projet'!$E$10+1,1))-AVERAGE(OFFSET($H$3,0,0,'Données projet'!$E$10+1,1))</f>
        <v>208.92731420103507</v>
      </c>
      <c r="AO131" s="59">
        <f t="shared" si="90"/>
        <v>247.96048911281395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15.472157005638945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15.472157005638945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-2.8421709430404007E-13</v>
      </c>
      <c r="BE131" s="13">
        <f>BD131*VLOOKUP('Données projet'!$B$11,Paramètres!$A$1:$I$89,3,0)*VLOOKUP('Données projet'!$B$11,Paramètres!$A$1:$I$89,5,0)</f>
        <v>-2.0838797354372215E-13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162.3892440844827</v>
      </c>
      <c r="BJ131" s="59">
        <f t="shared" si="92"/>
        <v>198.28846462484438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19.159658966869905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19.159658966869905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378.17323480030268</v>
      </c>
      <c r="T132" s="59">
        <f t="shared" si="88"/>
        <v>471.89239871617241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67.674441239958625</v>
      </c>
      <c r="AA132" s="21">
        <f>EXP(-LN(2)/25)*AA131+(1-EXP(-LN(2)/25))/(LN(2)/25)*Calculateur!V132*Calculateur!X132*VLOOKUP('Données projet'!$B$9,Paramètres!$A$1:$I$89,3,0)*0.475*44/12</f>
        <v>8.648540642471346</v>
      </c>
      <c r="AB132" s="21">
        <f>EXP(-LN(2)/2)*AB131+(1-EXP(-LN(2)/2))/(LN(2)/2)*V132*Y132*VLOOKUP('Données projet'!$B$9,Paramètres!$A$1:$I$89,3,0)*0.475*44/12</f>
        <v>1.5921050023286092E-9</v>
      </c>
      <c r="AC132" s="22">
        <f t="shared" ref="AC132:AC153" si="111">SUM(Z132:AB132)</f>
        <v>76.32298188402207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9.9316821433603781E-14</v>
      </c>
      <c r="AK132" s="13">
        <f t="shared" si="89"/>
        <v>1.4932118279712753E-12</v>
      </c>
      <c r="AL132" s="20">
        <f t="shared" ref="AL132:AL153" si="112">(AJ132+AK132)*0.475*44/12</f>
        <v>2.7736540643801645E-12</v>
      </c>
      <c r="AM132" s="59">
        <f t="shared" ref="AM132:AM195" si="113">AL132+(AD132+AE132)*44/12</f>
        <v>293.3333333333361</v>
      </c>
      <c r="AN132" s="59">
        <f ca="1">AVERAGE(OFFSET($AM$3,0,0,'Données projet'!$E$10+1,1))-AVERAGE(OFFSET($H$3,0,0,'Données projet'!$E$10+1,1))</f>
        <v>208.92731420103507</v>
      </c>
      <c r="AO132" s="59">
        <f t="shared" si="90"/>
        <v>247.96048911281395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15.168757443842305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15.168757443842305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-2.8421709430404007E-13</v>
      </c>
      <c r="BE132" s="13">
        <f>BD132*VLOOKUP('Données projet'!$B$11,Paramètres!$A$1:$I$89,3,0)*VLOOKUP('Données projet'!$B$11,Paramètres!$A$1:$I$89,5,0)</f>
        <v>-2.0838797354372215E-13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162.3892440844827</v>
      </c>
      <c r="BJ132" s="59">
        <f t="shared" si="92"/>
        <v>198.28846462484438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18.783949740767635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18.783949740767635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378.17323480030268</v>
      </c>
      <c r="T133" s="59">
        <f t="shared" ref="T133:T196" si="142">$T$3</f>
        <v>471.89239871617241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66.347386724576396</v>
      </c>
      <c r="AA133" s="21">
        <f>EXP(-LN(2)/25)*AA132+(1-EXP(-LN(2)/25))/(LN(2)/25)*Calculateur!V133*Calculateur!X133*VLOOKUP('Données projet'!$B$9,Paramètres!$A$1:$I$89,3,0)*0.475*44/12</f>
        <v>8.4120458437959815</v>
      </c>
      <c r="AB133" s="21">
        <f>EXP(-LN(2)/2)*AB132+(1-EXP(-LN(2)/2))/(LN(2)/2)*V133*Y133*VLOOKUP('Données projet'!$B$9,Paramètres!$A$1:$I$89,3,0)*0.475*44/12</f>
        <v>1.1257882435075836E-9</v>
      </c>
      <c r="AC133" s="22">
        <f t="shared" si="111"/>
        <v>74.759432569498159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9.9316821433603781E-14</v>
      </c>
      <c r="AK133" s="13">
        <f t="shared" ref="AK133:AK153" si="143">EXP(-1.0587+0.8836*LN(AJ133)+0.284)</f>
        <v>1.4932118279712753E-12</v>
      </c>
      <c r="AL133" s="20">
        <f t="shared" si="112"/>
        <v>2.7736540643801645E-12</v>
      </c>
      <c r="AM133" s="59">
        <f t="shared" si="113"/>
        <v>293.3333333333361</v>
      </c>
      <c r="AN133" s="59">
        <f ca="1">AVERAGE(OFFSET($AM$3,0,0,'Données projet'!$E$10+1,1))-AVERAGE(OFFSET($H$3,0,0,'Données projet'!$E$10+1,1))</f>
        <v>208.92731420103507</v>
      </c>
      <c r="AO133" s="59">
        <f t="shared" ref="AO133:AO196" si="144">$AO$3</f>
        <v>247.96048911281395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14.871307362397035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14.871307362397035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-2.8421709430404007E-13</v>
      </c>
      <c r="BE133" s="13">
        <f>BD133*VLOOKUP('Données projet'!$B$11,Paramètres!$A$1:$I$89,3,0)*VLOOKUP('Données projet'!$B$11,Paramètres!$A$1:$I$89,5,0)</f>
        <v>-2.0838797354372215E-13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162.3892440844827</v>
      </c>
      <c r="BJ133" s="59">
        <f t="shared" ref="BJ133:BJ196" si="146">$BJ$3</f>
        <v>198.28846462484438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18.415607943429233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18.415607943429233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378.17323480030268</v>
      </c>
      <c r="T134" s="59">
        <f t="shared" si="142"/>
        <v>471.89239871617241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65.046354938817487</v>
      </c>
      <c r="AA134" s="21">
        <f>EXP(-LN(2)/25)*AA133+(1-EXP(-LN(2)/25))/(LN(2)/25)*Calculateur!V134*Calculateur!X134*VLOOKUP('Données projet'!$B$9,Paramètres!$A$1:$I$89,3,0)*0.475*44/12</f>
        <v>8.1820180078271161</v>
      </c>
      <c r="AB134" s="21">
        <f>EXP(-LN(2)/2)*AB133+(1-EXP(-LN(2)/2))/(LN(2)/2)*V134*Y134*VLOOKUP('Données projet'!$B$9,Paramètres!$A$1:$I$89,3,0)*0.475*44/12</f>
        <v>7.9605250116430461E-10</v>
      </c>
      <c r="AC134" s="22">
        <f t="shared" si="111"/>
        <v>73.228372947440647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9.9316821433603781E-14</v>
      </c>
      <c r="AK134" s="13">
        <f t="shared" si="143"/>
        <v>1.4932118279712753E-12</v>
      </c>
      <c r="AL134" s="20">
        <f t="shared" si="112"/>
        <v>2.7736540643801645E-12</v>
      </c>
      <c r="AM134" s="59">
        <f t="shared" si="113"/>
        <v>293.3333333333361</v>
      </c>
      <c r="AN134" s="59">
        <f ca="1">AVERAGE(OFFSET($AM$3,0,0,'Données projet'!$E$10+1,1))-AVERAGE(OFFSET($H$3,0,0,'Données projet'!$E$10+1,1))</f>
        <v>208.92731420103507</v>
      </c>
      <c r="AO134" s="59">
        <f t="shared" si="144"/>
        <v>247.96048911281395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14.579690095622272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14.579690095622272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-2.8421709430404007E-13</v>
      </c>
      <c r="BE134" s="13">
        <f>BD134*VLOOKUP('Données projet'!$B$11,Paramètres!$A$1:$I$89,3,0)*VLOOKUP('Données projet'!$B$11,Paramètres!$A$1:$I$89,5,0)</f>
        <v>-2.0838797354372215E-13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162.3892440844827</v>
      </c>
      <c r="BJ134" s="59">
        <f t="shared" si="146"/>
        <v>198.28846462484438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18.054489104070324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18.054489104070324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378.17323480030268</v>
      </c>
      <c r="T135" s="59">
        <f t="shared" si="142"/>
        <v>471.89239871617241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63.770835592826273</v>
      </c>
      <c r="AA135" s="21">
        <f>EXP(-LN(2)/25)*AA134+(1-EXP(-LN(2)/25))/(LN(2)/25)*Calculateur!V135*Calculateur!X135*VLOOKUP('Données projet'!$B$9,Paramètres!$A$1:$I$89,3,0)*0.475*44/12</f>
        <v>7.9582802951294571</v>
      </c>
      <c r="AB135" s="21">
        <f>EXP(-LN(2)/2)*AB134+(1-EXP(-LN(2)/2))/(LN(2)/2)*V135*Y135*VLOOKUP('Données projet'!$B$9,Paramètres!$A$1:$I$89,3,0)*0.475*44/12</f>
        <v>5.6289412175379181E-10</v>
      </c>
      <c r="AC135" s="22">
        <f t="shared" si="111"/>
        <v>71.729115888518621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9.9316821433603781E-14</v>
      </c>
      <c r="AK135" s="13">
        <f t="shared" si="143"/>
        <v>1.4932118279712753E-12</v>
      </c>
      <c r="AL135" s="20">
        <f t="shared" si="112"/>
        <v>2.7736540643801645E-12</v>
      </c>
      <c r="AM135" s="59">
        <f t="shared" si="113"/>
        <v>293.3333333333361</v>
      </c>
      <c r="AN135" s="59">
        <f ca="1">AVERAGE(OFFSET($AM$3,0,0,'Données projet'!$E$10+1,1))-AVERAGE(OFFSET($H$3,0,0,'Données projet'!$E$10+1,1))</f>
        <v>208.92731420103507</v>
      </c>
      <c r="AO135" s="59">
        <f t="shared" si="144"/>
        <v>247.96048911281395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14.293791265579994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14.293791265579994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-2.8421709430404007E-13</v>
      </c>
      <c r="BE135" s="13">
        <f>BD135*VLOOKUP('Données projet'!$B$11,Paramètres!$A$1:$I$89,3,0)*VLOOKUP('Données projet'!$B$11,Paramètres!$A$1:$I$89,5,0)</f>
        <v>-2.0838797354372215E-13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162.3892440844827</v>
      </c>
      <c r="BJ135" s="59">
        <f t="shared" si="146"/>
        <v>198.28846462484438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17.700451584890498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17.700451584890498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378.17323480030268</v>
      </c>
      <c r="T136" s="59">
        <f t="shared" si="142"/>
        <v>471.89239871617241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62.520328403219963</v>
      </c>
      <c r="AA136" s="21">
        <f>EXP(-LN(2)/25)*AA135+(1-EXP(-LN(2)/25))/(LN(2)/25)*Calculateur!V136*Calculateur!X136*VLOOKUP('Données projet'!$B$9,Paramètres!$A$1:$I$89,3,0)*0.475*44/12</f>
        <v>7.74066070195137</v>
      </c>
      <c r="AB136" s="21">
        <f>EXP(-LN(2)/2)*AB135+(1-EXP(-LN(2)/2))/(LN(2)/2)*V136*Y136*VLOOKUP('Données projet'!$B$9,Paramètres!$A$1:$I$89,3,0)*0.475*44/12</f>
        <v>3.9802625058215231E-10</v>
      </c>
      <c r="AC136" s="22">
        <f t="shared" si="111"/>
        <v>70.260989105569365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9.9316821433603781E-14</v>
      </c>
      <c r="AK136" s="13">
        <f t="shared" si="143"/>
        <v>1.4932118279712753E-12</v>
      </c>
      <c r="AL136" s="20">
        <f t="shared" si="112"/>
        <v>2.7736540643801645E-12</v>
      </c>
      <c r="AM136" s="59">
        <f t="shared" si="113"/>
        <v>293.3333333333361</v>
      </c>
      <c r="AN136" s="59">
        <f ca="1">AVERAGE(OFFSET($AM$3,0,0,'Données projet'!$E$10+1,1))-AVERAGE(OFFSET($H$3,0,0,'Données projet'!$E$10+1,1))</f>
        <v>208.92731420103507</v>
      </c>
      <c r="AO136" s="59">
        <f t="shared" si="144"/>
        <v>247.96048911281395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14.013498737213776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14.013498737213776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-2.8421709430404007E-13</v>
      </c>
      <c r="BE136" s="13">
        <f>BD136*VLOOKUP('Données projet'!$B$11,Paramètres!$A$1:$I$89,3,0)*VLOOKUP('Données projet'!$B$11,Paramètres!$A$1:$I$89,5,0)</f>
        <v>-2.0838797354372215E-13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162.3892440844827</v>
      </c>
      <c r="BJ136" s="59">
        <f t="shared" si="146"/>
        <v>198.28846462484438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17.353356525520226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17.353356525520226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378.17323480030268</v>
      </c>
      <c r="T137" s="59">
        <f t="shared" si="142"/>
        <v>471.89239871617241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61.294342896867761</v>
      </c>
      <c r="AA137" s="21">
        <f>EXP(-LN(2)/25)*AA136+(1-EXP(-LN(2)/25))/(LN(2)/25)*Calculateur!V137*Calculateur!X137*VLOOKUP('Données projet'!$B$9,Paramètres!$A$1:$I$89,3,0)*0.475*44/12</f>
        <v>7.5289919279928554</v>
      </c>
      <c r="AB137" s="21">
        <f>EXP(-LN(2)/2)*AB136+(1-EXP(-LN(2)/2))/(LN(2)/2)*V137*Y137*VLOOKUP('Données projet'!$B$9,Paramètres!$A$1:$I$89,3,0)*0.475*44/12</f>
        <v>2.814470608768959E-10</v>
      </c>
      <c r="AC137" s="22">
        <f t="shared" si="111"/>
        <v>68.823334825142055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9.9316821433603781E-14</v>
      </c>
      <c r="AK137" s="13">
        <f t="shared" si="143"/>
        <v>1.4932118279712753E-12</v>
      </c>
      <c r="AL137" s="20">
        <f t="shared" si="112"/>
        <v>2.7736540643801645E-12</v>
      </c>
      <c r="AM137" s="59">
        <f t="shared" si="113"/>
        <v>293.3333333333361</v>
      </c>
      <c r="AN137" s="59">
        <f ca="1">AVERAGE(OFFSET($AM$3,0,0,'Données projet'!$E$10+1,1))-AVERAGE(OFFSET($H$3,0,0,'Données projet'!$E$10+1,1))</f>
        <v>208.92731420103507</v>
      </c>
      <c r="AO137" s="59">
        <f t="shared" si="144"/>
        <v>247.96048911281395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13.73870257436726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13.73870257436726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-2.8421709430404007E-13</v>
      </c>
      <c r="BE137" s="13">
        <f>BD137*VLOOKUP('Données projet'!$B$11,Paramètres!$A$1:$I$89,3,0)*VLOOKUP('Données projet'!$B$11,Paramètres!$A$1:$I$89,5,0)</f>
        <v>-2.0838797354372215E-13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162.3892440844827</v>
      </c>
      <c r="BJ137" s="59">
        <f t="shared" si="146"/>
        <v>198.28846462484438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17.013067788557123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17.013067788557123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378.17323480030268</v>
      </c>
      <c r="T138" s="59">
        <f t="shared" si="142"/>
        <v>471.89239871617241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60.092398218517808</v>
      </c>
      <c r="AA138" s="21">
        <f>EXP(-LN(2)/25)*AA137+(1-EXP(-LN(2)/25))/(LN(2)/25)*Calculateur!V138*Calculateur!X138*VLOOKUP('Données projet'!$B$9,Paramètres!$A$1:$I$89,3,0)*0.475*44/12</f>
        <v>7.3231112477894129</v>
      </c>
      <c r="AB138" s="21">
        <f>EXP(-LN(2)/2)*AB137+(1-EXP(-LN(2)/2))/(LN(2)/2)*V138*Y138*VLOOKUP('Données projet'!$B$9,Paramètres!$A$1:$I$89,3,0)*0.475*44/12</f>
        <v>1.9901312529107615E-10</v>
      </c>
      <c r="AC138" s="22">
        <f t="shared" si="111"/>
        <v>67.415509466506222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9.9316821433603781E-14</v>
      </c>
      <c r="AK138" s="13">
        <f t="shared" si="143"/>
        <v>1.4932118279712753E-12</v>
      </c>
      <c r="AL138" s="20">
        <f t="shared" si="112"/>
        <v>2.7736540643801645E-12</v>
      </c>
      <c r="AM138" s="59">
        <f t="shared" si="113"/>
        <v>293.3333333333361</v>
      </c>
      <c r="AN138" s="59">
        <f ca="1">AVERAGE(OFFSET($AM$3,0,0,'Données projet'!$E$10+1,1))-AVERAGE(OFFSET($H$3,0,0,'Données projet'!$E$10+1,1))</f>
        <v>208.92731420103507</v>
      </c>
      <c r="AO138" s="59">
        <f t="shared" si="144"/>
        <v>247.96048911281395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13.469294996665052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13.469294996665052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-2.8421709430404007E-13</v>
      </c>
      <c r="BE138" s="13">
        <f>BD138*VLOOKUP('Données projet'!$B$11,Paramètres!$A$1:$I$89,3,0)*VLOOKUP('Données projet'!$B$11,Paramètres!$A$1:$I$89,5,0)</f>
        <v>-2.0838797354372215E-13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162.3892440844827</v>
      </c>
      <c r="BJ138" s="59">
        <f t="shared" si="146"/>
        <v>198.28846462484438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16.679451906170229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16.679451906170229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378.17323480030268</v>
      </c>
      <c r="T139" s="59">
        <f t="shared" si="142"/>
        <v>471.89239871617241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58.914022942196432</v>
      </c>
      <c r="AA139" s="21">
        <f>EXP(-LN(2)/25)*AA138+(1-EXP(-LN(2)/25))/(LN(2)/25)*Calculateur!V139*Calculateur!X139*VLOOKUP('Données projet'!$B$9,Paramètres!$A$1:$I$89,3,0)*0.475*44/12</f>
        <v>7.1228603856129284</v>
      </c>
      <c r="AB139" s="21">
        <f>EXP(-LN(2)/2)*AB138+(1-EXP(-LN(2)/2))/(LN(2)/2)*V139*Y139*VLOOKUP('Données projet'!$B$9,Paramètres!$A$1:$I$89,3,0)*0.475*44/12</f>
        <v>1.4072353043844795E-10</v>
      </c>
      <c r="AC139" s="22">
        <f t="shared" si="111"/>
        <v>66.036883327950093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9.9316821433603781E-14</v>
      </c>
      <c r="AK139" s="13">
        <f t="shared" si="143"/>
        <v>1.4932118279712753E-12</v>
      </c>
      <c r="AL139" s="20">
        <f t="shared" si="112"/>
        <v>2.7736540643801645E-12</v>
      </c>
      <c r="AM139" s="59">
        <f t="shared" si="113"/>
        <v>293.3333333333361</v>
      </c>
      <c r="AN139" s="59">
        <f ca="1">AVERAGE(OFFSET($AM$3,0,0,'Données projet'!$E$10+1,1))-AVERAGE(OFFSET($H$3,0,0,'Données projet'!$E$10+1,1))</f>
        <v>208.92731420103507</v>
      </c>
      <c r="AO139" s="59">
        <f t="shared" si="144"/>
        <v>247.96048911281395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13.20517033723919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13.20517033723919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-2.8421709430404007E-13</v>
      </c>
      <c r="BE139" s="13">
        <f>BD139*VLOOKUP('Données projet'!$B$11,Paramètres!$A$1:$I$89,3,0)*VLOOKUP('Données projet'!$B$11,Paramètres!$A$1:$I$89,5,0)</f>
        <v>-2.0838797354372215E-13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162.3892440844827</v>
      </c>
      <c r="BJ139" s="59">
        <f t="shared" si="146"/>
        <v>198.28846462484438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16.352378027751346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16.352378027751346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378.17323480030268</v>
      </c>
      <c r="T140" s="59">
        <f t="shared" si="142"/>
        <v>471.89239871617241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57.758754886305766</v>
      </c>
      <c r="AA140" s="21">
        <f>EXP(-LN(2)/25)*AA139+(1-EXP(-LN(2)/25))/(LN(2)/25)*Calculateur!V140*Calculateur!X140*VLOOKUP('Données projet'!$B$9,Paramètres!$A$1:$I$89,3,0)*0.475*44/12</f>
        <v>6.9280853937933946</v>
      </c>
      <c r="AB140" s="21">
        <f>EXP(-LN(2)/2)*AB139+(1-EXP(-LN(2)/2))/(LN(2)/2)*V140*Y140*VLOOKUP('Données projet'!$B$9,Paramètres!$A$1:$I$89,3,0)*0.475*44/12</f>
        <v>9.9506562645538077E-11</v>
      </c>
      <c r="AC140" s="22">
        <f t="shared" si="111"/>
        <v>64.686840280198666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9.9316821433603781E-14</v>
      </c>
      <c r="AK140" s="13">
        <f t="shared" si="143"/>
        <v>1.4932118279712753E-12</v>
      </c>
      <c r="AL140" s="20">
        <f t="shared" si="112"/>
        <v>2.7736540643801645E-12</v>
      </c>
      <c r="AM140" s="59">
        <f t="shared" si="113"/>
        <v>293.3333333333361</v>
      </c>
      <c r="AN140" s="59">
        <f ca="1">AVERAGE(OFFSET($AM$3,0,0,'Données projet'!$E$10+1,1))-AVERAGE(OFFSET($H$3,0,0,'Données projet'!$E$10+1,1))</f>
        <v>208.92731420103507</v>
      </c>
      <c r="AO140" s="59">
        <f t="shared" si="144"/>
        <v>247.96048911281395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12.946225001284533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12.946225001284533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-2.8421709430404007E-13</v>
      </c>
      <c r="BE140" s="13">
        <f>BD140*VLOOKUP('Données projet'!$B$11,Paramètres!$A$1:$I$89,3,0)*VLOOKUP('Données projet'!$B$11,Paramètres!$A$1:$I$89,5,0)</f>
        <v>-2.0838797354372215E-13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162.3892440844827</v>
      </c>
      <c r="BJ140" s="59">
        <f t="shared" si="146"/>
        <v>198.28846462484438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16.031717868592892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16.031717868592892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378.17323480030268</v>
      </c>
      <c r="T141" s="59">
        <f t="shared" si="142"/>
        <v>471.89239871617241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56.626140932347184</v>
      </c>
      <c r="AA141" s="21">
        <f>EXP(-LN(2)/25)*AA140+(1-EXP(-LN(2)/25))/(LN(2)/25)*Calculateur!V141*Calculateur!X141*VLOOKUP('Données projet'!$B$9,Paramètres!$A$1:$I$89,3,0)*0.475*44/12</f>
        <v>6.738636534367938</v>
      </c>
      <c r="AB141" s="21">
        <f>EXP(-LN(2)/2)*AB140+(1-EXP(-LN(2)/2))/(LN(2)/2)*V141*Y141*VLOOKUP('Données projet'!$B$9,Paramètres!$A$1:$I$89,3,0)*0.475*44/12</f>
        <v>7.0361765219223976E-11</v>
      </c>
      <c r="AC141" s="22">
        <f t="shared" si="111"/>
        <v>63.36477746678549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9.9316821433603781E-14</v>
      </c>
      <c r="AK141" s="13">
        <f t="shared" si="143"/>
        <v>1.4932118279712753E-12</v>
      </c>
      <c r="AL141" s="20">
        <f t="shared" si="112"/>
        <v>2.7736540643801645E-12</v>
      </c>
      <c r="AM141" s="59">
        <f t="shared" si="113"/>
        <v>293.3333333333361</v>
      </c>
      <c r="AN141" s="59">
        <f ca="1">AVERAGE(OFFSET($AM$3,0,0,'Données projet'!$E$10+1,1))-AVERAGE(OFFSET($H$3,0,0,'Données projet'!$E$10+1,1))</f>
        <v>208.92731420103507</v>
      </c>
      <c r="AO141" s="59">
        <f t="shared" si="144"/>
        <v>247.96048911281395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12.692357425426888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12.692357425426888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-2.8421709430404007E-13</v>
      </c>
      <c r="BE141" s="13">
        <f>BD141*VLOOKUP('Données projet'!$B$11,Paramètres!$A$1:$I$89,3,0)*VLOOKUP('Données projet'!$B$11,Paramètres!$A$1:$I$89,5,0)</f>
        <v>-2.0838797354372215E-13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162.3892440844827</v>
      </c>
      <c r="BJ141" s="59">
        <f t="shared" si="146"/>
        <v>198.28846462484438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15.71734565957215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15.71734565957215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378.17323480030268</v>
      </c>
      <c r="T142" s="59">
        <f t="shared" si="142"/>
        <v>471.89239871617241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55.515736847199427</v>
      </c>
      <c r="AA142" s="21">
        <f>EXP(-LN(2)/25)*AA141+(1-EXP(-LN(2)/25))/(LN(2)/25)*Calculateur!V142*Calculateur!X142*VLOOKUP('Données projet'!$B$9,Paramètres!$A$1:$I$89,3,0)*0.475*44/12</f>
        <v>6.5543681639661528</v>
      </c>
      <c r="AB142" s="21">
        <f>EXP(-LN(2)/2)*AB141+(1-EXP(-LN(2)/2))/(LN(2)/2)*V142*Y142*VLOOKUP('Données projet'!$B$9,Paramètres!$A$1:$I$89,3,0)*0.475*44/12</f>
        <v>4.9753281322769038E-11</v>
      </c>
      <c r="AC142" s="22">
        <f t="shared" si="111"/>
        <v>62.070105011215333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9.9316821433603781E-14</v>
      </c>
      <c r="AK142" s="13">
        <f t="shared" si="143"/>
        <v>1.4932118279712753E-12</v>
      </c>
      <c r="AL142" s="20">
        <f t="shared" si="112"/>
        <v>2.7736540643801645E-12</v>
      </c>
      <c r="AM142" s="59">
        <f t="shared" si="113"/>
        <v>293.3333333333361</v>
      </c>
      <c r="AN142" s="59">
        <f ca="1">AVERAGE(OFFSET($AM$3,0,0,'Données projet'!$E$10+1,1))-AVERAGE(OFFSET($H$3,0,0,'Données projet'!$E$10+1,1))</f>
        <v>208.92731420103507</v>
      </c>
      <c r="AO142" s="59">
        <f t="shared" si="144"/>
        <v>247.96048911281395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12.443468037887879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12.443468037887879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-2.8421709430404007E-13</v>
      </c>
      <c r="BE142" s="13">
        <f>BD142*VLOOKUP('Données projet'!$B$11,Paramètres!$A$1:$I$89,3,0)*VLOOKUP('Données projet'!$B$11,Paramètres!$A$1:$I$89,5,0)</f>
        <v>-2.0838797354372215E-13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162.3892440844827</v>
      </c>
      <c r="BJ142" s="59">
        <f t="shared" si="146"/>
        <v>198.28846462484438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15.40913809782219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15.40913809782219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378.17323480030268</v>
      </c>
      <c r="T143" s="59">
        <f t="shared" si="142"/>
        <v>471.89239871617241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54.427107108881799</v>
      </c>
      <c r="AA143" s="21">
        <f>EXP(-LN(2)/25)*AA142+(1-EXP(-LN(2)/25))/(LN(2)/25)*Calculateur!V143*Calculateur!X143*VLOOKUP('Données projet'!$B$9,Paramètres!$A$1:$I$89,3,0)*0.475*44/12</f>
        <v>6.3751386218432566</v>
      </c>
      <c r="AB143" s="21">
        <f>EXP(-LN(2)/2)*AB142+(1-EXP(-LN(2)/2))/(LN(2)/2)*V143*Y143*VLOOKUP('Données projet'!$B$9,Paramètres!$A$1:$I$89,3,0)*0.475*44/12</f>
        <v>3.5180882609611988E-11</v>
      </c>
      <c r="AC143" s="22">
        <f t="shared" si="111"/>
        <v>60.802245730760234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9.9316821433603781E-14</v>
      </c>
      <c r="AK143" s="13">
        <f t="shared" si="143"/>
        <v>1.4932118279712753E-12</v>
      </c>
      <c r="AL143" s="20">
        <f t="shared" si="112"/>
        <v>2.7736540643801645E-12</v>
      </c>
      <c r="AM143" s="59">
        <f t="shared" si="113"/>
        <v>293.3333333333361</v>
      </c>
      <c r="AN143" s="59">
        <f ca="1">AVERAGE(OFFSET($AM$3,0,0,'Données projet'!$E$10+1,1))-AVERAGE(OFFSET($H$3,0,0,'Données projet'!$E$10+1,1))</f>
        <v>208.92731420103507</v>
      </c>
      <c r="AO143" s="59">
        <f t="shared" si="144"/>
        <v>247.96048911281395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12.199459219430974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12.199459219430974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-2.8421709430404007E-13</v>
      </c>
      <c r="BE143" s="13">
        <f>BD143*VLOOKUP('Données projet'!$B$11,Paramètres!$A$1:$I$89,3,0)*VLOOKUP('Données projet'!$B$11,Paramètres!$A$1:$I$89,5,0)</f>
        <v>-2.0838797354372215E-13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162.3892440844827</v>
      </c>
      <c r="BJ143" s="59">
        <f t="shared" si="146"/>
        <v>198.28846462484438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15.106974298370098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15.106974298370098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378.17323480030268</v>
      </c>
      <c r="T144" s="59">
        <f t="shared" si="142"/>
        <v>471.89239871617241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53.359824735734009</v>
      </c>
      <c r="AA144" s="21">
        <f>EXP(-LN(2)/25)*AA143+(1-EXP(-LN(2)/25))/(LN(2)/25)*Calculateur!V144*Calculateur!X144*VLOOKUP('Données projet'!$B$9,Paramètres!$A$1:$I$89,3,0)*0.475*44/12</f>
        <v>6.2008101209749835</v>
      </c>
      <c r="AB144" s="21">
        <f>EXP(-LN(2)/2)*AB143+(1-EXP(-LN(2)/2))/(LN(2)/2)*V144*Y144*VLOOKUP('Données projet'!$B$9,Paramètres!$A$1:$I$89,3,0)*0.475*44/12</f>
        <v>2.4876640661384519E-11</v>
      </c>
      <c r="AC144" s="22">
        <f t="shared" si="111"/>
        <v>59.56063485673387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9.9316821433603781E-14</v>
      </c>
      <c r="AK144" s="13">
        <f t="shared" si="143"/>
        <v>1.4932118279712753E-12</v>
      </c>
      <c r="AL144" s="20">
        <f t="shared" si="112"/>
        <v>2.7736540643801645E-12</v>
      </c>
      <c r="AM144" s="59">
        <f t="shared" si="113"/>
        <v>293.3333333333361</v>
      </c>
      <c r="AN144" s="59">
        <f ca="1">AVERAGE(OFFSET($AM$3,0,0,'Données projet'!$E$10+1,1))-AVERAGE(OFFSET($H$3,0,0,'Données projet'!$E$10+1,1))</f>
        <v>208.92731420103507</v>
      </c>
      <c r="AO144" s="59">
        <f t="shared" si="144"/>
        <v>247.96048911281395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11.960235265073324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11.960235265073324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-2.8421709430404007E-13</v>
      </c>
      <c r="BE144" s="13">
        <f>BD144*VLOOKUP('Données projet'!$B$11,Paramètres!$A$1:$I$89,3,0)*VLOOKUP('Données projet'!$B$11,Paramètres!$A$1:$I$89,5,0)</f>
        <v>-2.0838797354372215E-13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162.3892440844827</v>
      </c>
      <c r="BJ144" s="59">
        <f t="shared" si="146"/>
        <v>198.28846462484438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14.810735746723541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14.810735746723541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378.17323480030268</v>
      </c>
      <c r="T145" s="59">
        <f t="shared" si="142"/>
        <v>471.89239871617241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52.313471118945678</v>
      </c>
      <c r="AA145" s="21">
        <f>EXP(-LN(2)/25)*AA144+(1-EXP(-LN(2)/25))/(LN(2)/25)*Calculateur!V145*Calculateur!X145*VLOOKUP('Données projet'!$B$9,Paramètres!$A$1:$I$89,3,0)*0.475*44/12</f>
        <v>6.0312486421304907</v>
      </c>
      <c r="AB145" s="21">
        <f>EXP(-LN(2)/2)*AB144+(1-EXP(-LN(2)/2))/(LN(2)/2)*V145*Y145*VLOOKUP('Données projet'!$B$9,Paramètres!$A$1:$I$89,3,0)*0.475*44/12</f>
        <v>1.7590441304805994E-11</v>
      </c>
      <c r="AC145" s="22">
        <f t="shared" si="111"/>
        <v>58.344719761093764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9.9316821433603781E-14</v>
      </c>
      <c r="AK145" s="13">
        <f t="shared" si="143"/>
        <v>1.4932118279712753E-12</v>
      </c>
      <c r="AL145" s="20">
        <f t="shared" si="112"/>
        <v>2.7736540643801645E-12</v>
      </c>
      <c r="AM145" s="59">
        <f t="shared" si="113"/>
        <v>293.3333333333361</v>
      </c>
      <c r="AN145" s="59">
        <f ca="1">AVERAGE(OFFSET($AM$3,0,0,'Données projet'!$E$10+1,1))-AVERAGE(OFFSET($H$3,0,0,'Données projet'!$E$10+1,1))</f>
        <v>208.92731420103507</v>
      </c>
      <c r="AO145" s="59">
        <f t="shared" si="144"/>
        <v>247.96048911281395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11.725702346548424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11.725702346548424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-2.8421709430404007E-13</v>
      </c>
      <c r="BE145" s="13">
        <f>BD145*VLOOKUP('Données projet'!$B$11,Paramètres!$A$1:$I$89,3,0)*VLOOKUP('Données projet'!$B$11,Paramètres!$A$1:$I$89,5,0)</f>
        <v>-2.0838797354372215E-13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162.3892440844827</v>
      </c>
      <c r="BJ145" s="59">
        <f t="shared" si="146"/>
        <v>198.28846462484438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14.520306252387098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14.520306252387098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378.17323480030268</v>
      </c>
      <c r="T146" s="59">
        <f t="shared" si="142"/>
        <v>471.89239871617241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51.287635858369875</v>
      </c>
      <c r="AA146" s="21">
        <f>EXP(-LN(2)/25)*AA145+(1-EXP(-LN(2)/25))/(LN(2)/25)*Calculateur!V146*Calculateur!X146*VLOOKUP('Données projet'!$B$9,Paramètres!$A$1:$I$89,3,0)*0.475*44/12</f>
        <v>5.8663238308418508</v>
      </c>
      <c r="AB146" s="21">
        <f>EXP(-LN(2)/2)*AB145+(1-EXP(-LN(2)/2))/(LN(2)/2)*V146*Y146*VLOOKUP('Données projet'!$B$9,Paramètres!$A$1:$I$89,3,0)*0.475*44/12</f>
        <v>1.243832033069226E-11</v>
      </c>
      <c r="AC146" s="22">
        <f t="shared" si="111"/>
        <v>57.153959689224166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9.9316821433603781E-14</v>
      </c>
      <c r="AK146" s="13">
        <f t="shared" si="143"/>
        <v>1.4932118279712753E-12</v>
      </c>
      <c r="AL146" s="20">
        <f t="shared" si="112"/>
        <v>2.7736540643801645E-12</v>
      </c>
      <c r="AM146" s="59">
        <f t="shared" si="113"/>
        <v>293.3333333333361</v>
      </c>
      <c r="AN146" s="59">
        <f ca="1">AVERAGE(OFFSET($AM$3,0,0,'Données projet'!$E$10+1,1))-AVERAGE(OFFSET($H$3,0,0,'Données projet'!$E$10+1,1))</f>
        <v>208.92731420103507</v>
      </c>
      <c r="AO146" s="59">
        <f t="shared" si="144"/>
        <v>247.96048911281395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11.495768475504843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11.495768475504843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-2.8421709430404007E-13</v>
      </c>
      <c r="BE146" s="13">
        <f>BD146*VLOOKUP('Données projet'!$B$11,Paramètres!$A$1:$I$89,3,0)*VLOOKUP('Données projet'!$B$11,Paramètres!$A$1:$I$89,5,0)</f>
        <v>-2.0838797354372215E-13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162.3892440844827</v>
      </c>
      <c r="BJ146" s="59">
        <f t="shared" si="146"/>
        <v>198.28846462484438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14.235571903290092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14.235571903290092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378.17323480030268</v>
      </c>
      <c r="T147" s="59">
        <f t="shared" si="142"/>
        <v>471.89239871617241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50.28191660155624</v>
      </c>
      <c r="AA147" s="21">
        <f>EXP(-LN(2)/25)*AA146+(1-EXP(-LN(2)/25))/(LN(2)/25)*Calculateur!V147*Calculateur!X147*VLOOKUP('Données projet'!$B$9,Paramètres!$A$1:$I$89,3,0)*0.475*44/12</f>
        <v>5.705908897190918</v>
      </c>
      <c r="AB147" s="21">
        <f>EXP(-LN(2)/2)*AB146+(1-EXP(-LN(2)/2))/(LN(2)/2)*V147*Y147*VLOOKUP('Données projet'!$B$9,Paramètres!$A$1:$I$89,3,0)*0.475*44/12</f>
        <v>8.795220652402997E-12</v>
      </c>
      <c r="AC147" s="22">
        <f t="shared" si="111"/>
        <v>55.987825498755953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9.9316821433603781E-14</v>
      </c>
      <c r="AK147" s="13">
        <f t="shared" si="143"/>
        <v>1.4932118279712753E-12</v>
      </c>
      <c r="AL147" s="20">
        <f t="shared" si="112"/>
        <v>2.7736540643801645E-12</v>
      </c>
      <c r="AM147" s="59">
        <f t="shared" si="113"/>
        <v>293.3333333333361</v>
      </c>
      <c r="AN147" s="59">
        <f ca="1">AVERAGE(OFFSET($AM$3,0,0,'Données projet'!$E$10+1,1))-AVERAGE(OFFSET($H$3,0,0,'Données projet'!$E$10+1,1))</f>
        <v>208.92731420103507</v>
      </c>
      <c r="AO147" s="59">
        <f t="shared" si="144"/>
        <v>247.96048911281395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11.270343467426612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11.270343467426612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-2.8421709430404007E-13</v>
      </c>
      <c r="BE147" s="13">
        <f>BD147*VLOOKUP('Données projet'!$B$11,Paramètres!$A$1:$I$89,3,0)*VLOOKUP('Données projet'!$B$11,Paramètres!$A$1:$I$89,5,0)</f>
        <v>-2.0838797354372215E-13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162.3892440844827</v>
      </c>
      <c r="BJ147" s="59">
        <f t="shared" si="146"/>
        <v>198.28846462484438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13.956421021108074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13.956421021108074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378.17323480030268</v>
      </c>
      <c r="T148" s="59">
        <f t="shared" si="142"/>
        <v>471.89239871617241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49.295918885940544</v>
      </c>
      <c r="AA148" s="21">
        <f>EXP(-LN(2)/25)*AA147+(1-EXP(-LN(2)/25))/(LN(2)/25)*Calculateur!V148*Calculateur!X148*VLOOKUP('Données projet'!$B$9,Paramètres!$A$1:$I$89,3,0)*0.475*44/12</f>
        <v>5.5498805183365247</v>
      </c>
      <c r="AB148" s="21">
        <f>EXP(-LN(2)/2)*AB147+(1-EXP(-LN(2)/2))/(LN(2)/2)*V148*Y148*VLOOKUP('Données projet'!$B$9,Paramètres!$A$1:$I$89,3,0)*0.475*44/12</f>
        <v>6.2191601653461298E-12</v>
      </c>
      <c r="AC148" s="22">
        <f t="shared" si="111"/>
        <v>54.845799404283284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9.9316821433603781E-14</v>
      </c>
      <c r="AK148" s="13">
        <f t="shared" si="143"/>
        <v>1.4932118279712753E-12</v>
      </c>
      <c r="AL148" s="20">
        <f t="shared" si="112"/>
        <v>2.7736540643801645E-12</v>
      </c>
      <c r="AM148" s="59">
        <f t="shared" si="113"/>
        <v>293.3333333333361</v>
      </c>
      <c r="AN148" s="59">
        <f ca="1">AVERAGE(OFFSET($AM$3,0,0,'Données projet'!$E$10+1,1))-AVERAGE(OFFSET($H$3,0,0,'Données projet'!$E$10+1,1))</f>
        <v>208.92731420103507</v>
      </c>
      <c r="AO148" s="59">
        <f t="shared" si="144"/>
        <v>247.96048911281395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11.049338906261116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11.049338906261116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-2.8421709430404007E-13</v>
      </c>
      <c r="BE148" s="13">
        <f>BD148*VLOOKUP('Données projet'!$B$11,Paramètres!$A$1:$I$89,3,0)*VLOOKUP('Données projet'!$B$11,Paramètres!$A$1:$I$89,5,0)</f>
        <v>-2.0838797354372215E-13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162.3892440844827</v>
      </c>
      <c r="BJ148" s="59">
        <f t="shared" si="146"/>
        <v>198.28846462484438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13.682744117460421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13.682744117460421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378.17323480030268</v>
      </c>
      <c r="T149" s="59">
        <f t="shared" si="142"/>
        <v>471.89239871617241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48.329255984128849</v>
      </c>
      <c r="AA149" s="21">
        <f>EXP(-LN(2)/25)*AA148+(1-EXP(-LN(2)/25))/(LN(2)/25)*Calculateur!V149*Calculateur!X149*VLOOKUP('Données projet'!$B$9,Paramètres!$A$1:$I$89,3,0)*0.475*44/12</f>
        <v>5.3981187437070801</v>
      </c>
      <c r="AB149" s="21">
        <f>EXP(-LN(2)/2)*AB148+(1-EXP(-LN(2)/2))/(LN(2)/2)*V149*Y149*VLOOKUP('Données projet'!$B$9,Paramètres!$A$1:$I$89,3,0)*0.475*44/12</f>
        <v>4.3976103262014985E-12</v>
      </c>
      <c r="AC149" s="22">
        <f t="shared" si="111"/>
        <v>53.727374727840328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9.9316821433603781E-14</v>
      </c>
      <c r="AK149" s="13">
        <f t="shared" si="143"/>
        <v>1.4932118279712753E-12</v>
      </c>
      <c r="AL149" s="20">
        <f t="shared" si="112"/>
        <v>2.7736540643801645E-12</v>
      </c>
      <c r="AM149" s="59">
        <f t="shared" si="113"/>
        <v>293.3333333333361</v>
      </c>
      <c r="AN149" s="59">
        <f ca="1">AVERAGE(OFFSET($AM$3,0,0,'Données projet'!$E$10+1,1))-AVERAGE(OFFSET($H$3,0,0,'Données projet'!$E$10+1,1))</f>
        <v>208.92731420103507</v>
      </c>
      <c r="AO149" s="59">
        <f t="shared" si="144"/>
        <v>247.96048911281395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10.832668109740606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10.832668109740606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-2.8421709430404007E-13</v>
      </c>
      <c r="BE149" s="13">
        <f>BD149*VLOOKUP('Données projet'!$B$11,Paramètres!$A$1:$I$89,3,0)*VLOOKUP('Données projet'!$B$11,Paramètres!$A$1:$I$89,5,0)</f>
        <v>-2.0838797354372215E-13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162.3892440844827</v>
      </c>
      <c r="BJ149" s="59">
        <f t="shared" si="146"/>
        <v>198.28846462484438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13.414433850966869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13.414433850966869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378.17323480030268</v>
      </c>
      <c r="T150" s="59">
        <f t="shared" si="142"/>
        <v>471.89239871617241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47.381548752215529</v>
      </c>
      <c r="AA150" s="21">
        <f>EXP(-LN(2)/25)*AA149+(1-EXP(-LN(2)/25))/(LN(2)/25)*Calculateur!V150*Calculateur!X150*VLOOKUP('Données projet'!$B$9,Paramètres!$A$1:$I$89,3,0)*0.475*44/12</f>
        <v>5.2505069027856832</v>
      </c>
      <c r="AB150" s="21">
        <f>EXP(-LN(2)/2)*AB149+(1-EXP(-LN(2)/2))/(LN(2)/2)*V150*Y150*VLOOKUP('Données projet'!$B$9,Paramètres!$A$1:$I$89,3,0)*0.475*44/12</f>
        <v>3.1095800826730649E-12</v>
      </c>
      <c r="AC150" s="22">
        <f t="shared" si="111"/>
        <v>52.632055655004322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9.9316821433603781E-14</v>
      </c>
      <c r="AK150" s="13">
        <f t="shared" si="143"/>
        <v>1.4932118279712753E-12</v>
      </c>
      <c r="AL150" s="20">
        <f t="shared" si="112"/>
        <v>2.7736540643801645E-12</v>
      </c>
      <c r="AM150" s="59">
        <f t="shared" si="113"/>
        <v>293.3333333333361</v>
      </c>
      <c r="AN150" s="59">
        <f ca="1">AVERAGE(OFFSET($AM$3,0,0,'Données projet'!$E$10+1,1))-AVERAGE(OFFSET($H$3,0,0,'Données projet'!$E$10+1,1))</f>
        <v>208.92731420103507</v>
      </c>
      <c r="AO150" s="59">
        <f t="shared" si="144"/>
        <v>247.96048911281395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10.620246095383726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10.620246095383726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-2.8421709430404007E-13</v>
      </c>
      <c r="BE150" s="13">
        <f>BD150*VLOOKUP('Données projet'!$B$11,Paramètres!$A$1:$I$89,3,0)*VLOOKUP('Données projet'!$B$11,Paramètres!$A$1:$I$89,5,0)</f>
        <v>-2.0838797354372215E-13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162.3892440844827</v>
      </c>
      <c r="BJ150" s="59">
        <f t="shared" si="146"/>
        <v>198.28846462484438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13.151384985146153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13.151384985146153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378.17323480030268</v>
      </c>
      <c r="T151" s="59">
        <f t="shared" si="142"/>
        <v>471.89239871617241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46.452425481075693</v>
      </c>
      <c r="AA151" s="21">
        <f>EXP(-LN(2)/25)*AA150+(1-EXP(-LN(2)/25))/(LN(2)/25)*Calculateur!V151*Calculateur!X151*VLOOKUP('Données projet'!$B$9,Paramètres!$A$1:$I$89,3,0)*0.475*44/12</f>
        <v>5.1069315154168509</v>
      </c>
      <c r="AB151" s="21">
        <f>EXP(-LN(2)/2)*AB150+(1-EXP(-LN(2)/2))/(LN(2)/2)*V151*Y151*VLOOKUP('Données projet'!$B$9,Paramètres!$A$1:$I$89,3,0)*0.475*44/12</f>
        <v>2.1988051631007492E-12</v>
      </c>
      <c r="AC151" s="22">
        <f t="shared" si="111"/>
        <v>51.559356996494742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9.9316821433603781E-14</v>
      </c>
      <c r="AK151" s="13">
        <f t="shared" si="143"/>
        <v>1.4932118279712753E-12</v>
      </c>
      <c r="AL151" s="20">
        <f t="shared" si="112"/>
        <v>2.7736540643801645E-12</v>
      </c>
      <c r="AM151" s="59">
        <f t="shared" si="113"/>
        <v>293.3333333333361</v>
      </c>
      <c r="AN151" s="59">
        <f ca="1">AVERAGE(OFFSET($AM$3,0,0,'Données projet'!$E$10+1,1))-AVERAGE(OFFSET($H$3,0,0,'Données projet'!$E$10+1,1))</f>
        <v>208.92731420103507</v>
      </c>
      <c r="AO151" s="59">
        <f t="shared" si="144"/>
        <v>247.96048911281395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10.411989547163747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10.411989547163747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-2.8421709430404007E-13</v>
      </c>
      <c r="BE151" s="13">
        <f>BD151*VLOOKUP('Données projet'!$B$11,Paramètres!$A$1:$I$89,3,0)*VLOOKUP('Données projet'!$B$11,Paramètres!$A$1:$I$89,5,0)</f>
        <v>-2.0838797354372215E-13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162.3892440844827</v>
      </c>
      <c r="BJ151" s="59">
        <f t="shared" si="146"/>
        <v>198.28846462484438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12.893494347140216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12.893494347140216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378.17323480030268</v>
      </c>
      <c r="T152" s="59">
        <f t="shared" si="142"/>
        <v>471.89239871617241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45.541521750573672</v>
      </c>
      <c r="AA152" s="21">
        <f>EXP(-LN(2)/25)*AA151+(1-EXP(-LN(2)/25))/(LN(2)/25)*Calculateur!V152*Calculateur!X152*VLOOKUP('Données projet'!$B$9,Paramètres!$A$1:$I$89,3,0)*0.475*44/12</f>
        <v>4.9672822045659206</v>
      </c>
      <c r="AB152" s="21">
        <f>EXP(-LN(2)/2)*AB151+(1-EXP(-LN(2)/2))/(LN(2)/2)*V152*Y152*VLOOKUP('Données projet'!$B$9,Paramètres!$A$1:$I$89,3,0)*0.475*44/12</f>
        <v>1.5547900413365324E-12</v>
      </c>
      <c r="AC152" s="22">
        <f t="shared" si="111"/>
        <v>50.508803955141147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9.9316821433603781E-14</v>
      </c>
      <c r="AK152" s="13">
        <f t="shared" si="143"/>
        <v>1.4932118279712753E-12</v>
      </c>
      <c r="AL152" s="20">
        <f t="shared" si="112"/>
        <v>2.7736540643801645E-12</v>
      </c>
      <c r="AM152" s="59">
        <f t="shared" si="113"/>
        <v>293.3333333333361</v>
      </c>
      <c r="AN152" s="59">
        <f ca="1">AVERAGE(OFFSET($AM$3,0,0,'Données projet'!$E$10+1,1))-AVERAGE(OFFSET($H$3,0,0,'Données projet'!$E$10+1,1))</f>
        <v>208.92731420103507</v>
      </c>
      <c r="AO152" s="59">
        <f t="shared" si="144"/>
        <v>247.96048911281395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10.207816782830411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10.207816782830411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-2.8421709430404007E-13</v>
      </c>
      <c r="BE152" s="13">
        <f>BD152*VLOOKUP('Données projet'!$B$11,Paramètres!$A$1:$I$89,3,0)*VLOOKUP('Données projet'!$B$11,Paramètres!$A$1:$I$89,5,0)</f>
        <v>-2.0838797354372215E-13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162.3892440844827</v>
      </c>
      <c r="BJ152" s="59">
        <f t="shared" si="146"/>
        <v>198.28846462484438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12.640660787247818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12.640660787247818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378.17323480030268</v>
      </c>
      <c r="T153" s="59">
        <f t="shared" si="142"/>
        <v>471.89239871617241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44.648480286630381</v>
      </c>
      <c r="AA153" s="21">
        <f>EXP(-LN(2)/25)*AA152+(1-EXP(-LN(2)/25))/(LN(2)/25)*Calculateur!V153*Calculateur!X153*VLOOKUP('Données projet'!$B$9,Paramètres!$A$1:$I$89,3,0)*0.475*44/12</f>
        <v>4.8314516114640469</v>
      </c>
      <c r="AB153" s="21">
        <f>EXP(-LN(2)/2)*AB152+(1-EXP(-LN(2)/2))/(LN(2)/2)*V153*Y153*VLOOKUP('Données projet'!$B$9,Paramètres!$A$1:$I$89,3,0)*0.475*44/12</f>
        <v>1.0994025815503746E-12</v>
      </c>
      <c r="AC153" s="22">
        <f t="shared" si="111"/>
        <v>49.479931898095529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9.9316821433603781E-14</v>
      </c>
      <c r="AK153" s="13">
        <f t="shared" si="143"/>
        <v>1.4932118279712753E-12</v>
      </c>
      <c r="AL153" s="20">
        <f t="shared" si="112"/>
        <v>2.7736540643801645E-12</v>
      </c>
      <c r="AM153" s="59">
        <f t="shared" si="113"/>
        <v>293.3333333333361</v>
      </c>
      <c r="AN153" s="59">
        <f ca="1">AVERAGE(OFFSET($AM$3,0,0,'Données projet'!$E$10+1,1))-AVERAGE(OFFSET($H$3,0,0,'Données projet'!$E$10+1,1))</f>
        <v>208.92731420103507</v>
      </c>
      <c r="AO153" s="59">
        <f t="shared" si="144"/>
        <v>247.96048911281395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10.007647721872562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10.007647721872562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-2.8421709430404007E-13</v>
      </c>
      <c r="BE153" s="13">
        <f>BD153*VLOOKUP('Données projet'!$B$11,Paramètres!$A$1:$I$89,3,0)*VLOOKUP('Données projet'!$B$11,Paramètres!$A$1:$I$89,5,0)</f>
        <v>-2.0838797354372215E-13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162.3892440844827</v>
      </c>
      <c r="BJ153" s="59">
        <f t="shared" si="146"/>
        <v>198.28846462484438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12.392785139251664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12.392785139251664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378.17323480030268</v>
      </c>
      <c r="T154" s="59">
        <f t="shared" si="142"/>
        <v>471.89239871617241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43.772950821093509</v>
      </c>
      <c r="AA154" s="21">
        <f>EXP(-LN(2)/25)*AA153+(1-EXP(-LN(2)/25))/(LN(2)/25)*Calculateur!V154*Calculateur!X154*VLOOKUP('Données projet'!$B$9,Paramètres!$A$1:$I$89,3,0)*0.475*44/12</f>
        <v>4.6993353130735649</v>
      </c>
      <c r="AB154" s="21">
        <f>EXP(-LN(2)/2)*AB153+(1-EXP(-LN(2)/2))/(LN(2)/2)*V154*Y154*VLOOKUP('Données projet'!$B$9,Paramètres!$A$1:$I$89,3,0)*0.475*44/12</f>
        <v>7.7739502066826622E-13</v>
      </c>
      <c r="AC154" s="22">
        <f t="shared" ref="AC154:AC203" si="163">SUM(Z154:AB154)</f>
        <v>48.472286134167852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9.9316821433603781E-14</v>
      </c>
      <c r="AK154" s="13">
        <f t="shared" ref="AK154:AK203" si="164">EXP(-1.0587+0.8836*LN(AJ154)+0.284)</f>
        <v>1.4932118279712753E-12</v>
      </c>
      <c r="AL154" s="20">
        <f t="shared" ref="AL154:AL203" si="165">(AJ154+AK154)*0.475*44/12</f>
        <v>2.7736540643801645E-12</v>
      </c>
      <c r="AM154" s="59">
        <f t="shared" si="113"/>
        <v>293.3333333333361</v>
      </c>
      <c r="AN154" s="59">
        <f ca="1">AVERAGE(OFFSET($AM$3,0,0,'Données projet'!$E$10+1,1))-AVERAGE(OFFSET($H$3,0,0,'Données projet'!$E$10+1,1))</f>
        <v>208.92731420103507</v>
      </c>
      <c r="AO154" s="59">
        <f t="shared" si="144"/>
        <v>247.96048911281395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9.8114038541090256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9.8114038541090256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-2.8421709430404007E-13</v>
      </c>
      <c r="BE154" s="13">
        <f>BD154*VLOOKUP('Données projet'!$B$11,Paramètres!$A$1:$I$89,3,0)*VLOOKUP('Données projet'!$B$11,Paramètres!$A$1:$I$89,5,0)</f>
        <v>-2.0838797354372215E-13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162.3892440844827</v>
      </c>
      <c r="BJ154" s="59">
        <f t="shared" si="146"/>
        <v>198.28846462484438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12.149770181523499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12.149770181523499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378.17323480030268</v>
      </c>
      <c r="T155" s="59">
        <f t="shared" si="142"/>
        <v>471.89239871617241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42.91458995435557</v>
      </c>
      <c r="AA155" s="21">
        <f>EXP(-LN(2)/25)*AA154+(1-EXP(-LN(2)/25))/(LN(2)/25)*Calculateur!V155*Calculateur!X155*VLOOKUP('Données projet'!$B$9,Paramètres!$A$1:$I$89,3,0)*0.475*44/12</f>
        <v>4.5708317418102649</v>
      </c>
      <c r="AB155" s="21">
        <f>EXP(-LN(2)/2)*AB154+(1-EXP(-LN(2)/2))/(LN(2)/2)*V155*Y155*VLOOKUP('Données projet'!$B$9,Paramètres!$A$1:$I$89,3,0)*0.475*44/12</f>
        <v>5.4970129077518731E-13</v>
      </c>
      <c r="AC155" s="22">
        <f t="shared" si="163"/>
        <v>47.485421696166384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9.9316821433603781E-14</v>
      </c>
      <c r="AK155" s="13">
        <f t="shared" si="164"/>
        <v>1.4932118279712753E-12</v>
      </c>
      <c r="AL155" s="20">
        <f t="shared" si="165"/>
        <v>2.7736540643801645E-12</v>
      </c>
      <c r="AM155" s="59">
        <f t="shared" si="113"/>
        <v>293.3333333333361</v>
      </c>
      <c r="AN155" s="59">
        <f ca="1">AVERAGE(OFFSET($AM$3,0,0,'Données projet'!$E$10+1,1))-AVERAGE(OFFSET($H$3,0,0,'Données projet'!$E$10+1,1))</f>
        <v>208.92731420103507</v>
      </c>
      <c r="AO155" s="59">
        <f t="shared" si="144"/>
        <v>247.96048911281395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9.6190082088953908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9.6190082088953908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-2.8421709430404007E-13</v>
      </c>
      <c r="BE155" s="13">
        <f>BD155*VLOOKUP('Données projet'!$B$11,Paramètres!$A$1:$I$89,3,0)*VLOOKUP('Données projet'!$B$11,Paramètres!$A$1:$I$89,5,0)</f>
        <v>-2.0838797354372215E-13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162.3892440844827</v>
      </c>
      <c r="BJ155" s="59">
        <f t="shared" si="146"/>
        <v>198.28846462484438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11.911520598891896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11.911520598891896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378.17323480030268</v>
      </c>
      <c r="T156" s="59">
        <f t="shared" si="142"/>
        <v>471.89239871617241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42.073061020665932</v>
      </c>
      <c r="AA156" s="21">
        <f>EXP(-LN(2)/25)*AA155+(1-EXP(-LN(2)/25))/(LN(2)/25)*Calculateur!V156*Calculateur!X156*VLOOKUP('Données projet'!$B$9,Paramètres!$A$1:$I$89,3,0)*0.475*44/12</f>
        <v>4.4458421074608685</v>
      </c>
      <c r="AB156" s="21">
        <f>EXP(-LN(2)/2)*AB155+(1-EXP(-LN(2)/2))/(LN(2)/2)*V156*Y156*VLOOKUP('Données projet'!$B$9,Paramètres!$A$1:$I$89,3,0)*0.475*44/12</f>
        <v>3.8869751033413311E-13</v>
      </c>
      <c r="AC156" s="22">
        <f t="shared" si="163"/>
        <v>46.518903128127192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9.9316821433603781E-14</v>
      </c>
      <c r="AK156" s="13">
        <f t="shared" si="164"/>
        <v>1.4932118279712753E-12</v>
      </c>
      <c r="AL156" s="20">
        <f t="shared" si="165"/>
        <v>2.7736540643801645E-12</v>
      </c>
      <c r="AM156" s="59">
        <f t="shared" si="113"/>
        <v>293.3333333333361</v>
      </c>
      <c r="AN156" s="59">
        <f ca="1">AVERAGE(OFFSET($AM$3,0,0,'Données projet'!$E$10+1,1))-AVERAGE(OFFSET($H$3,0,0,'Données projet'!$E$10+1,1))</f>
        <v>208.92731420103507</v>
      </c>
      <c r="AO156" s="59">
        <f t="shared" si="144"/>
        <v>247.96048911281395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9.4303853249346403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9.4303853249346403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-2.8421709430404007E-13</v>
      </c>
      <c r="BE156" s="13">
        <f>BD156*VLOOKUP('Données projet'!$B$11,Paramètres!$A$1:$I$89,3,0)*VLOOKUP('Données projet'!$B$11,Paramètres!$A$1:$I$89,5,0)</f>
        <v>-2.0838797354372215E-13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162.3892440844827</v>
      </c>
      <c r="BJ156" s="59">
        <f t="shared" si="146"/>
        <v>198.28846462484438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11.677942945257801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11.677942945257801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378.17323480030268</v>
      </c>
      <c r="T157" s="59">
        <f t="shared" si="142"/>
        <v>471.89239871617241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41.248033956083979</v>
      </c>
      <c r="AA157" s="21">
        <f>EXP(-LN(2)/25)*AA156+(1-EXP(-LN(2)/25))/(LN(2)/25)*Calculateur!V157*Calculateur!X157*VLOOKUP('Données projet'!$B$9,Paramètres!$A$1:$I$89,3,0)*0.475*44/12</f>
        <v>4.3242703212356757</v>
      </c>
      <c r="AB157" s="21">
        <f>EXP(-LN(2)/2)*AB156+(1-EXP(-LN(2)/2))/(LN(2)/2)*V157*Y157*VLOOKUP('Données projet'!$B$9,Paramètres!$A$1:$I$89,3,0)*0.475*44/12</f>
        <v>2.7485064538759366E-13</v>
      </c>
      <c r="AC157" s="22">
        <f t="shared" si="163"/>
        <v>45.57230427731993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9.9316821433603781E-14</v>
      </c>
      <c r="AK157" s="13">
        <f t="shared" si="164"/>
        <v>1.4932118279712753E-12</v>
      </c>
      <c r="AL157" s="20">
        <f t="shared" si="165"/>
        <v>2.7736540643801645E-12</v>
      </c>
      <c r="AM157" s="59">
        <f t="shared" si="113"/>
        <v>293.3333333333361</v>
      </c>
      <c r="AN157" s="59">
        <f ca="1">AVERAGE(OFFSET($AM$3,0,0,'Données projet'!$E$10+1,1))-AVERAGE(OFFSET($H$3,0,0,'Données projet'!$E$10+1,1))</f>
        <v>208.92731420103507</v>
      </c>
      <c r="AO157" s="59">
        <f t="shared" si="144"/>
        <v>247.96048911281395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9.2454612206797613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9.2454612206797613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-2.8421709430404007E-13</v>
      </c>
      <c r="BE157" s="13">
        <f>BD157*VLOOKUP('Données projet'!$B$11,Paramètres!$A$1:$I$89,3,0)*VLOOKUP('Données projet'!$B$11,Paramètres!$A$1:$I$89,5,0)</f>
        <v>-2.0838797354372215E-13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162.3892440844827</v>
      </c>
      <c r="BJ157" s="59">
        <f t="shared" si="146"/>
        <v>198.28846462484438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11.44894560694317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11.44894560694317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378.17323480030268</v>
      </c>
      <c r="T158" s="59">
        <f t="shared" si="142"/>
        <v>471.89239871617241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40.439185169021663</v>
      </c>
      <c r="AA158" s="21">
        <f>EXP(-LN(2)/25)*AA157+(1-EXP(-LN(2)/25))/(LN(2)/25)*Calculateur!V158*Calculateur!X158*VLOOKUP('Données projet'!$B$9,Paramètres!$A$1:$I$89,3,0)*0.475*44/12</f>
        <v>4.2060229218979934</v>
      </c>
      <c r="AB158" s="21">
        <f>EXP(-LN(2)/2)*AB157+(1-EXP(-LN(2)/2))/(LN(2)/2)*V158*Y158*VLOOKUP('Données projet'!$B$9,Paramètres!$A$1:$I$89,3,0)*0.475*44/12</f>
        <v>1.9434875516706656E-13</v>
      </c>
      <c r="AC158" s="22">
        <f t="shared" si="163"/>
        <v>44.645208090919844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9.9316821433603781E-14</v>
      </c>
      <c r="AK158" s="13">
        <f t="shared" si="164"/>
        <v>1.4932118279712753E-12</v>
      </c>
      <c r="AL158" s="20">
        <f t="shared" si="165"/>
        <v>2.7736540643801645E-12</v>
      </c>
      <c r="AM158" s="59">
        <f t="shared" si="113"/>
        <v>293.3333333333361</v>
      </c>
      <c r="AN158" s="59">
        <f ca="1">AVERAGE(OFFSET($AM$3,0,0,'Données projet'!$E$10+1,1))-AVERAGE(OFFSET($H$3,0,0,'Données projet'!$E$10+1,1))</f>
        <v>208.92731420103507</v>
      </c>
      <c r="AO158" s="59">
        <f t="shared" si="144"/>
        <v>247.96048911281395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9.0641633653167535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9.0641633653167535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-2.8421709430404007E-13</v>
      </c>
      <c r="BE158" s="13">
        <f>BD158*VLOOKUP('Données projet'!$B$11,Paramètres!$A$1:$I$89,3,0)*VLOOKUP('Données projet'!$B$11,Paramètres!$A$1:$I$89,5,0)</f>
        <v>-2.0838797354372215E-13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162.3892440844827</v>
      </c>
      <c r="BJ158" s="59">
        <f t="shared" si="146"/>
        <v>198.28846462484438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11.224438766758304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11.224438766758304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378.17323480030268</v>
      </c>
      <c r="T159" s="59">
        <f t="shared" si="142"/>
        <v>471.89239871617241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39.646197413324586</v>
      </c>
      <c r="AA159" s="21">
        <f>EXP(-LN(2)/25)*AA158+(1-EXP(-LN(2)/25))/(LN(2)/25)*Calculateur!V159*Calculateur!X159*VLOOKUP('Données projet'!$B$9,Paramètres!$A$1:$I$89,3,0)*0.475*44/12</f>
        <v>4.0910090039135607</v>
      </c>
      <c r="AB159" s="21">
        <f>EXP(-LN(2)/2)*AB158+(1-EXP(-LN(2)/2))/(LN(2)/2)*V159*Y159*VLOOKUP('Données projet'!$B$9,Paramètres!$A$1:$I$89,3,0)*0.475*44/12</f>
        <v>1.3742532269379683E-13</v>
      </c>
      <c r="AC159" s="22">
        <f t="shared" si="163"/>
        <v>43.737206417238284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9.9316821433603781E-14</v>
      </c>
      <c r="AK159" s="13">
        <f t="shared" si="164"/>
        <v>1.4932118279712753E-12</v>
      </c>
      <c r="AL159" s="20">
        <f t="shared" si="165"/>
        <v>2.7736540643801645E-12</v>
      </c>
      <c r="AM159" s="59">
        <f t="shared" si="113"/>
        <v>293.3333333333361</v>
      </c>
      <c r="AN159" s="59">
        <f ca="1">AVERAGE(OFFSET($AM$3,0,0,'Données projet'!$E$10+1,1))-AVERAGE(OFFSET($H$3,0,0,'Données projet'!$E$10+1,1))</f>
        <v>208.92731420103507</v>
      </c>
      <c r="AO159" s="59">
        <f t="shared" si="144"/>
        <v>247.96048911281395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8.8864206503166407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8.8864206503166407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-2.8421709430404007E-13</v>
      </c>
      <c r="BE159" s="13">
        <f>BD159*VLOOKUP('Données projet'!$B$11,Paramètres!$A$1:$I$89,3,0)*VLOOKUP('Données projet'!$B$11,Paramètres!$A$1:$I$89,5,0)</f>
        <v>-2.0838797354372215E-13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162.3892440844827</v>
      </c>
      <c r="BJ159" s="59">
        <f t="shared" si="146"/>
        <v>198.28846462484438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11.004334368773812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11.004334368773812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378.17323480030268</v>
      </c>
      <c r="T160" s="59">
        <f t="shared" si="142"/>
        <v>471.89239871617241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38.868759663841956</v>
      </c>
      <c r="AA160" s="21">
        <f>EXP(-LN(2)/25)*AA159+(1-EXP(-LN(2)/25))/(LN(2)/25)*Calculateur!V160*Calculateur!X160*VLOOKUP('Données projet'!$B$9,Paramètres!$A$1:$I$89,3,0)*0.475*44/12</f>
        <v>3.9791401475647308</v>
      </c>
      <c r="AB160" s="21">
        <f>EXP(-LN(2)/2)*AB159+(1-EXP(-LN(2)/2))/(LN(2)/2)*V160*Y160*VLOOKUP('Données projet'!$B$9,Paramètres!$A$1:$I$89,3,0)*0.475*44/12</f>
        <v>9.7174377583533278E-14</v>
      </c>
      <c r="AC160" s="22">
        <f t="shared" si="163"/>
        <v>42.847899811406783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9.9316821433603781E-14</v>
      </c>
      <c r="AK160" s="13">
        <f t="shared" si="164"/>
        <v>1.4932118279712753E-12</v>
      </c>
      <c r="AL160" s="20">
        <f t="shared" si="165"/>
        <v>2.7736540643801645E-12</v>
      </c>
      <c r="AM160" s="59">
        <f t="shared" si="113"/>
        <v>293.3333333333361</v>
      </c>
      <c r="AN160" s="59">
        <f ca="1">AVERAGE(OFFSET($AM$3,0,0,'Données projet'!$E$10+1,1))-AVERAGE(OFFSET($H$3,0,0,'Données projet'!$E$10+1,1))</f>
        <v>208.92731420103507</v>
      </c>
      <c r="AO160" s="59">
        <f t="shared" si="144"/>
        <v>247.96048911281395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8.7121633615453291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8.7121633615453291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-2.8421709430404007E-13</v>
      </c>
      <c r="BE160" s="13">
        <f>BD160*VLOOKUP('Données projet'!$B$11,Paramètres!$A$1:$I$89,3,0)*VLOOKUP('Données projet'!$B$11,Paramètres!$A$1:$I$89,5,0)</f>
        <v>-2.0838797354372215E-13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162.3892440844827</v>
      </c>
      <c r="BJ160" s="59">
        <f t="shared" si="146"/>
        <v>198.28846462484438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10.78854608378337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10.78854608378337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378.17323480030268</v>
      </c>
      <c r="T161" s="59">
        <f t="shared" si="142"/>
        <v>471.89239871617241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38.106566994436477</v>
      </c>
      <c r="AA161" s="21">
        <f>EXP(-LN(2)/25)*AA160+(1-EXP(-LN(2)/25))/(LN(2)/25)*Calculateur!V161*Calculateur!X161*VLOOKUP('Données projet'!$B$9,Paramètres!$A$1:$I$89,3,0)*0.475*44/12</f>
        <v>3.8703303509756872</v>
      </c>
      <c r="AB161" s="21">
        <f>EXP(-LN(2)/2)*AB160+(1-EXP(-LN(2)/2))/(LN(2)/2)*V161*Y161*VLOOKUP('Données projet'!$B$9,Paramètres!$A$1:$I$89,3,0)*0.475*44/12</f>
        <v>6.8712661346898414E-14</v>
      </c>
      <c r="AC161" s="22">
        <f t="shared" si="163"/>
        <v>41.976897345412233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9.9316821433603781E-14</v>
      </c>
      <c r="AK161" s="13">
        <f t="shared" si="164"/>
        <v>1.4932118279712753E-12</v>
      </c>
      <c r="AL161" s="20">
        <f t="shared" si="165"/>
        <v>2.7736540643801645E-12</v>
      </c>
      <c r="AM161" s="59">
        <f t="shared" si="113"/>
        <v>293.3333333333361</v>
      </c>
      <c r="AN161" s="59">
        <f ca="1">AVERAGE(OFFSET($AM$3,0,0,'Données projet'!$E$10+1,1))-AVERAGE(OFFSET($H$3,0,0,'Données projet'!$E$10+1,1))</f>
        <v>208.92731420103507</v>
      </c>
      <c r="AO161" s="59">
        <f t="shared" si="144"/>
        <v>247.96048911281395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8.5413231519203716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8.5413231519203716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-2.8421709430404007E-13</v>
      </c>
      <c r="BE161" s="13">
        <f>BD161*VLOOKUP('Données projet'!$B$11,Paramètres!$A$1:$I$89,3,0)*VLOOKUP('Données projet'!$B$11,Paramètres!$A$1:$I$89,5,0)</f>
        <v>-2.0838797354372215E-13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162.3892440844827</v>
      </c>
      <c r="BJ161" s="59">
        <f t="shared" si="146"/>
        <v>198.28846462484438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10.576989275443733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10.576989275443733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378.17323480030268</v>
      </c>
      <c r="T162" s="59">
        <f t="shared" si="142"/>
        <v>471.89239871617241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37.359320458386421</v>
      </c>
      <c r="AA162" s="21">
        <f>EXP(-LN(2)/25)*AA161+(1-EXP(-LN(2)/25))/(LN(2)/25)*Calculateur!V162*Calculateur!X162*VLOOKUP('Données projet'!$B$9,Paramètres!$A$1:$I$89,3,0)*0.475*44/12</f>
        <v>3.7644959639964295</v>
      </c>
      <c r="AB162" s="21">
        <f>EXP(-LN(2)/2)*AB161+(1-EXP(-LN(2)/2))/(LN(2)/2)*V162*Y162*VLOOKUP('Données projet'!$B$9,Paramètres!$A$1:$I$89,3,0)*0.475*44/12</f>
        <v>4.8587188791766639E-14</v>
      </c>
      <c r="AC162" s="22">
        <f t="shared" si="163"/>
        <v>41.123816422382902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9.9316821433603781E-14</v>
      </c>
      <c r="AK162" s="13">
        <f t="shared" si="164"/>
        <v>1.4932118279712753E-12</v>
      </c>
      <c r="AL162" s="20">
        <f t="shared" si="165"/>
        <v>2.7736540643801645E-12</v>
      </c>
      <c r="AM162" s="59">
        <f t="shared" si="113"/>
        <v>293.3333333333361</v>
      </c>
      <c r="AN162" s="59">
        <f ca="1">AVERAGE(OFFSET($AM$3,0,0,'Données projet'!$E$10+1,1))-AVERAGE(OFFSET($H$3,0,0,'Données projet'!$E$10+1,1))</f>
        <v>208.92731420103507</v>
      </c>
      <c r="AO162" s="59">
        <f t="shared" si="144"/>
        <v>247.96048911281395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8.373833014603921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8.373833014603921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-2.8421709430404007E-13</v>
      </c>
      <c r="BE162" s="13">
        <f>BD162*VLOOKUP('Données projet'!$B$11,Paramètres!$A$1:$I$89,3,0)*VLOOKUP('Données projet'!$B$11,Paramètres!$A$1:$I$89,5,0)</f>
        <v>-2.0838797354372215E-13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162.3892440844827</v>
      </c>
      <c r="BJ162" s="59">
        <f t="shared" si="146"/>
        <v>198.28846462484438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10.369580967078724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10.369580967078724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378.17323480030268</v>
      </c>
      <c r="T163" s="59">
        <f t="shared" si="142"/>
        <v>471.89239871617241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36.626726971132918</v>
      </c>
      <c r="AA163" s="21">
        <f>EXP(-LN(2)/25)*AA162+(1-EXP(-LN(2)/25))/(LN(2)/25)*Calculateur!V163*Calculateur!X163*VLOOKUP('Données projet'!$B$9,Paramètres!$A$1:$I$89,3,0)*0.475*44/12</f>
        <v>3.6615556238947082</v>
      </c>
      <c r="AB163" s="21">
        <f>EXP(-LN(2)/2)*AB162+(1-EXP(-LN(2)/2))/(LN(2)/2)*V163*Y163*VLOOKUP('Données projet'!$B$9,Paramètres!$A$1:$I$89,3,0)*0.475*44/12</f>
        <v>3.4356330673449207E-14</v>
      </c>
      <c r="AC163" s="22">
        <f t="shared" si="163"/>
        <v>40.28828259502766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9.9316821433603781E-14</v>
      </c>
      <c r="AK163" s="13">
        <f t="shared" si="164"/>
        <v>1.4932118279712753E-12</v>
      </c>
      <c r="AL163" s="20">
        <f t="shared" si="165"/>
        <v>2.7736540643801645E-12</v>
      </c>
      <c r="AM163" s="59">
        <f t="shared" si="113"/>
        <v>293.3333333333361</v>
      </c>
      <c r="AN163" s="59">
        <f ca="1">AVERAGE(OFFSET($AM$3,0,0,'Données projet'!$E$10+1,1))-AVERAGE(OFFSET($H$3,0,0,'Données projet'!$E$10+1,1))</f>
        <v>208.92731420103507</v>
      </c>
      <c r="AO163" s="59">
        <f t="shared" si="144"/>
        <v>247.96048911281395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8.2096272567213493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8.2096272567213493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-2.8421709430404007E-13</v>
      </c>
      <c r="BE163" s="13">
        <f>BD163*VLOOKUP('Données projet'!$B$11,Paramètres!$A$1:$I$89,3,0)*VLOOKUP('Données projet'!$B$11,Paramètres!$A$1:$I$89,5,0)</f>
        <v>-2.0838797354372215E-13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162.3892440844827</v>
      </c>
      <c r="BJ163" s="59">
        <f t="shared" si="146"/>
        <v>198.28846462484438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10.166239809134176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10.166239809134176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378.17323480030268</v>
      </c>
      <c r="T164" s="59">
        <f t="shared" si="142"/>
        <v>471.89239871617241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35.908499195326556</v>
      </c>
      <c r="AA164" s="21">
        <f>EXP(-LN(2)/25)*AA163+(1-EXP(-LN(2)/25))/(LN(2)/25)*Calculateur!V164*Calculateur!X164*VLOOKUP('Données projet'!$B$9,Paramètres!$A$1:$I$89,3,0)*0.475*44/12</f>
        <v>3.5614301928064656</v>
      </c>
      <c r="AB164" s="21">
        <f>EXP(-LN(2)/2)*AB163+(1-EXP(-LN(2)/2))/(LN(2)/2)*V164*Y164*VLOOKUP('Données projet'!$B$9,Paramètres!$A$1:$I$89,3,0)*0.475*44/12</f>
        <v>2.4293594395883319E-14</v>
      </c>
      <c r="AC164" s="22">
        <f t="shared" si="163"/>
        <v>39.469929388133046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9.9316821433603781E-14</v>
      </c>
      <c r="AK164" s="13">
        <f t="shared" si="164"/>
        <v>1.4932118279712753E-12</v>
      </c>
      <c r="AL164" s="20">
        <f t="shared" si="165"/>
        <v>2.7736540643801645E-12</v>
      </c>
      <c r="AM164" s="59">
        <f t="shared" si="113"/>
        <v>293.3333333333361</v>
      </c>
      <c r="AN164" s="59">
        <f ca="1">AVERAGE(OFFSET($AM$3,0,0,'Données projet'!$E$10+1,1))-AVERAGE(OFFSET($H$3,0,0,'Données projet'!$E$10+1,1))</f>
        <v>208.92731420103507</v>
      </c>
      <c r="AO164" s="59">
        <f t="shared" si="144"/>
        <v>247.96048911281395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8.0486414735952323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8.0486414735952323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-2.8421709430404007E-13</v>
      </c>
      <c r="BE164" s="13">
        <f>BD164*VLOOKUP('Données projet'!$B$11,Paramètres!$A$1:$I$89,3,0)*VLOOKUP('Données projet'!$B$11,Paramètres!$A$1:$I$89,5,0)</f>
        <v>-2.0838797354372215E-13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162.3892440844827</v>
      </c>
      <c r="BJ164" s="59">
        <f t="shared" si="146"/>
        <v>198.28846462484438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9.9668860472710605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9.9668860472710605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378.17323480030268</v>
      </c>
      <c r="T165" s="59">
        <f t="shared" si="142"/>
        <v>471.89239871617241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35.204355428128068</v>
      </c>
      <c r="AA165" s="21">
        <f>EXP(-LN(2)/25)*AA164+(1-EXP(-LN(2)/25))/(LN(2)/25)*Calculateur!V165*Calculateur!X165*VLOOKUP('Données projet'!$B$9,Paramètres!$A$1:$I$89,3,0)*0.475*44/12</f>
        <v>3.4640426968966986</v>
      </c>
      <c r="AB165" s="21">
        <f>EXP(-LN(2)/2)*AB164+(1-EXP(-LN(2)/2))/(LN(2)/2)*V165*Y165*VLOOKUP('Données projet'!$B$9,Paramètres!$A$1:$I$89,3,0)*0.475*44/12</f>
        <v>1.7178165336724603E-14</v>
      </c>
      <c r="AC165" s="22">
        <f t="shared" si="163"/>
        <v>38.66839812502478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9.9316821433603781E-14</v>
      </c>
      <c r="AK165" s="13">
        <f t="shared" si="164"/>
        <v>1.4932118279712753E-12</v>
      </c>
      <c r="AL165" s="20">
        <f t="shared" si="165"/>
        <v>2.7736540643801645E-12</v>
      </c>
      <c r="AM165" s="59">
        <f t="shared" si="113"/>
        <v>293.3333333333361</v>
      </c>
      <c r="AN165" s="59">
        <f ca="1">AVERAGE(OFFSET($AM$3,0,0,'Données projet'!$E$10+1,1))-AVERAGE(OFFSET($H$3,0,0,'Données projet'!$E$10+1,1))</f>
        <v>208.92731420103507</v>
      </c>
      <c r="AO165" s="59">
        <f t="shared" si="144"/>
        <v>247.96048911281395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7.8908125234845867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7.8908125234845867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-2.8421709430404007E-13</v>
      </c>
      <c r="BE165" s="13">
        <f>BD165*VLOOKUP('Données projet'!$B$11,Paramètres!$A$1:$I$89,3,0)*VLOOKUP('Données projet'!$B$11,Paramètres!$A$1:$I$89,5,0)</f>
        <v>-2.0838797354372215E-13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162.3892440844827</v>
      </c>
      <c r="BJ165" s="59">
        <f t="shared" si="146"/>
        <v>198.28846462484438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9.7714414910842926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9.7714414910842926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378.17323480030268</v>
      </c>
      <c r="T166" s="59">
        <f t="shared" si="142"/>
        <v>471.89239871617241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34.514019490719051</v>
      </c>
      <c r="AA166" s="21">
        <f>EXP(-LN(2)/25)*AA165+(1-EXP(-LN(2)/25))/(LN(2)/25)*Calculateur!V166*Calculateur!X166*VLOOKUP('Données projet'!$B$9,Paramètres!$A$1:$I$89,3,0)*0.475*44/12</f>
        <v>3.3693182671839703</v>
      </c>
      <c r="AB166" s="21">
        <f>EXP(-LN(2)/2)*AB165+(1-EXP(-LN(2)/2))/(LN(2)/2)*V166*Y166*VLOOKUP('Données projet'!$B$9,Paramètres!$A$1:$I$89,3,0)*0.475*44/12</f>
        <v>1.214679719794166E-14</v>
      </c>
      <c r="AC166" s="22">
        <f t="shared" si="163"/>
        <v>37.883337757903035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9.9316821433603781E-14</v>
      </c>
      <c r="AK166" s="13">
        <f t="shared" si="164"/>
        <v>1.4932118279712753E-12</v>
      </c>
      <c r="AL166" s="20">
        <f t="shared" si="165"/>
        <v>2.7736540643801645E-12</v>
      </c>
      <c r="AM166" s="59">
        <f t="shared" si="113"/>
        <v>293.3333333333361</v>
      </c>
      <c r="AN166" s="59">
        <f ca="1">AVERAGE(OFFSET($AM$3,0,0,'Données projet'!$E$10+1,1))-AVERAGE(OFFSET($H$3,0,0,'Données projet'!$E$10+1,1))</f>
        <v>208.92731420103507</v>
      </c>
      <c r="AO166" s="59">
        <f t="shared" si="144"/>
        <v>247.96048911281395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7.7360785028194572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7.7360785028194572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-2.8421709430404007E-13</v>
      </c>
      <c r="BE166" s="13">
        <f>BD166*VLOOKUP('Données projet'!$B$11,Paramètres!$A$1:$I$89,3,0)*VLOOKUP('Données projet'!$B$11,Paramètres!$A$1:$I$89,5,0)</f>
        <v>-2.0838797354372215E-13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162.3892440844827</v>
      </c>
      <c r="BJ166" s="59">
        <f t="shared" si="146"/>
        <v>198.28846462484438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9.5798294834349385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9.5798294834349385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378.17323480030268</v>
      </c>
      <c r="T167" s="59">
        <f t="shared" si="142"/>
        <v>471.89239871617241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33.837220619979277</v>
      </c>
      <c r="AA167" s="21">
        <f>EXP(-LN(2)/25)*AA166+(1-EXP(-LN(2)/25))/(LN(2)/25)*Calculateur!V167*Calculateur!X167*VLOOKUP('Données projet'!$B$9,Paramètres!$A$1:$I$89,3,0)*0.475*44/12</f>
        <v>3.2771840819830778</v>
      </c>
      <c r="AB167" s="21">
        <f>EXP(-LN(2)/2)*AB166+(1-EXP(-LN(2)/2))/(LN(2)/2)*V167*Y167*VLOOKUP('Données projet'!$B$9,Paramètres!$A$1:$I$89,3,0)*0.475*44/12</f>
        <v>8.5890826683623017E-15</v>
      </c>
      <c r="AC167" s="22">
        <f t="shared" si="163"/>
        <v>37.114404701962364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9.9316821433603781E-14</v>
      </c>
      <c r="AK167" s="13">
        <f t="shared" si="164"/>
        <v>1.4932118279712753E-12</v>
      </c>
      <c r="AL167" s="20">
        <f t="shared" si="165"/>
        <v>2.7736540643801645E-12</v>
      </c>
      <c r="AM167" s="59">
        <f t="shared" si="113"/>
        <v>293.3333333333361</v>
      </c>
      <c r="AN167" s="59">
        <f ca="1">AVERAGE(OFFSET($AM$3,0,0,'Données projet'!$E$10+1,1))-AVERAGE(OFFSET($H$3,0,0,'Données projet'!$E$10+1,1))</f>
        <v>208.92731420103507</v>
      </c>
      <c r="AO167" s="59">
        <f t="shared" si="144"/>
        <v>247.96048911281395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7.5843787219211372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7.5843787219211372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-2.8421709430404007E-13</v>
      </c>
      <c r="BE167" s="13">
        <f>BD167*VLOOKUP('Données projet'!$B$11,Paramètres!$A$1:$I$89,3,0)*VLOOKUP('Données projet'!$B$11,Paramètres!$A$1:$I$89,5,0)</f>
        <v>-2.0838797354372215E-13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162.3892440844827</v>
      </c>
      <c r="BJ167" s="59">
        <f t="shared" si="146"/>
        <v>198.28846462484438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9.3919748703838035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9.3919748703838035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378.17323480030268</v>
      </c>
      <c r="T168" s="59">
        <f t="shared" si="142"/>
        <v>471.89239871617241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33.173693362288162</v>
      </c>
      <c r="AA168" s="21">
        <f>EXP(-LN(2)/25)*AA167+(1-EXP(-LN(2)/25))/(LN(2)/25)*Calculateur!V168*Calculateur!X168*VLOOKUP('Données projet'!$B$9,Paramètres!$A$1:$I$89,3,0)*0.475*44/12</f>
        <v>3.1875693109216297</v>
      </c>
      <c r="AB168" s="21">
        <f>EXP(-LN(2)/2)*AB167+(1-EXP(-LN(2)/2))/(LN(2)/2)*V168*Y168*VLOOKUP('Données projet'!$B$9,Paramètres!$A$1:$I$89,3,0)*0.475*44/12</f>
        <v>6.0733985989708299E-15</v>
      </c>
      <c r="AC168" s="22">
        <f t="shared" si="163"/>
        <v>36.361262673209801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9.9316821433603781E-14</v>
      </c>
      <c r="AK168" s="13">
        <f t="shared" si="164"/>
        <v>1.4932118279712753E-12</v>
      </c>
      <c r="AL168" s="20">
        <f t="shared" si="165"/>
        <v>2.7736540643801645E-12</v>
      </c>
      <c r="AM168" s="59">
        <f t="shared" si="113"/>
        <v>293.3333333333361</v>
      </c>
      <c r="AN168" s="59">
        <f ca="1">AVERAGE(OFFSET($AM$3,0,0,'Données projet'!$E$10+1,1))-AVERAGE(OFFSET($H$3,0,0,'Données projet'!$E$10+1,1))</f>
        <v>208.92731420103507</v>
      </c>
      <c r="AO168" s="59">
        <f t="shared" si="144"/>
        <v>247.96048911281395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7.4356536811985032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7.4356536811985032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-2.8421709430404007E-13</v>
      </c>
      <c r="BE168" s="13">
        <f>BD168*VLOOKUP('Données projet'!$B$11,Paramètres!$A$1:$I$89,3,0)*VLOOKUP('Données projet'!$B$11,Paramètres!$A$1:$I$89,5,0)</f>
        <v>-2.0838797354372215E-13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162.3892440844827</v>
      </c>
      <c r="BJ168" s="59">
        <f t="shared" si="146"/>
        <v>198.28846462484438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9.2078039717146023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9.2078039717146023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378.17323480030268</v>
      </c>
      <c r="T169" s="59">
        <f t="shared" si="142"/>
        <v>471.89239871617241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32.523177469408708</v>
      </c>
      <c r="AA169" s="21">
        <f>EXP(-LN(2)/25)*AA168+(1-EXP(-LN(2)/25))/(LN(2)/25)*Calculateur!V169*Calculateur!X169*VLOOKUP('Données projet'!$B$9,Paramètres!$A$1:$I$89,3,0)*0.475*44/12</f>
        <v>3.1004050604874931</v>
      </c>
      <c r="AB169" s="21">
        <f>EXP(-LN(2)/2)*AB168+(1-EXP(-LN(2)/2))/(LN(2)/2)*V169*Y169*VLOOKUP('Données projet'!$B$9,Paramètres!$A$1:$I$89,3,0)*0.475*44/12</f>
        <v>4.2945413341811509E-15</v>
      </c>
      <c r="AC169" s="22">
        <f t="shared" si="163"/>
        <v>35.623582529896211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9.9316821433603781E-14</v>
      </c>
      <c r="AK169" s="13">
        <f t="shared" si="164"/>
        <v>1.4932118279712753E-12</v>
      </c>
      <c r="AL169" s="20">
        <f t="shared" si="165"/>
        <v>2.7736540643801645E-12</v>
      </c>
      <c r="AM169" s="59">
        <f t="shared" si="113"/>
        <v>293.3333333333361</v>
      </c>
      <c r="AN169" s="59">
        <f ca="1">AVERAGE(OFFSET($AM$3,0,0,'Données projet'!$E$10+1,1))-AVERAGE(OFFSET($H$3,0,0,'Données projet'!$E$10+1,1))</f>
        <v>208.92731420103507</v>
      </c>
      <c r="AO169" s="59">
        <f t="shared" si="144"/>
        <v>247.96048911281395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7.2898450478111227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7.2898450478111227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-2.8421709430404007E-13</v>
      </c>
      <c r="BE169" s="13">
        <f>BD169*VLOOKUP('Données projet'!$B$11,Paramètres!$A$1:$I$89,3,0)*VLOOKUP('Données projet'!$B$11,Paramètres!$A$1:$I$89,5,0)</f>
        <v>-2.0838797354372215E-13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162.3892440844827</v>
      </c>
      <c r="BJ169" s="59">
        <f t="shared" si="146"/>
        <v>198.28846462484438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9.0272445520351479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9.0272445520351479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378.17323480030268</v>
      </c>
      <c r="T170" s="59">
        <f t="shared" si="142"/>
        <v>471.89239871617241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31.885417796413101</v>
      </c>
      <c r="AA170" s="21">
        <f>EXP(-LN(2)/25)*AA169+(1-EXP(-LN(2)/25))/(LN(2)/25)*Calculateur!V170*Calculateur!X170*VLOOKUP('Données projet'!$B$9,Paramètres!$A$1:$I$89,3,0)*0.475*44/12</f>
        <v>3.0156243210652467</v>
      </c>
      <c r="AB170" s="21">
        <f>EXP(-LN(2)/2)*AB169+(1-EXP(-LN(2)/2))/(LN(2)/2)*V170*Y170*VLOOKUP('Données projet'!$B$9,Paramètres!$A$1:$I$89,3,0)*0.475*44/12</f>
        <v>3.0366992994854149E-15</v>
      </c>
      <c r="AC170" s="22">
        <f t="shared" si="163"/>
        <v>34.901042117478347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9.9316821433603781E-14</v>
      </c>
      <c r="AK170" s="13">
        <f t="shared" si="164"/>
        <v>1.4932118279712753E-12</v>
      </c>
      <c r="AL170" s="20">
        <f t="shared" si="165"/>
        <v>2.7736540643801645E-12</v>
      </c>
      <c r="AM170" s="59">
        <f t="shared" si="113"/>
        <v>293.3333333333361</v>
      </c>
      <c r="AN170" s="59">
        <f ca="1">AVERAGE(OFFSET($AM$3,0,0,'Données projet'!$E$10+1,1))-AVERAGE(OFFSET($H$3,0,0,'Données projet'!$E$10+1,1))</f>
        <v>208.92731420103507</v>
      </c>
      <c r="AO170" s="59">
        <f t="shared" si="144"/>
        <v>247.96048911281395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7.1468956327899837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7.1468956327899837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-2.8421709430404007E-13</v>
      </c>
      <c r="BE170" s="13">
        <f>BD170*VLOOKUP('Données projet'!$B$11,Paramètres!$A$1:$I$89,3,0)*VLOOKUP('Données projet'!$B$11,Paramètres!$A$1:$I$89,5,0)</f>
        <v>-2.0838797354372215E-13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162.3892440844827</v>
      </c>
      <c r="BJ170" s="59">
        <f t="shared" si="146"/>
        <v>198.28846462484438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8.8502257924452348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8.8502257924452348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378.17323480030268</v>
      </c>
      <c r="T171" s="59">
        <f t="shared" si="142"/>
        <v>471.89239871617241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31.260164201609946</v>
      </c>
      <c r="AA171" s="21">
        <f>EXP(-LN(2)/25)*AA170+(1-EXP(-LN(2)/25))/(LN(2)/25)*Calculateur!V171*Calculateur!X171*VLOOKUP('Données projet'!$B$9,Paramètres!$A$1:$I$89,3,0)*0.475*44/12</f>
        <v>2.9331619154209267</v>
      </c>
      <c r="AB171" s="21">
        <f>EXP(-LN(2)/2)*AB170+(1-EXP(-LN(2)/2))/(LN(2)/2)*V171*Y171*VLOOKUP('Données projet'!$B$9,Paramètres!$A$1:$I$89,3,0)*0.475*44/12</f>
        <v>2.1472706670905754E-15</v>
      </c>
      <c r="AC171" s="22">
        <f t="shared" si="163"/>
        <v>34.193326117030871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9.9316821433603781E-14</v>
      </c>
      <c r="AK171" s="13">
        <f t="shared" si="164"/>
        <v>1.4932118279712753E-12</v>
      </c>
      <c r="AL171" s="20">
        <f t="shared" si="165"/>
        <v>2.7736540643801645E-12</v>
      </c>
      <c r="AM171" s="59">
        <f t="shared" si="113"/>
        <v>293.3333333333361</v>
      </c>
      <c r="AN171" s="59">
        <f ca="1">AVERAGE(OFFSET($AM$3,0,0,'Données projet'!$E$10+1,1))-AVERAGE(OFFSET($H$3,0,0,'Données projet'!$E$10+1,1))</f>
        <v>208.92731420103507</v>
      </c>
      <c r="AO171" s="59">
        <f t="shared" si="144"/>
        <v>247.96048911281395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7.0067493686068749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7.0067493686068749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-2.8421709430404007E-13</v>
      </c>
      <c r="BE171" s="13">
        <f>BD171*VLOOKUP('Données projet'!$B$11,Paramètres!$A$1:$I$89,3,0)*VLOOKUP('Données projet'!$B$11,Paramètres!$A$1:$I$89,5,0)</f>
        <v>-2.0838797354372215E-13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162.3892440844827</v>
      </c>
      <c r="BJ171" s="59">
        <f t="shared" si="146"/>
        <v>198.28846462484438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8.6766782627600989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8.6766782627600989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378.17323480030268</v>
      </c>
      <c r="T172" s="59">
        <f t="shared" si="142"/>
        <v>471.89239871617241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30.647171448433845</v>
      </c>
      <c r="AA172" s="21">
        <f>EXP(-LN(2)/25)*AA171+(1-EXP(-LN(2)/25))/(LN(2)/25)*Calculateur!V172*Calculateur!X172*VLOOKUP('Données projet'!$B$9,Paramètres!$A$1:$I$89,3,0)*0.475*44/12</f>
        <v>2.8529544485954603</v>
      </c>
      <c r="AB172" s="21">
        <f>EXP(-LN(2)/2)*AB171+(1-EXP(-LN(2)/2))/(LN(2)/2)*V172*Y172*VLOOKUP('Données projet'!$B$9,Paramètres!$A$1:$I$89,3,0)*0.475*44/12</f>
        <v>1.5183496497427075E-15</v>
      </c>
      <c r="AC172" s="22">
        <f t="shared" si="163"/>
        <v>33.500125897029307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9.9316821433603781E-14</v>
      </c>
      <c r="AK172" s="13">
        <f t="shared" si="164"/>
        <v>1.4932118279712753E-12</v>
      </c>
      <c r="AL172" s="20">
        <f t="shared" si="165"/>
        <v>2.7736540643801645E-12</v>
      </c>
      <c r="AM172" s="59">
        <f t="shared" si="113"/>
        <v>293.3333333333361</v>
      </c>
      <c r="AN172" s="59">
        <f ca="1">AVERAGE(OFFSET($AM$3,0,0,'Données projet'!$E$10+1,1))-AVERAGE(OFFSET($H$3,0,0,'Données projet'!$E$10+1,1))</f>
        <v>208.92731420103507</v>
      </c>
      <c r="AO172" s="59">
        <f t="shared" si="144"/>
        <v>247.96048911281395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6.8693512871836164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6.8693512871836164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-2.8421709430404007E-13</v>
      </c>
      <c r="BE172" s="13">
        <f>BD172*VLOOKUP('Données projet'!$B$11,Paramètres!$A$1:$I$89,3,0)*VLOOKUP('Données projet'!$B$11,Paramètres!$A$1:$I$89,5,0)</f>
        <v>-2.0838797354372215E-13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162.3892440844827</v>
      </c>
      <c r="BJ172" s="59">
        <f t="shared" si="146"/>
        <v>198.28846462484438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8.5065338942785473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8.5065338942785473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378.17323480030268</v>
      </c>
      <c r="T173" s="59">
        <f t="shared" si="142"/>
        <v>471.89239871617241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30.046199109258868</v>
      </c>
      <c r="AA173" s="21">
        <f>EXP(-LN(2)/25)*AA172+(1-EXP(-LN(2)/25))/(LN(2)/25)*Calculateur!V173*Calculateur!X173*VLOOKUP('Données projet'!$B$9,Paramètres!$A$1:$I$89,3,0)*0.475*44/12</f>
        <v>2.7749402591682637</v>
      </c>
      <c r="AB173" s="21">
        <f>EXP(-LN(2)/2)*AB172+(1-EXP(-LN(2)/2))/(LN(2)/2)*V173*Y173*VLOOKUP('Données projet'!$B$9,Paramètres!$A$1:$I$89,3,0)*0.475*44/12</f>
        <v>1.0736353335452877E-15</v>
      </c>
      <c r="AC173" s="22">
        <f t="shared" si="163"/>
        <v>32.821139368427133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9.9316821433603781E-14</v>
      </c>
      <c r="AK173" s="13">
        <f t="shared" si="164"/>
        <v>1.4932118279712753E-12</v>
      </c>
      <c r="AL173" s="20">
        <f t="shared" si="165"/>
        <v>2.7736540643801645E-12</v>
      </c>
      <c r="AM173" s="59">
        <f t="shared" si="113"/>
        <v>293.3333333333361</v>
      </c>
      <c r="AN173" s="59">
        <f ca="1">AVERAGE(OFFSET($AM$3,0,0,'Données projet'!$E$10+1,1))-AVERAGE(OFFSET($H$3,0,0,'Données projet'!$E$10+1,1))</f>
        <v>208.92731420103507</v>
      </c>
      <c r="AO173" s="59">
        <f t="shared" si="144"/>
        <v>247.96048911281395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6.7346474983325137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6.7346474983325137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-2.8421709430404007E-13</v>
      </c>
      <c r="BE173" s="13">
        <f>BD173*VLOOKUP('Données projet'!$B$11,Paramètres!$A$1:$I$89,3,0)*VLOOKUP('Données projet'!$B$11,Paramètres!$A$1:$I$89,5,0)</f>
        <v>-2.0838797354372215E-13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162.3892440844827</v>
      </c>
      <c r="BJ173" s="59">
        <f t="shared" si="146"/>
        <v>198.28846462484438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8.339725953085102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8.339725953085102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378.17323480030268</v>
      </c>
      <c r="T174" s="59">
        <f t="shared" si="142"/>
        <v>471.89239871617241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29.457011471098181</v>
      </c>
      <c r="AA174" s="21">
        <f>EXP(-LN(2)/25)*AA173+(1-EXP(-LN(2)/25))/(LN(2)/25)*Calculateur!V174*Calculateur!X174*VLOOKUP('Données projet'!$B$9,Paramètres!$A$1:$I$89,3,0)*0.475*44/12</f>
        <v>2.6990593718535414</v>
      </c>
      <c r="AB174" s="21">
        <f>EXP(-LN(2)/2)*AB173+(1-EXP(-LN(2)/2))/(LN(2)/2)*V174*Y174*VLOOKUP('Données projet'!$B$9,Paramètres!$A$1:$I$89,3,0)*0.475*44/12</f>
        <v>7.5917482487135373E-16</v>
      </c>
      <c r="AC174" s="22">
        <f t="shared" si="163"/>
        <v>32.156070842951721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9.9316821433603781E-14</v>
      </c>
      <c r="AK174" s="13">
        <f t="shared" si="164"/>
        <v>1.4932118279712753E-12</v>
      </c>
      <c r="AL174" s="20">
        <f t="shared" si="165"/>
        <v>2.7736540643801645E-12</v>
      </c>
      <c r="AM174" s="59">
        <f t="shared" si="113"/>
        <v>293.3333333333361</v>
      </c>
      <c r="AN174" s="59">
        <f ca="1">AVERAGE(OFFSET($AM$3,0,0,'Données projet'!$E$10+1,1))-AVERAGE(OFFSET($H$3,0,0,'Données projet'!$E$10+1,1))</f>
        <v>208.92731420103507</v>
      </c>
      <c r="AO174" s="59">
        <f t="shared" si="144"/>
        <v>247.96048911281395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6.6025851686195827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6.6025851686195827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-2.8421709430404007E-13</v>
      </c>
      <c r="BE174" s="13">
        <f>BD174*VLOOKUP('Données projet'!$B$11,Paramètres!$A$1:$I$89,3,0)*VLOOKUP('Données projet'!$B$11,Paramètres!$A$1:$I$89,5,0)</f>
        <v>-2.0838797354372215E-13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162.3892440844827</v>
      </c>
      <c r="BJ174" s="59">
        <f t="shared" si="146"/>
        <v>198.28846462484438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8.1761890138756623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8.1761890138756623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378.17323480030268</v>
      </c>
      <c r="T175" s="59">
        <f t="shared" si="142"/>
        <v>471.89239871617241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28.879377443152848</v>
      </c>
      <c r="AA175" s="21">
        <f>EXP(-LN(2)/25)*AA174+(1-EXP(-LN(2)/25))/(LN(2)/25)*Calculateur!V175*Calculateur!X175*VLOOKUP('Données projet'!$B$9,Paramètres!$A$1:$I$89,3,0)*0.475*44/12</f>
        <v>2.6252534513928425</v>
      </c>
      <c r="AB175" s="21">
        <f>EXP(-LN(2)/2)*AB174+(1-EXP(-LN(2)/2))/(LN(2)/2)*V175*Y175*VLOOKUP('Données projet'!$B$9,Paramètres!$A$1:$I$89,3,0)*0.475*44/12</f>
        <v>5.3681766677264386E-16</v>
      </c>
      <c r="AC175" s="22">
        <f t="shared" si="163"/>
        <v>31.504630894545691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9.9316821433603781E-14</v>
      </c>
      <c r="AK175" s="13">
        <f t="shared" si="164"/>
        <v>1.4932118279712753E-12</v>
      </c>
      <c r="AL175" s="20">
        <f t="shared" si="165"/>
        <v>2.7736540643801645E-12</v>
      </c>
      <c r="AM175" s="59">
        <f t="shared" si="113"/>
        <v>293.3333333333361</v>
      </c>
      <c r="AN175" s="59">
        <f ca="1">AVERAGE(OFFSET($AM$3,0,0,'Données projet'!$E$10+1,1))-AVERAGE(OFFSET($H$3,0,0,'Données projet'!$E$10+1,1))</f>
        <v>208.92731420103507</v>
      </c>
      <c r="AO175" s="59">
        <f t="shared" si="144"/>
        <v>247.96048911281395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6.4731125006422543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6.4731125006422543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-2.0838797354372215E-13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162.3892440844827</v>
      </c>
      <c r="BJ175" s="59">
        <f t="shared" si="146"/>
        <v>198.28846462484438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8.0158589342964355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8.0158589342964355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378.17323480030268</v>
      </c>
      <c r="T176" s="59">
        <f t="shared" si="142"/>
        <v>471.89239871617241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28.313070466173556</v>
      </c>
      <c r="AA176" s="21">
        <f>EXP(-LN(2)/25)*AA175+(1-EXP(-LN(2)/25))/(LN(2)/25)*Calculateur!V176*Calculateur!X176*VLOOKUP('Données projet'!$B$9,Paramètres!$A$1:$I$89,3,0)*0.475*44/12</f>
        <v>2.5534657577084263</v>
      </c>
      <c r="AB176" s="21">
        <f>EXP(-LN(2)/2)*AB175+(1-EXP(-LN(2)/2))/(LN(2)/2)*V176*Y176*VLOOKUP('Données projet'!$B$9,Paramètres!$A$1:$I$89,3,0)*0.475*44/12</f>
        <v>3.7958741243567687E-16</v>
      </c>
      <c r="AC176" s="22">
        <f t="shared" si="163"/>
        <v>30.866536223881983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9.9316821433603781E-14</v>
      </c>
      <c r="AK176" s="13">
        <f t="shared" si="164"/>
        <v>1.4932118279712753E-12</v>
      </c>
      <c r="AL176" s="20">
        <f t="shared" si="165"/>
        <v>2.7736540643801645E-12</v>
      </c>
      <c r="AM176" s="59">
        <f t="shared" si="113"/>
        <v>293.3333333333361</v>
      </c>
      <c r="AN176" s="59">
        <f ca="1">AVERAGE(OFFSET($AM$3,0,0,'Données projet'!$E$10+1,1))-AVERAGE(OFFSET($H$3,0,0,'Données projet'!$E$10+1,1))</f>
        <v>208.92731420103507</v>
      </c>
      <c r="AO176" s="59">
        <f t="shared" si="144"/>
        <v>247.96048911281395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6.3461787127134315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6.3461787127134315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-2.0838797354372215E-13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162.3892440844827</v>
      </c>
      <c r="BJ176" s="59">
        <f t="shared" si="146"/>
        <v>198.28846462484438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7.8586728297860651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7.8586728297860651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378.17323480030268</v>
      </c>
      <c r="T177" s="59">
        <f t="shared" si="142"/>
        <v>471.89239871617241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27.757868423599678</v>
      </c>
      <c r="AA177" s="21">
        <f>EXP(-LN(2)/25)*AA176+(1-EXP(-LN(2)/25))/(LN(2)/25)*Calculateur!V177*Calculateur!X177*VLOOKUP('Données projet'!$B$9,Paramètres!$A$1:$I$89,3,0)*0.475*44/12</f>
        <v>2.4836411022829612</v>
      </c>
      <c r="AB177" s="21">
        <f>EXP(-LN(2)/2)*AB176+(1-EXP(-LN(2)/2))/(LN(2)/2)*V177*Y177*VLOOKUP('Données projet'!$B$9,Paramètres!$A$1:$I$89,3,0)*0.475*44/12</f>
        <v>2.6840883338632193E-16</v>
      </c>
      <c r="AC177" s="22">
        <f t="shared" si="163"/>
        <v>30.241509525882641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9.9316821433603781E-14</v>
      </c>
      <c r="AK177" s="13">
        <f t="shared" si="164"/>
        <v>1.4932118279712753E-12</v>
      </c>
      <c r="AL177" s="20">
        <f t="shared" si="165"/>
        <v>2.7736540643801645E-12</v>
      </c>
      <c r="AM177" s="59">
        <f t="shared" si="113"/>
        <v>293.3333333333361</v>
      </c>
      <c r="AN177" s="59">
        <f ca="1">AVERAGE(OFFSET($AM$3,0,0,'Données projet'!$E$10+1,1))-AVERAGE(OFFSET($H$3,0,0,'Données projet'!$E$10+1,1))</f>
        <v>208.92731420103507</v>
      </c>
      <c r="AO177" s="59">
        <f t="shared" si="144"/>
        <v>247.96048911281395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6.221734018943927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6.221734018943927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-2.0838797354372215E-13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162.3892440844827</v>
      </c>
      <c r="BJ177" s="59">
        <f t="shared" si="146"/>
        <v>198.28846462484438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7.7045690489110861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7.7045690489110861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378.17323480030268</v>
      </c>
      <c r="T178" s="59">
        <f t="shared" si="142"/>
        <v>471.89239871617241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27.213553554440868</v>
      </c>
      <c r="AA178" s="21">
        <f>EXP(-LN(2)/25)*AA177+(1-EXP(-LN(2)/25))/(LN(2)/25)*Calculateur!V178*Calculateur!X178*VLOOKUP('Données projet'!$B$9,Paramètres!$A$1:$I$89,3,0)*0.475*44/12</f>
        <v>2.4157258057320243</v>
      </c>
      <c r="AB178" s="21">
        <f>EXP(-LN(2)/2)*AB177+(1-EXP(-LN(2)/2))/(LN(2)/2)*V178*Y178*VLOOKUP('Données projet'!$B$9,Paramètres!$A$1:$I$89,3,0)*0.475*44/12</f>
        <v>1.8979370621783843E-16</v>
      </c>
      <c r="AC178" s="22">
        <f t="shared" si="163"/>
        <v>29.629279360172891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9.9316821433603781E-14</v>
      </c>
      <c r="AK178" s="13">
        <f t="shared" si="164"/>
        <v>1.4932118279712753E-12</v>
      </c>
      <c r="AL178" s="20">
        <f t="shared" si="165"/>
        <v>2.7736540643801645E-12</v>
      </c>
      <c r="AM178" s="59">
        <f t="shared" si="113"/>
        <v>293.3333333333361</v>
      </c>
      <c r="AN178" s="59">
        <f ca="1">AVERAGE(OFFSET($AM$3,0,0,'Données projet'!$E$10+1,1))-AVERAGE(OFFSET($H$3,0,0,'Données projet'!$E$10+1,1))</f>
        <v>208.92731420103507</v>
      </c>
      <c r="AO178" s="59">
        <f t="shared" si="144"/>
        <v>247.96048911281395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6.0997296097154745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6.0997296097154745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-2.0838797354372215E-13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162.3892440844827</v>
      </c>
      <c r="BJ178" s="59">
        <f t="shared" si="146"/>
        <v>198.28846462484438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7.5534871491850399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7.5534871491850399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378.17323480030268</v>
      </c>
      <c r="T179" s="59">
        <f t="shared" si="142"/>
        <v>471.89239871617241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26.679912367866972</v>
      </c>
      <c r="AA179" s="21">
        <f>EXP(-LN(2)/25)*AA178+(1-EXP(-LN(2)/25))/(LN(2)/25)*Calculateur!V179*Calculateur!X179*VLOOKUP('Données projet'!$B$9,Paramètres!$A$1:$I$89,3,0)*0.475*44/12</f>
        <v>2.3496676565367833</v>
      </c>
      <c r="AB179" s="21">
        <f>EXP(-LN(2)/2)*AB178+(1-EXP(-LN(2)/2))/(LN(2)/2)*V179*Y179*VLOOKUP('Données projet'!$B$9,Paramètres!$A$1:$I$89,3,0)*0.475*44/12</f>
        <v>1.3420441669316096E-16</v>
      </c>
      <c r="AC179" s="22">
        <f t="shared" si="163"/>
        <v>29.029580024403757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9.9316821433603781E-14</v>
      </c>
      <c r="AK179" s="13">
        <f t="shared" si="164"/>
        <v>1.4932118279712753E-12</v>
      </c>
      <c r="AL179" s="20">
        <f t="shared" si="165"/>
        <v>2.7736540643801645E-12</v>
      </c>
      <c r="AM179" s="59">
        <f t="shared" si="113"/>
        <v>293.3333333333361</v>
      </c>
      <c r="AN179" s="59">
        <f ca="1">AVERAGE(OFFSET($AM$3,0,0,'Données projet'!$E$10+1,1))-AVERAGE(OFFSET($H$3,0,0,'Données projet'!$E$10+1,1))</f>
        <v>208.92731420103507</v>
      </c>
      <c r="AO179" s="59">
        <f t="shared" si="144"/>
        <v>247.96048911281395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5.9801176325366505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5.9801176325366505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-2.0838797354372215E-13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162.3892440844827</v>
      </c>
      <c r="BJ179" s="59">
        <f t="shared" si="146"/>
        <v>198.28846462484438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7.4053678733617616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7.4053678733617616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378.17323480030268</v>
      </c>
      <c r="T180" s="59">
        <f t="shared" si="142"/>
        <v>471.89239871617241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26.156735559472807</v>
      </c>
      <c r="AA180" s="21">
        <f>EXP(-LN(2)/25)*AA179+(1-EXP(-LN(2)/25))/(LN(2)/25)*Calculateur!V180*Calculateur!X180*VLOOKUP('Données projet'!$B$9,Paramètres!$A$1:$I$89,3,0)*0.475*44/12</f>
        <v>2.2854158709051333</v>
      </c>
      <c r="AB180" s="21">
        <f>EXP(-LN(2)/2)*AB179+(1-EXP(-LN(2)/2))/(LN(2)/2)*V180*Y180*VLOOKUP('Données projet'!$B$9,Paramètres!$A$1:$I$89,3,0)*0.475*44/12</f>
        <v>9.4896853108919217E-17</v>
      </c>
      <c r="AC180" s="22">
        <f t="shared" si="163"/>
        <v>28.44215143037794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9.9316821433603781E-14</v>
      </c>
      <c r="AK180" s="13">
        <f t="shared" si="164"/>
        <v>1.4932118279712753E-12</v>
      </c>
      <c r="AL180" s="20">
        <f t="shared" si="165"/>
        <v>2.7736540643801645E-12</v>
      </c>
      <c r="AM180" s="59">
        <f t="shared" si="113"/>
        <v>293.3333333333361</v>
      </c>
      <c r="AN180" s="59">
        <f ca="1">AVERAGE(OFFSET($AM$3,0,0,'Données projet'!$E$10+1,1))-AVERAGE(OFFSET($H$3,0,0,'Données projet'!$E$10+1,1))</f>
        <v>208.92731420103507</v>
      </c>
      <c r="AO180" s="59">
        <f t="shared" si="144"/>
        <v>247.96048911281395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5.8628511732742004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5.8628511732742004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-2.0838797354372215E-13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162.3892440844827</v>
      </c>
      <c r="BJ180" s="59">
        <f t="shared" si="146"/>
        <v>198.28846462484438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7.2601531261935408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7.2601531261935408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378.17323480030268</v>
      </c>
      <c r="T181" s="59">
        <f t="shared" si="142"/>
        <v>471.89239871617241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25.643817929184905</v>
      </c>
      <c r="AA181" s="21">
        <f>EXP(-LN(2)/25)*AA180+(1-EXP(-LN(2)/25))/(LN(2)/25)*Calculateur!V181*Calculateur!X181*VLOOKUP('Données projet'!$B$9,Paramètres!$A$1:$I$89,3,0)*0.475*44/12</f>
        <v>2.2229210537304351</v>
      </c>
      <c r="AB181" s="21">
        <f>EXP(-LN(2)/2)*AB180+(1-EXP(-LN(2)/2))/(LN(2)/2)*V181*Y181*VLOOKUP('Données projet'!$B$9,Paramètres!$A$1:$I$89,3,0)*0.475*44/12</f>
        <v>6.7102208346580482E-17</v>
      </c>
      <c r="AC181" s="22">
        <f t="shared" si="163"/>
        <v>27.86673898291534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9.9316821433603781E-14</v>
      </c>
      <c r="AK181" s="13">
        <f t="shared" si="164"/>
        <v>1.4932118279712753E-12</v>
      </c>
      <c r="AL181" s="20">
        <f t="shared" si="165"/>
        <v>2.7736540643801645E-12</v>
      </c>
      <c r="AM181" s="59">
        <f t="shared" si="113"/>
        <v>293.3333333333361</v>
      </c>
      <c r="AN181" s="59">
        <f ca="1">AVERAGE(OFFSET($AM$3,0,0,'Données projet'!$E$10+1,1))-AVERAGE(OFFSET($H$3,0,0,'Données projet'!$E$10+1,1))</f>
        <v>208.92731420103507</v>
      </c>
      <c r="AO181" s="59">
        <f t="shared" si="144"/>
        <v>247.96048911281395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5.7478842377524098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5.7478842377524098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-2.0838797354372215E-13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162.3892440844827</v>
      </c>
      <c r="BJ181" s="59">
        <f t="shared" si="146"/>
        <v>198.28846462484438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7.1177859516450388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7.1177859516450388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378.17323480030268</v>
      </c>
      <c r="T182" s="59">
        <f t="shared" si="142"/>
        <v>471.89239871617241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25.140958300778088</v>
      </c>
      <c r="AA182" s="21">
        <f>EXP(-LN(2)/25)*AA181+(1-EXP(-LN(2)/25))/(LN(2)/25)*Calculateur!V182*Calculateur!X182*VLOOKUP('Données projet'!$B$9,Paramètres!$A$1:$I$89,3,0)*0.475*44/12</f>
        <v>2.1621351606178387</v>
      </c>
      <c r="AB182" s="21">
        <f>EXP(-LN(2)/2)*AB181+(1-EXP(-LN(2)/2))/(LN(2)/2)*V182*Y182*VLOOKUP('Données projet'!$B$9,Paramètres!$A$1:$I$89,3,0)*0.475*44/12</f>
        <v>4.7448426554459608E-17</v>
      </c>
      <c r="AC182" s="22">
        <f t="shared" si="163"/>
        <v>27.303093461395928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9.9316821433603781E-14</v>
      </c>
      <c r="AK182" s="13">
        <f t="shared" si="164"/>
        <v>1.4932118279712753E-12</v>
      </c>
      <c r="AL182" s="20">
        <f t="shared" si="165"/>
        <v>2.7736540643801645E-12</v>
      </c>
      <c r="AM182" s="59">
        <f t="shared" si="113"/>
        <v>293.3333333333361</v>
      </c>
      <c r="AN182" s="59">
        <f ca="1">AVERAGE(OFFSET($AM$3,0,0,'Données projet'!$E$10+1,1))-AVERAGE(OFFSET($H$3,0,0,'Données projet'!$E$10+1,1))</f>
        <v>208.92731420103507</v>
      </c>
      <c r="AO182" s="59">
        <f t="shared" si="144"/>
        <v>247.96048911281395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5.6351717337132952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5.6351717337132952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-2.0838797354372215E-13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162.3892440844827</v>
      </c>
      <c r="BJ182" s="59">
        <f t="shared" si="146"/>
        <v>198.28846462484438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6.97821051055403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6.97821051055403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378.17323480030268</v>
      </c>
      <c r="T183" s="59">
        <f t="shared" si="142"/>
        <v>471.89239871617241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24.64795944297024</v>
      </c>
      <c r="AA183" s="21">
        <f>EXP(-LN(2)/25)*AA182+(1-EXP(-LN(2)/25))/(LN(2)/25)*Calculateur!V183*Calculateur!X183*VLOOKUP('Données projet'!$B$9,Paramètres!$A$1:$I$89,3,0)*0.475*44/12</f>
        <v>2.1030114609489976</v>
      </c>
      <c r="AB183" s="21">
        <f>EXP(-LN(2)/2)*AB182+(1-EXP(-LN(2)/2))/(LN(2)/2)*V183*Y183*VLOOKUP('Données projet'!$B$9,Paramètres!$A$1:$I$89,3,0)*0.475*44/12</f>
        <v>3.3551104173290241E-17</v>
      </c>
      <c r="AC183" s="22">
        <f t="shared" si="163"/>
        <v>26.750970903919239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9.9316821433603781E-14</v>
      </c>
      <c r="AK183" s="13">
        <f t="shared" si="164"/>
        <v>1.4932118279712753E-12</v>
      </c>
      <c r="AL183" s="20">
        <f t="shared" si="165"/>
        <v>2.7736540643801645E-12</v>
      </c>
      <c r="AM183" s="59">
        <f t="shared" si="113"/>
        <v>293.3333333333361</v>
      </c>
      <c r="AN183" s="59">
        <f ca="1">AVERAGE(OFFSET($AM$3,0,0,'Données projet'!$E$10+1,1))-AVERAGE(OFFSET($H$3,0,0,'Données projet'!$E$10+1,1))</f>
        <v>208.92731420103507</v>
      </c>
      <c r="AO183" s="59">
        <f t="shared" si="144"/>
        <v>247.96048911281395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5.5246694531305485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5.5246694531305485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-2.0838797354372215E-13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162.3892440844827</v>
      </c>
      <c r="BJ183" s="59">
        <f t="shared" si="146"/>
        <v>198.28846462484438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6.8413720587302036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6.8413720587302036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378.17323480030268</v>
      </c>
      <c r="T184" s="59">
        <f t="shared" si="142"/>
        <v>471.89239871617241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24.164627992064393</v>
      </c>
      <c r="AA184" s="21">
        <f>EXP(-LN(2)/25)*AA183+(1-EXP(-LN(2)/25))/(LN(2)/25)*Calculateur!V184*Calculateur!X184*VLOOKUP('Données projet'!$B$9,Paramètres!$A$1:$I$89,3,0)*0.475*44/12</f>
        <v>2.0455045019567812</v>
      </c>
      <c r="AB184" s="21">
        <f>EXP(-LN(2)/2)*AB183+(1-EXP(-LN(2)/2))/(LN(2)/2)*V184*Y184*VLOOKUP('Données projet'!$B$9,Paramètres!$A$1:$I$89,3,0)*0.475*44/12</f>
        <v>2.3724213277229804E-17</v>
      </c>
      <c r="AC184" s="22">
        <f t="shared" si="163"/>
        <v>26.210132494021174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9.9316821433603781E-14</v>
      </c>
      <c r="AK184" s="13">
        <f t="shared" si="164"/>
        <v>1.4932118279712753E-12</v>
      </c>
      <c r="AL184" s="20">
        <f t="shared" si="165"/>
        <v>2.7736540643801645E-12</v>
      </c>
      <c r="AM184" s="59">
        <f t="shared" si="113"/>
        <v>293.3333333333361</v>
      </c>
      <c r="AN184" s="59">
        <f ca="1">AVERAGE(OFFSET($AM$3,0,0,'Données projet'!$E$10+1,1))-AVERAGE(OFFSET($H$3,0,0,'Données projet'!$E$10+1,1))</f>
        <v>208.92731420103507</v>
      </c>
      <c r="AO184" s="59">
        <f t="shared" si="144"/>
        <v>247.96048911281395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5.4163340548702932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5.4163340548702932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-2.0838797354372215E-13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162.3892440844827</v>
      </c>
      <c r="BJ184" s="59">
        <f t="shared" si="146"/>
        <v>198.28846462484438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6.7072169254834275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6.7072169254834275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378.17323480030268</v>
      </c>
      <c r="T185" s="59">
        <f t="shared" si="142"/>
        <v>471.89239871617241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23.690774376107733</v>
      </c>
      <c r="AA185" s="21">
        <f>EXP(-LN(2)/25)*AA184+(1-EXP(-LN(2)/25))/(LN(2)/25)*Calculateur!V185*Calculateur!X185*VLOOKUP('Données projet'!$B$9,Paramètres!$A$1:$I$89,3,0)*0.475*44/12</f>
        <v>1.9895700737823663</v>
      </c>
      <c r="AB185" s="21">
        <f>EXP(-LN(2)/2)*AB184+(1-EXP(-LN(2)/2))/(LN(2)/2)*V185*Y185*VLOOKUP('Données projet'!$B$9,Paramètres!$A$1:$I$89,3,0)*0.475*44/12</f>
        <v>1.6775552086645121E-17</v>
      </c>
      <c r="AC185" s="22">
        <f t="shared" si="163"/>
        <v>25.6803444498901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9.9316821433603781E-14</v>
      </c>
      <c r="AK185" s="13">
        <f t="shared" si="164"/>
        <v>1.4932118279712753E-12</v>
      </c>
      <c r="AL185" s="20">
        <f t="shared" si="165"/>
        <v>2.7736540643801645E-12</v>
      </c>
      <c r="AM185" s="59">
        <f t="shared" si="113"/>
        <v>293.3333333333361</v>
      </c>
      <c r="AN185" s="59">
        <f ca="1">AVERAGE(OFFSET($AM$3,0,0,'Données projet'!$E$10+1,1))-AVERAGE(OFFSET($H$3,0,0,'Données projet'!$E$10+1,1))</f>
        <v>208.92731420103507</v>
      </c>
      <c r="AO185" s="59">
        <f t="shared" si="144"/>
        <v>247.96048911281395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5.3101230476918531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5.3101230476918531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-2.0838797354372215E-13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162.3892440844827</v>
      </c>
      <c r="BJ185" s="59">
        <f t="shared" si="146"/>
        <v>198.28846462484438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6.5756924925730695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6.5756924925730695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378.17323480030268</v>
      </c>
      <c r="T186" s="59">
        <f t="shared" si="142"/>
        <v>471.89239871617241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23.226212740537814</v>
      </c>
      <c r="AA186" s="21">
        <f>EXP(-LN(2)/25)*AA185+(1-EXP(-LN(2)/25))/(LN(2)/25)*Calculateur!V186*Calculateur!X186*VLOOKUP('Données projet'!$B$9,Paramètres!$A$1:$I$89,3,0)*0.475*44/12</f>
        <v>1.9351651754878445</v>
      </c>
      <c r="AB186" s="21">
        <f>EXP(-LN(2)/2)*AB185+(1-EXP(-LN(2)/2))/(LN(2)/2)*V186*Y186*VLOOKUP('Données projet'!$B$9,Paramètres!$A$1:$I$89,3,0)*0.475*44/12</f>
        <v>1.1862106638614902E-17</v>
      </c>
      <c r="AC186" s="22">
        <f t="shared" si="163"/>
        <v>25.161377916025661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9.9316821433603781E-14</v>
      </c>
      <c r="AK186" s="13">
        <f t="shared" si="164"/>
        <v>1.4932118279712753E-12</v>
      </c>
      <c r="AL186" s="20">
        <f t="shared" si="165"/>
        <v>2.7736540643801645E-12</v>
      </c>
      <c r="AM186" s="59">
        <f t="shared" si="113"/>
        <v>293.3333333333361</v>
      </c>
      <c r="AN186" s="59">
        <f ca="1">AVERAGE(OFFSET($AM$3,0,0,'Données projet'!$E$10+1,1))-AVERAGE(OFFSET($H$3,0,0,'Données projet'!$E$10+1,1))</f>
        <v>208.92731420103507</v>
      </c>
      <c r="AO186" s="59">
        <f t="shared" si="144"/>
        <v>247.96048911281395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5.2059947735818648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5.2059947735818648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-2.0838797354372215E-13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162.3892440844827</v>
      </c>
      <c r="BJ186" s="59">
        <f t="shared" si="146"/>
        <v>198.28846462484438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6.4467471735701007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6.4467471735701007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378.17323480030268</v>
      </c>
      <c r="T187" s="59">
        <f t="shared" si="142"/>
        <v>471.89239871617241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22.770760875286804</v>
      </c>
      <c r="AA187" s="21">
        <f>EXP(-LN(2)/25)*AA186+(1-EXP(-LN(2)/25))/(LN(2)/25)*Calculateur!V187*Calculateur!X187*VLOOKUP('Données projet'!$B$9,Paramètres!$A$1:$I$89,3,0)*0.475*44/12</f>
        <v>1.8822479819982156</v>
      </c>
      <c r="AB187" s="21">
        <f>EXP(-LN(2)/2)*AB186+(1-EXP(-LN(2)/2))/(LN(2)/2)*V187*Y187*VLOOKUP('Données projet'!$B$9,Paramètres!$A$1:$I$89,3,0)*0.475*44/12</f>
        <v>8.3877760433225603E-18</v>
      </c>
      <c r="AC187" s="22">
        <f t="shared" si="163"/>
        <v>24.65300885728502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9.9316821433603781E-14</v>
      </c>
      <c r="AK187" s="13">
        <f t="shared" si="164"/>
        <v>1.4932118279712753E-12</v>
      </c>
      <c r="AL187" s="20">
        <f t="shared" si="165"/>
        <v>2.7736540643801645E-12</v>
      </c>
      <c r="AM187" s="59">
        <f t="shared" si="113"/>
        <v>293.3333333333361</v>
      </c>
      <c r="AN187" s="59">
        <f ca="1">AVERAGE(OFFSET($AM$3,0,0,'Données projet'!$E$10+1,1))-AVERAGE(OFFSET($H$3,0,0,'Données projet'!$E$10+1,1))</f>
        <v>208.92731420103507</v>
      </c>
      <c r="AO187" s="59">
        <f t="shared" si="144"/>
        <v>247.96048911281395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5.1039083914151968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5.1039083914151968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-2.0838797354372215E-13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162.3892440844827</v>
      </c>
      <c r="BJ187" s="59">
        <f t="shared" si="146"/>
        <v>198.28846462484438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6.3203303936239017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6.3203303936239017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378.17323480030268</v>
      </c>
      <c r="T188" s="59">
        <f t="shared" si="142"/>
        <v>471.89239871617241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22.324240143315158</v>
      </c>
      <c r="AA188" s="21">
        <f>EXP(-LN(2)/25)*AA187+(1-EXP(-LN(2)/25))/(LN(2)/25)*Calculateur!V188*Calculateur!X188*VLOOKUP('Données projet'!$B$9,Paramètres!$A$1:$I$89,3,0)*0.475*44/12</f>
        <v>1.830777811947355</v>
      </c>
      <c r="AB188" s="21">
        <f>EXP(-LN(2)/2)*AB187+(1-EXP(-LN(2)/2))/(LN(2)/2)*V188*Y188*VLOOKUP('Données projet'!$B$9,Paramètres!$A$1:$I$89,3,0)*0.475*44/12</f>
        <v>5.931053319307451E-18</v>
      </c>
      <c r="AC188" s="22">
        <f t="shared" si="163"/>
        <v>24.155017955262515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9.9316821433603781E-14</v>
      </c>
      <c r="AK188" s="13">
        <f t="shared" si="164"/>
        <v>1.4932118279712753E-12</v>
      </c>
      <c r="AL188" s="20">
        <f t="shared" si="165"/>
        <v>2.7736540643801645E-12</v>
      </c>
      <c r="AM188" s="59">
        <f t="shared" si="113"/>
        <v>293.3333333333361</v>
      </c>
      <c r="AN188" s="59">
        <f ca="1">AVERAGE(OFFSET($AM$3,0,0,'Données projet'!$E$10+1,1))-AVERAGE(OFFSET($H$3,0,0,'Données projet'!$E$10+1,1))</f>
        <v>208.92731420103507</v>
      </c>
      <c r="AO188" s="59">
        <f t="shared" si="144"/>
        <v>247.96048911281395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5.0038238609362731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5.0038238609362731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-2.0838797354372215E-13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162.3892440844827</v>
      </c>
      <c r="BJ188" s="59">
        <f t="shared" si="146"/>
        <v>198.28846462484438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6.1963925696258251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6.1963925696258251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378.17323480030268</v>
      </c>
      <c r="T189" s="59">
        <f t="shared" si="142"/>
        <v>471.89239871617241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21.886475410546723</v>
      </c>
      <c r="AA189" s="21">
        <f>EXP(-LN(2)/25)*AA188+(1-EXP(-LN(2)/25))/(LN(2)/25)*Calculateur!V189*Calculateur!X189*VLOOKUP('Données projet'!$B$9,Paramètres!$A$1:$I$89,3,0)*0.475*44/12</f>
        <v>1.7807150964032337</v>
      </c>
      <c r="AB189" s="21">
        <f>EXP(-LN(2)/2)*AB188+(1-EXP(-LN(2)/2))/(LN(2)/2)*V189*Y189*VLOOKUP('Données projet'!$B$9,Paramètres!$A$1:$I$89,3,0)*0.475*44/12</f>
        <v>4.1938880216612801E-18</v>
      </c>
      <c r="AC189" s="22">
        <f t="shared" si="163"/>
        <v>23.667190506949957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9.9316821433603781E-14</v>
      </c>
      <c r="AK189" s="13">
        <f t="shared" si="164"/>
        <v>1.4932118279712753E-12</v>
      </c>
      <c r="AL189" s="20">
        <f t="shared" si="165"/>
        <v>2.7736540643801645E-12</v>
      </c>
      <c r="AM189" s="59">
        <f t="shared" si="113"/>
        <v>293.3333333333361</v>
      </c>
      <c r="AN189" s="59">
        <f ca="1">AVERAGE(OFFSET($AM$3,0,0,'Données projet'!$E$10+1,1))-AVERAGE(OFFSET($H$3,0,0,'Données projet'!$E$10+1,1))</f>
        <v>208.92731420103507</v>
      </c>
      <c r="AO189" s="59">
        <f t="shared" si="144"/>
        <v>247.96048911281395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4.9057019270545048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4.9057019270545048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-2.0838797354372215E-13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162.3892440844827</v>
      </c>
      <c r="BJ189" s="59">
        <f t="shared" si="146"/>
        <v>198.28846462484438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6.0748850907617431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6.0748850907617431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378.17323480030268</v>
      </c>
      <c r="T190" s="59">
        <f t="shared" si="142"/>
        <v>471.89239871617241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21.457294977177757</v>
      </c>
      <c r="AA190" s="21">
        <f>EXP(-LN(2)/25)*AA189+(1-EXP(-LN(2)/25))/(LN(2)/25)*Calculateur!V190*Calculateur!X190*VLOOKUP('Données projet'!$B$9,Paramètres!$A$1:$I$89,3,0)*0.475*44/12</f>
        <v>1.7320213484483502</v>
      </c>
      <c r="AB190" s="21">
        <f>EXP(-LN(2)/2)*AB189+(1-EXP(-LN(2)/2))/(LN(2)/2)*V190*Y190*VLOOKUP('Données projet'!$B$9,Paramètres!$A$1:$I$89,3,0)*0.475*44/12</f>
        <v>2.9655266596537255E-18</v>
      </c>
      <c r="AC190" s="22">
        <f t="shared" si="163"/>
        <v>23.189316325626105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9.9316821433603781E-14</v>
      </c>
      <c r="AK190" s="13">
        <f t="shared" si="164"/>
        <v>1.4932118279712753E-12</v>
      </c>
      <c r="AL190" s="20">
        <f t="shared" si="165"/>
        <v>2.7736540643801645E-12</v>
      </c>
      <c r="AM190" s="59">
        <f t="shared" si="113"/>
        <v>293.3333333333361</v>
      </c>
      <c r="AN190" s="59">
        <f ca="1">AVERAGE(OFFSET($AM$3,0,0,'Données projet'!$E$10+1,1))-AVERAGE(OFFSET($H$3,0,0,'Données projet'!$E$10+1,1))</f>
        <v>208.92731420103507</v>
      </c>
      <c r="AO190" s="59">
        <f t="shared" si="144"/>
        <v>247.96048911281395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4.8095041044476883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4.8095041044476883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-2.0838797354372215E-13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162.3892440844827</v>
      </c>
      <c r="BJ190" s="59">
        <f t="shared" si="146"/>
        <v>198.28846462484438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5.9557602994459415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5.9557602994459415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378.17323480030268</v>
      </c>
      <c r="T191" s="59">
        <f t="shared" si="142"/>
        <v>471.89239871617241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21.036530510332938</v>
      </c>
      <c r="AA191" s="21">
        <f>EXP(-LN(2)/25)*AA190+(1-EXP(-LN(2)/25))/(LN(2)/25)*Calculateur!V191*Calculateur!X191*VLOOKUP('Données projet'!$B$9,Paramètres!$A$1:$I$89,3,0)*0.475*44/12</f>
        <v>1.684659133591986</v>
      </c>
      <c r="AB191" s="21">
        <f>EXP(-LN(2)/2)*AB190+(1-EXP(-LN(2)/2))/(LN(2)/2)*V191*Y191*VLOOKUP('Données projet'!$B$9,Paramètres!$A$1:$I$89,3,0)*0.475*44/12</f>
        <v>2.0969440108306401E-18</v>
      </c>
      <c r="AC191" s="22">
        <f t="shared" si="163"/>
        <v>22.721189643924923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9.9316821433603781E-14</v>
      </c>
      <c r="AK191" s="13">
        <f t="shared" si="164"/>
        <v>1.4932118279712753E-12</v>
      </c>
      <c r="AL191" s="20">
        <f t="shared" si="165"/>
        <v>2.7736540643801645E-12</v>
      </c>
      <c r="AM191" s="59">
        <f t="shared" si="113"/>
        <v>293.3333333333361</v>
      </c>
      <c r="AN191" s="59">
        <f ca="1">AVERAGE(OFFSET($AM$3,0,0,'Données projet'!$E$10+1,1))-AVERAGE(OFFSET($H$3,0,0,'Données projet'!$E$10+1,1))</f>
        <v>208.92731420103507</v>
      </c>
      <c r="AO191" s="59">
        <f t="shared" si="144"/>
        <v>247.96048911281395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4.7151926624673131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4.7151926624673131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-2.0838797354372215E-13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162.3892440844827</v>
      </c>
      <c r="BJ191" s="59">
        <f t="shared" si="146"/>
        <v>198.28846462484438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5.8389714726288942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5.8389714726288942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378.17323480030268</v>
      </c>
      <c r="T192" s="59">
        <f t="shared" si="142"/>
        <v>471.89239871617241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20.624016978041961</v>
      </c>
      <c r="AA192" s="21">
        <f>EXP(-LN(2)/25)*AA191+(1-EXP(-LN(2)/25))/(LN(2)/25)*Calculateur!V192*Calculateur!X192*VLOOKUP('Données projet'!$B$9,Paramètres!$A$1:$I$89,3,0)*0.475*44/12</f>
        <v>1.6385920409915398</v>
      </c>
      <c r="AB192" s="21">
        <f>EXP(-LN(2)/2)*AB191+(1-EXP(-LN(2)/2))/(LN(2)/2)*V192*Y192*VLOOKUP('Données projet'!$B$9,Paramètres!$A$1:$I$89,3,0)*0.475*44/12</f>
        <v>1.4827633298268628E-18</v>
      </c>
      <c r="AC192" s="22">
        <f t="shared" si="163"/>
        <v>22.262609019033501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9.9316821433603781E-14</v>
      </c>
      <c r="AK192" s="13">
        <f t="shared" si="164"/>
        <v>1.4932118279712753E-12</v>
      </c>
      <c r="AL192" s="20">
        <f t="shared" si="165"/>
        <v>2.7736540643801645E-12</v>
      </c>
      <c r="AM192" s="59">
        <f t="shared" si="113"/>
        <v>293.3333333333361</v>
      </c>
      <c r="AN192" s="59">
        <f ca="1">AVERAGE(OFFSET($AM$3,0,0,'Données projet'!$E$10+1,1))-AVERAGE(OFFSET($H$3,0,0,'Données projet'!$E$10+1,1))</f>
        <v>208.92731420103507</v>
      </c>
      <c r="AO192" s="59">
        <f t="shared" si="144"/>
        <v>247.96048911281395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4.6227306103398735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4.6227306103398735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-2.0838797354372215E-13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162.3892440844827</v>
      </c>
      <c r="BJ192" s="59">
        <f t="shared" si="146"/>
        <v>198.28846462484438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5.7244728034715786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5.7244728034715786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378.17323480030268</v>
      </c>
      <c r="T193" s="59">
        <f t="shared" si="142"/>
        <v>471.89239871617241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20.219592584510803</v>
      </c>
      <c r="AA193" s="21">
        <f>EXP(-LN(2)/25)*AA192+(1-EXP(-LN(2)/25))/(LN(2)/25)*Calculateur!V193*Calculateur!X193*VLOOKUP('Données projet'!$B$9,Paramètres!$A$1:$I$89,3,0)*0.475*44/12</f>
        <v>1.5937846554608157</v>
      </c>
      <c r="AB193" s="21">
        <f>EXP(-LN(2)/2)*AB192+(1-EXP(-LN(2)/2))/(LN(2)/2)*V193*Y193*VLOOKUP('Données projet'!$B$9,Paramètres!$A$1:$I$89,3,0)*0.475*44/12</f>
        <v>1.04847200541532E-18</v>
      </c>
      <c r="AC193" s="22">
        <f t="shared" si="163"/>
        <v>21.813377239971619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9.9316821433603781E-14</v>
      </c>
      <c r="AK193" s="13">
        <f t="shared" si="164"/>
        <v>1.4932118279712753E-12</v>
      </c>
      <c r="AL193" s="20">
        <f t="shared" si="165"/>
        <v>2.7736540643801645E-12</v>
      </c>
      <c r="AM193" s="59">
        <f t="shared" si="113"/>
        <v>293.3333333333361</v>
      </c>
      <c r="AN193" s="59">
        <f ca="1">AVERAGE(OFFSET($AM$3,0,0,'Données projet'!$E$10+1,1))-AVERAGE(OFFSET($H$3,0,0,'Données projet'!$E$10+1,1))</f>
        <v>208.92731420103507</v>
      </c>
      <c r="AO193" s="59">
        <f t="shared" si="144"/>
        <v>247.96048911281395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4.5320816826583696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4.5320816826583696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-2.0838797354372215E-13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162.3892440844827</v>
      </c>
      <c r="BJ193" s="59">
        <f t="shared" si="146"/>
        <v>198.28846462484438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5.6122193833791458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5.6122193833791458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378.17323480030268</v>
      </c>
      <c r="T194" s="59">
        <f t="shared" si="142"/>
        <v>471.89239871617241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19.823098706662265</v>
      </c>
      <c r="AA194" s="21">
        <f>EXP(-LN(2)/25)*AA193+(1-EXP(-LN(2)/25))/(LN(2)/25)*Calculateur!V194*Calculateur!X194*VLOOKUP('Données projet'!$B$9,Paramètres!$A$1:$I$89,3,0)*0.475*44/12</f>
        <v>1.5502025302437472</v>
      </c>
      <c r="AB194" s="21">
        <f>EXP(-LN(2)/2)*AB193+(1-EXP(-LN(2)/2))/(LN(2)/2)*V194*Y194*VLOOKUP('Données projet'!$B$9,Paramètres!$A$1:$I$89,3,0)*0.475*44/12</f>
        <v>7.4138166491343138E-19</v>
      </c>
      <c r="AC194" s="22">
        <f t="shared" si="163"/>
        <v>21.373301236906013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9.9316821433603781E-14</v>
      </c>
      <c r="AK194" s="13">
        <f t="shared" si="164"/>
        <v>1.4932118279712753E-12</v>
      </c>
      <c r="AL194" s="20">
        <f t="shared" si="165"/>
        <v>2.7736540643801645E-12</v>
      </c>
      <c r="AM194" s="59">
        <f t="shared" si="113"/>
        <v>293.3333333333361</v>
      </c>
      <c r="AN194" s="59">
        <f ca="1">AVERAGE(OFFSET($AM$3,0,0,'Données projet'!$E$10+1,1))-AVERAGE(OFFSET($H$3,0,0,'Données projet'!$E$10+1,1))</f>
        <v>208.92731420103507</v>
      </c>
      <c r="AO194" s="59">
        <f t="shared" si="144"/>
        <v>247.96048911281395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4.4432103251583142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4.4432103251583142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-2.0838797354372215E-13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162.3892440844827</v>
      </c>
      <c r="BJ194" s="59">
        <f t="shared" si="146"/>
        <v>198.28846462484438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5.5021671843869004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5.5021671843869004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378.17323480030268</v>
      </c>
      <c r="T195" s="59">
        <f t="shared" si="142"/>
        <v>471.89239871617241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19.434379831920953</v>
      </c>
      <c r="AA195" s="21">
        <f>EXP(-LN(2)/25)*AA194+(1-EXP(-LN(2)/25))/(LN(2)/25)*Calculateur!V195*Calculateur!X195*VLOOKUP('Données projet'!$B$9,Paramètres!$A$1:$I$89,3,0)*0.475*44/12</f>
        <v>1.507812160532624</v>
      </c>
      <c r="AB195" s="21">
        <f>EXP(-LN(2)/2)*AB194+(1-EXP(-LN(2)/2))/(LN(2)/2)*V195*Y195*VLOOKUP('Données projet'!$B$9,Paramètres!$A$1:$I$89,3,0)*0.475*44/12</f>
        <v>5.2423600270766002E-19</v>
      </c>
      <c r="AC195" s="22">
        <f t="shared" si="163"/>
        <v>20.942191992453576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9.9316821433603781E-14</v>
      </c>
      <c r="AK195" s="13">
        <f t="shared" si="164"/>
        <v>1.4932118279712753E-12</v>
      </c>
      <c r="AL195" s="20">
        <f t="shared" si="165"/>
        <v>2.7736540643801645E-12</v>
      </c>
      <c r="AM195" s="59">
        <f t="shared" si="113"/>
        <v>293.3333333333361</v>
      </c>
      <c r="AN195" s="59">
        <f ca="1">AVERAGE(OFFSET($AM$3,0,0,'Données projet'!$E$10+1,1))-AVERAGE(OFFSET($H$3,0,0,'Données projet'!$E$10+1,1))</f>
        <v>208.92731420103507</v>
      </c>
      <c r="AO195" s="59">
        <f t="shared" si="144"/>
        <v>247.96048911281395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4.3560816807726583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4.3560816807726583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-2.0838797354372215E-13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162.3892440844827</v>
      </c>
      <c r="BJ195" s="59">
        <f t="shared" si="146"/>
        <v>198.28846462484438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5.3942730418916796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5.3942730418916796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378.17323480030268</v>
      </c>
      <c r="T196" s="59">
        <f t="shared" si="142"/>
        <v>471.89239871617241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19.053283497218214</v>
      </c>
      <c r="AA196" s="21">
        <f>EXP(-LN(2)/25)*AA195+(1-EXP(-LN(2)/25))/(LN(2)/25)*Calculateur!V196*Calculateur!X196*VLOOKUP('Données projet'!$B$9,Paramètres!$A$1:$I$89,3,0)*0.475*44/12</f>
        <v>1.466580957710464</v>
      </c>
      <c r="AB196" s="21">
        <f>EXP(-LN(2)/2)*AB195+(1-EXP(-LN(2)/2))/(LN(2)/2)*V196*Y196*VLOOKUP('Données projet'!$B$9,Paramètres!$A$1:$I$89,3,0)*0.475*44/12</f>
        <v>3.7069083245671569E-19</v>
      </c>
      <c r="AC196" s="22">
        <f t="shared" si="163"/>
        <v>20.519864454928676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9.9316821433603781E-14</v>
      </c>
      <c r="AK196" s="13">
        <f t="shared" si="164"/>
        <v>1.4932118279712753E-12</v>
      </c>
      <c r="AL196" s="20">
        <f t="shared" si="165"/>
        <v>2.7736540643801645E-12</v>
      </c>
      <c r="AM196" s="59">
        <f t="shared" ref="AM196:AM203" si="193">AL196+(AD196+AE196)*44/12</f>
        <v>293.3333333333361</v>
      </c>
      <c r="AN196" s="59">
        <f ca="1">AVERAGE(OFFSET($AM$3,0,0,'Données projet'!$E$10+1,1))-AVERAGE(OFFSET($H$3,0,0,'Données projet'!$E$10+1,1))</f>
        <v>208.92731420103507</v>
      </c>
      <c r="AO196" s="59">
        <f t="shared" si="144"/>
        <v>247.96048911281395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4.2706615759601796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4.2706615759601796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-2.0838797354372215E-13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162.3892440844827</v>
      </c>
      <c r="BJ196" s="59">
        <f t="shared" si="146"/>
        <v>198.28846462484438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5.2884946377218611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5.2884946377218611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378.17323480030268</v>
      </c>
      <c r="T197" s="59">
        <f t="shared" ref="T197:T203" si="204">$T$3</f>
        <v>471.89239871617241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18.679660229193185</v>
      </c>
      <c r="AA197" s="21">
        <f>EXP(-LN(2)/25)*AA196+(1-EXP(-LN(2)/25))/(LN(2)/25)*Calculateur!V197*Calculateur!X197*VLOOKUP('Données projet'!$B$9,Paramètres!$A$1:$I$89,3,0)*0.475*44/12</f>
        <v>1.4264772242977308</v>
      </c>
      <c r="AB197" s="21">
        <f>EXP(-LN(2)/2)*AB196+(1-EXP(-LN(2)/2))/(LN(2)/2)*V197*Y197*VLOOKUP('Données projet'!$B$9,Paramètres!$A$1:$I$89,3,0)*0.475*44/12</f>
        <v>2.6211800135383001E-19</v>
      </c>
      <c r="AC197" s="22">
        <f t="shared" si="163"/>
        <v>20.106137453490916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9.9316821433603781E-14</v>
      </c>
      <c r="AK197" s="13">
        <f t="shared" si="164"/>
        <v>1.4932118279712753E-12</v>
      </c>
      <c r="AL197" s="20">
        <f t="shared" si="165"/>
        <v>2.7736540643801645E-12</v>
      </c>
      <c r="AM197" s="59">
        <f t="shared" si="193"/>
        <v>293.3333333333361</v>
      </c>
      <c r="AN197" s="59">
        <f ca="1">AVERAGE(OFFSET($AM$3,0,0,'Données projet'!$E$10+1,1))-AVERAGE(OFFSET($H$3,0,0,'Données projet'!$E$10+1,1))</f>
        <v>208.92731420103507</v>
      </c>
      <c r="AO197" s="59">
        <f t="shared" ref="AO197:AO203" si="205">$AO$3</f>
        <v>247.96048911281395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4.1869165073019543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4.1869165073019543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-2.0838797354372215E-13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162.3892440844827</v>
      </c>
      <c r="BJ197" s="59">
        <f t="shared" ref="BJ197:BJ203" si="206">$BJ$3</f>
        <v>198.28846462484438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5.1847904835393566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5.1847904835393566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378.17323480030268</v>
      </c>
      <c r="T198" s="59">
        <f t="shared" si="204"/>
        <v>471.89239871617241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18.313363485566434</v>
      </c>
      <c r="AA198" s="21">
        <f>EXP(-LN(2)/25)*AA197+(1-EXP(-LN(2)/25))/(LN(2)/25)*Calculateur!V198*Calculateur!X198*VLOOKUP('Données projet'!$B$9,Paramètres!$A$1:$I$89,3,0)*0.475*44/12</f>
        <v>1.3874701295841325</v>
      </c>
      <c r="AB198" s="21">
        <f>EXP(-LN(2)/2)*AB197+(1-EXP(-LN(2)/2))/(LN(2)/2)*V198*Y198*VLOOKUP('Données projet'!$B$9,Paramètres!$A$1:$I$89,3,0)*0.475*44/12</f>
        <v>1.8534541622835785E-19</v>
      </c>
      <c r="AC198" s="22">
        <f t="shared" si="163"/>
        <v>19.700833615150568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9.9316821433603781E-14</v>
      </c>
      <c r="AK198" s="13">
        <f t="shared" si="164"/>
        <v>1.4932118279712753E-12</v>
      </c>
      <c r="AL198" s="20">
        <f t="shared" si="165"/>
        <v>2.7736540643801645E-12</v>
      </c>
      <c r="AM198" s="59">
        <f t="shared" si="193"/>
        <v>293.3333333333361</v>
      </c>
      <c r="AN198" s="59">
        <f ca="1">AVERAGE(OFFSET($AM$3,0,0,'Données projet'!$E$10+1,1))-AVERAGE(OFFSET($H$3,0,0,'Données projet'!$E$10+1,1))</f>
        <v>208.92731420103507</v>
      </c>
      <c r="AO198" s="59">
        <f t="shared" si="205"/>
        <v>247.96048911281395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4.1048136283606693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4.1048136283606693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-2.0838797354372215E-13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162.3892440844827</v>
      </c>
      <c r="BJ198" s="59">
        <f t="shared" si="206"/>
        <v>198.28846462484438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5.0831199045670825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5.0831199045670825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378.17323480030268</v>
      </c>
      <c r="T199" s="59">
        <f t="shared" si="204"/>
        <v>471.89239871617241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17.954249597663253</v>
      </c>
      <c r="AA199" s="21">
        <f>EXP(-LN(2)/25)*AA198+(1-EXP(-LN(2)/25))/(LN(2)/25)*Calculateur!V199*Calculateur!X199*VLOOKUP('Données projet'!$B$9,Paramètres!$A$1:$I$89,3,0)*0.475*44/12</f>
        <v>1.3495296859267714</v>
      </c>
      <c r="AB199" s="21">
        <f>EXP(-LN(2)/2)*AB198+(1-EXP(-LN(2)/2))/(LN(2)/2)*V199*Y199*VLOOKUP('Données projet'!$B$9,Paramètres!$A$1:$I$89,3,0)*0.475*44/12</f>
        <v>1.31059000676915E-19</v>
      </c>
      <c r="AC199" s="22">
        <f t="shared" si="163"/>
        <v>19.303779283590025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9.9316821433603781E-14</v>
      </c>
      <c r="AK199" s="13">
        <f t="shared" si="164"/>
        <v>1.4932118279712753E-12</v>
      </c>
      <c r="AL199" s="20">
        <f t="shared" si="165"/>
        <v>2.7736540643801645E-12</v>
      </c>
      <c r="AM199" s="59">
        <f t="shared" si="193"/>
        <v>293.3333333333361</v>
      </c>
      <c r="AN199" s="59">
        <f ca="1">AVERAGE(OFFSET($AM$3,0,0,'Données projet'!$E$10+1,1))-AVERAGE(OFFSET($H$3,0,0,'Données projet'!$E$10+1,1))</f>
        <v>208.92731420103507</v>
      </c>
      <c r="AO199" s="59">
        <f t="shared" si="205"/>
        <v>247.96048911281395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4.0243207367976108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4.0243207367976108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-2.0838797354372215E-13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162.3892440844827</v>
      </c>
      <c r="BJ199" s="59">
        <f t="shared" si="206"/>
        <v>198.28846462484438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4.9834430236355249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4.9834430236355249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378.17323480030268</v>
      </c>
      <c r="T200" s="59">
        <f t="shared" si="204"/>
        <v>471.89239871617241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17.602177714064009</v>
      </c>
      <c r="AA200" s="21">
        <f>EXP(-LN(2)/25)*AA199+(1-EXP(-LN(2)/25))/(LN(2)/25)*Calculateur!V200*Calculateur!X200*VLOOKUP('Données projet'!$B$9,Paramètres!$A$1:$I$89,3,0)*0.475*44/12</f>
        <v>1.3126267256964219</v>
      </c>
      <c r="AB200" s="21">
        <f>EXP(-LN(2)/2)*AB199+(1-EXP(-LN(2)/2))/(LN(2)/2)*V200*Y200*VLOOKUP('Données projet'!$B$9,Paramètres!$A$1:$I$89,3,0)*0.475*44/12</f>
        <v>9.2672708114178923E-20</v>
      </c>
      <c r="AC200" s="22">
        <f t="shared" si="163"/>
        <v>18.914804439760431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9.9316821433603781E-14</v>
      </c>
      <c r="AK200" s="13">
        <f t="shared" si="164"/>
        <v>1.4932118279712753E-12</v>
      </c>
      <c r="AL200" s="20">
        <f t="shared" si="165"/>
        <v>2.7736540643801645E-12</v>
      </c>
      <c r="AM200" s="59">
        <f t="shared" si="193"/>
        <v>293.3333333333361</v>
      </c>
      <c r="AN200" s="59">
        <f ca="1">AVERAGE(OFFSET($AM$3,0,0,'Données projet'!$E$10+1,1))-AVERAGE(OFFSET($H$3,0,0,'Données projet'!$E$10+1,1))</f>
        <v>208.92731420103507</v>
      </c>
      <c r="AO200" s="59">
        <f t="shared" si="205"/>
        <v>247.96048911281395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3.945406261742288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3.945406261742288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-2.0838797354372215E-13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162.3892440844827</v>
      </c>
      <c r="BJ200" s="59">
        <f t="shared" si="206"/>
        <v>198.28846462484438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4.885720745542141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4.885720745542141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378.17323480030268</v>
      </c>
      <c r="T201" s="59">
        <f t="shared" si="204"/>
        <v>471.89239871617241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17.2570097453595</v>
      </c>
      <c r="AA201" s="21">
        <f>EXP(-LN(2)/25)*AA200+(1-EXP(-LN(2)/25))/(LN(2)/25)*Calculateur!V201*Calculateur!X201*VLOOKUP('Données projet'!$B$9,Paramètres!$A$1:$I$89,3,0)*0.475*44/12</f>
        <v>1.2767328788542138</v>
      </c>
      <c r="AB201" s="21">
        <f>EXP(-LN(2)/2)*AB200+(1-EXP(-LN(2)/2))/(LN(2)/2)*V201*Y201*VLOOKUP('Données projet'!$B$9,Paramètres!$A$1:$I$89,3,0)*0.475*44/12</f>
        <v>6.5529500338457502E-20</v>
      </c>
      <c r="AC201" s="22">
        <f t="shared" si="163"/>
        <v>18.533742624213716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9.9316821433603781E-14</v>
      </c>
      <c r="AK201" s="13">
        <f t="shared" si="164"/>
        <v>1.4932118279712753E-12</v>
      </c>
      <c r="AL201" s="20">
        <f t="shared" si="165"/>
        <v>2.7736540643801645E-12</v>
      </c>
      <c r="AM201" s="59">
        <f t="shared" si="193"/>
        <v>293.3333333333361</v>
      </c>
      <c r="AN201" s="59">
        <f ca="1">AVERAGE(OFFSET($AM$3,0,0,'Données projet'!$E$10+1,1))-AVERAGE(OFFSET($H$3,0,0,'Données projet'!$E$10+1,1))</f>
        <v>208.92731420103507</v>
      </c>
      <c r="AO201" s="59">
        <f t="shared" si="205"/>
        <v>247.96048911281395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3.8680392514097233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3.8680392514097233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-2.0838797354372215E-13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162.3892440844827</v>
      </c>
      <c r="BJ201" s="59">
        <f t="shared" si="206"/>
        <v>198.28846462484438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4.7899147417174639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4.7899147417174639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378.17323480030268</v>
      </c>
      <c r="T202" s="59">
        <f t="shared" si="204"/>
        <v>471.89239871617241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16.918610309989614</v>
      </c>
      <c r="AA202" s="21">
        <f>EXP(-LN(2)/25)*AA201+(1-EXP(-LN(2)/25))/(LN(2)/25)*Calculateur!V202*Calculateur!X202*VLOOKUP('Données projet'!$B$9,Paramètres!$A$1:$I$89,3,0)*0.475*44/12</f>
        <v>1.2418205511414813</v>
      </c>
      <c r="AB202" s="21">
        <f>EXP(-LN(2)/2)*AB201+(1-EXP(-LN(2)/2))/(LN(2)/2)*V202*Y202*VLOOKUP('Données projet'!$B$9,Paramètres!$A$1:$I$89,3,0)*0.475*44/12</f>
        <v>4.6336354057089461E-20</v>
      </c>
      <c r="AC202" s="22">
        <f t="shared" si="163"/>
        <v>18.160430861131093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9.9316821433603781E-14</v>
      </c>
      <c r="AK202" s="13">
        <f t="shared" si="164"/>
        <v>1.4932118279712753E-12</v>
      </c>
      <c r="AL202" s="20">
        <f t="shared" si="165"/>
        <v>2.7736540643801645E-12</v>
      </c>
      <c r="AM202" s="59">
        <f t="shared" si="193"/>
        <v>293.3333333333361</v>
      </c>
      <c r="AN202" s="59">
        <f ca="1">AVERAGE(OFFSET($AM$3,0,0,'Données projet'!$E$10+1,1))-AVERAGE(OFFSET($H$3,0,0,'Données projet'!$E$10+1,1))</f>
        <v>208.92731420103507</v>
      </c>
      <c r="AO202" s="59">
        <f t="shared" si="205"/>
        <v>247.96048911281395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3.7921893609605632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3.7921893609605632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-2.0838797354372215E-13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162.3892440844827</v>
      </c>
      <c r="BJ202" s="59">
        <f t="shared" si="206"/>
        <v>198.28846462484438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4.6959874351918964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4.6959874351918964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378.17323480030268</v>
      </c>
      <c r="T203" s="59">
        <f t="shared" si="204"/>
        <v>471.89239871617241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16.586846681144056</v>
      </c>
      <c r="AA203" s="21">
        <f>EXP(-LN(2)/25)*AA202+(1-EXP(-LN(2)/25))/(LN(2)/25)*Calculateur!V203*Calculateur!X203*VLOOKUP('Données projet'!$B$9,Paramètres!$A$1:$I$89,3,0)*0.475*44/12</f>
        <v>1.2078629028660128</v>
      </c>
      <c r="AB203" s="21">
        <f>EXP(-LN(2)/2)*AB202+(1-EXP(-LN(2)/2))/(LN(2)/2)*V203*Y203*VLOOKUP('Données projet'!$B$9,Paramètres!$A$1:$I$89,3,0)*0.475*44/12</f>
        <v>3.2764750169228751E-20</v>
      </c>
      <c r="AC203" s="22">
        <f t="shared" si="163"/>
        <v>17.794709584010068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9.9316821433603781E-14</v>
      </c>
      <c r="AK203" s="13">
        <f t="shared" si="164"/>
        <v>1.4932118279712753E-12</v>
      </c>
      <c r="AL203" s="20">
        <f t="shared" si="165"/>
        <v>2.7736540643801645E-12</v>
      </c>
      <c r="AM203" s="59">
        <f t="shared" si="193"/>
        <v>293.3333333333361</v>
      </c>
      <c r="AN203" s="59">
        <f ca="1">AVERAGE(OFFSET($AM$3,0,0,'Données projet'!$E$10+1,1))-AVERAGE(OFFSET($H$3,0,0,'Données projet'!$E$10+1,1))</f>
        <v>208.92731420103507</v>
      </c>
      <c r="AO203" s="59">
        <f t="shared" si="205"/>
        <v>247.96048911281395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3.7178268405992463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3.7178268405992463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-2.0838797354372215E-13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162.3892440844827</v>
      </c>
      <c r="BJ203" s="59">
        <f t="shared" si="206"/>
        <v>198.28846462484438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4.6039019858572958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4.6039019858572958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1.4003603312913959</v>
      </c>
      <c r="BA205" s="82">
        <f>EXP(LN('Données projet'!B88)/'Données projet'!A88)</f>
        <v>1.2721747796233518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2.6374750084</v>
      </c>
      <c r="C6" s="147">
        <f ca="1">IF(OR('Données projet'!B9="",'Données projet'!C9="",'Données projet'!C9=0%),0,Calculateur!S3)</f>
        <v>378.17323480030268</v>
      </c>
      <c r="D6" s="147">
        <f>IF(OR('Données projet'!B9="",'Données projet'!C9="",'Données projet'!C9=0%),0,Calculateur!T3)</f>
        <v>471.89239871617241</v>
      </c>
      <c r="E6" s="147">
        <f ca="1">MIN(C6,D6)</f>
        <v>378.17323480030268</v>
      </c>
      <c r="F6" s="147">
        <f ca="1">E6*B6</f>
        <v>997.42245563158349</v>
      </c>
      <c r="G6" s="147">
        <f ca="1">F6*(100%-'Données projet'!$C$24)*(100%-'Données projet'!$C$25)*(100%-'Données projet'!$C$26)*(100%-'Données projet'!$C$27)</f>
        <v>897.68021006842514</v>
      </c>
      <c r="H6" s="148">
        <f>IF(OR('Données projet'!B9="",'Données projet'!C9="",'Données projet'!C9=0%),0,AVERAGE(Calculateur!$AC$3:$AC$33)*B6)</f>
        <v>12.121125875926062</v>
      </c>
      <c r="I6" s="149">
        <f>H6*(100%-'Données projet'!$C$24)*(100%-'Données projet'!$C$25)*(100%-'Données projet'!$C$26)*(100%-'Données projet'!$C$27)</f>
        <v>10.909013288333457</v>
      </c>
      <c r="J6" s="150">
        <f>IF(OR('Données projet'!B9="",'Données projet'!C9="",'Données projet'!C9=0%),0,SUM(Calculateur!$V$3:$V$33)*VLOOKUP('Données projet'!$B$9,Paramètres!$A$1:$I$89,9,0)*B6)</f>
        <v>122.484339390096</v>
      </c>
      <c r="K6" s="151">
        <f>J6*(100%-'Données projet'!$C$24)*(100%-'Données projet'!$C$25)*(100%-'Données projet'!$C$26)*(100%-'Données projet'!$C$27)</f>
        <v>110.2359054510864</v>
      </c>
      <c r="L6" s="152">
        <f ca="1">G6+I6+K6</f>
        <v>1018.825128807845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0.46666071040000001</v>
      </c>
      <c r="C7" s="147">
        <f ca="1">IF(OR('Données projet'!B10="",'Données projet'!C10="",'Données projet'!C10=0%),0,Calculateur!AN3)</f>
        <v>208.92731420103507</v>
      </c>
      <c r="D7" s="147">
        <f>IF(OR('Données projet'!B10="",'Données projet'!C10="",'Données projet'!C10=0%),0,Calculateur!AO3)</f>
        <v>247.96048911281395</v>
      </c>
      <c r="E7" s="147">
        <f t="shared" ref="E7:E15" ca="1" si="0">MIN(C7,D7)</f>
        <v>208.92731420103507</v>
      </c>
      <c r="F7" s="147">
        <f t="shared" ref="F7:F15" ca="1" si="1">E7*B7</f>
        <v>97.498168867019032</v>
      </c>
      <c r="G7" s="147">
        <f ca="1">F7*(100%-'Données projet'!$C$24)*(100%-'Données projet'!$C$25)*(100%-'Données projet'!$C$26)*(100%-'Données projet'!$C$27)</f>
        <v>87.748351980317125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87.748351980317125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Châtaignier</v>
      </c>
      <c r="B8" s="154">
        <f>'Données projet'!D11</f>
        <v>0.46666071040000001</v>
      </c>
      <c r="C8" s="147">
        <f ca="1">IF(OR('Données projet'!B11="",'Données projet'!C11="",'Données projet'!C11=0%),0,Calculateur!BI3)</f>
        <v>162.3892440844827</v>
      </c>
      <c r="D8" s="147">
        <f>IF(OR('Données projet'!B11="",'Données projet'!C11="",'Données projet'!C11=0%),0,Calculateur!BJ3)</f>
        <v>198.28846462484438</v>
      </c>
      <c r="E8" s="147">
        <f t="shared" ca="1" si="0"/>
        <v>162.3892440844827</v>
      </c>
      <c r="F8" s="147">
        <f t="shared" ca="1" si="1"/>
        <v>75.780680005783694</v>
      </c>
      <c r="G8" s="147">
        <f ca="1">F8*(100%-'Données projet'!$C$24)*(100%-'Données projet'!$C$25)*(100%-'Données projet'!$C$26)*(100%-'Données projet'!$C$27)</f>
        <v>68.202612005205324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68.202612005205324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1170.7013045043864</v>
      </c>
      <c r="G16" s="166">
        <f t="shared" ca="1" si="3"/>
        <v>1053.6311740539477</v>
      </c>
      <c r="H16" s="167">
        <f t="shared" si="3"/>
        <v>12.121125875926062</v>
      </c>
      <c r="I16" s="167">
        <f t="shared" si="3"/>
        <v>10.909013288333457</v>
      </c>
      <c r="J16" s="168">
        <f t="shared" si="3"/>
        <v>122.484339390096</v>
      </c>
      <c r="K16" s="168">
        <f t="shared" si="3"/>
        <v>110.2359054510864</v>
      </c>
      <c r="L16" s="169">
        <f t="shared" ca="1" si="3"/>
        <v>1174.7760927933675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75" zoomScaleNormal="75" workbookViewId="0">
      <selection activeCell="L14" sqref="L1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2758.268110243378</v>
      </c>
      <c r="U10" s="178">
        <f>'Données projet'!D9</f>
        <v>2.6374750084</v>
      </c>
      <c r="V10" s="177">
        <f>U10*T10</f>
        <v>7274.8632072336059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rouge d'Amérique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-2761.0352736950281</v>
      </c>
      <c r="U11" s="178">
        <f>'Données projet'!D10</f>
        <v>0.46666071040000001</v>
      </c>
      <c r="V11" s="177">
        <f t="shared" ref="V11" si="0">U11*T11</f>
        <v>-1288.4666822619802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Châtaignier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-2512.1376878936171</v>
      </c>
      <c r="U12" s="178">
        <f>'Données projet'!D11</f>
        <v>0.46666071040000001</v>
      </c>
      <c r="V12" s="177">
        <f t="shared" ref="V12:V19" si="1">U12*T12</f>
        <v>-1172.3159580550489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f>(1680+1200)*1.05</f>
        <v>3024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(2360)*1.05</f>
        <v>2478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f>400*1.05</f>
        <v>420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f>400*1.05</f>
        <v>420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19</v>
      </c>
      <c r="B23" s="181">
        <f>'Données projet'!D36</f>
        <v>0</v>
      </c>
      <c r="C23" s="193">
        <f>67*'Données projet'!E36+19.4*('Données projet'!F36+'Données projet'!G36)+10*'Données projet'!G36</f>
        <v>23.799999999999997</v>
      </c>
      <c r="D23" s="182">
        <f>B23*C23</f>
        <v>0</v>
      </c>
      <c r="E23" s="193"/>
      <c r="F23" s="229"/>
      <c r="H23" s="190">
        <v>3</v>
      </c>
      <c r="I23" s="191">
        <f>400*1.05</f>
        <v>420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-9729.1084319908005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54</v>
      </c>
      <c r="C24" s="193">
        <f>67*'Données projet'!E37+19.4*('Données projet'!F37+'Données projet'!G37)+10*'Données projet'!G37</f>
        <v>32.42</v>
      </c>
      <c r="D24" s="182">
        <f t="shared" ref="D24:D42" si="2">B24*C24</f>
        <v>1750.68</v>
      </c>
      <c r="E24" s="193"/>
      <c r="F24" s="232"/>
      <c r="H24" s="190">
        <v>4</v>
      </c>
      <c r="I24" s="191">
        <f>500*1.05</f>
        <v>525</v>
      </c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286.02109661172187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54</v>
      </c>
      <c r="C25" s="193">
        <f>67*'Données projet'!E38+19.4*('Données projet'!F38+'Données projet'!G38)+10*'Données projet'!G38</f>
        <v>32.42</v>
      </c>
      <c r="D25" s="182">
        <f t="shared" si="2"/>
        <v>1750.68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-10015.129528602522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69</v>
      </c>
      <c r="C26" s="193">
        <f>67*'Données projet'!E39+19.4*('Données projet'!F39+'Données projet'!G39)+10*'Données projet'!G39</f>
        <v>41.04</v>
      </c>
      <c r="D26" s="182">
        <f t="shared" si="2"/>
        <v>2831.7599999999998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72</v>
      </c>
      <c r="C27" s="193">
        <f>67*'Données projet'!E40+19.4*('Données projet'!F40+'Données projet'!G40)+10*'Données projet'!G40</f>
        <v>41.04</v>
      </c>
      <c r="D27" s="182">
        <f t="shared" si="2"/>
        <v>2954.88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66</v>
      </c>
      <c r="C28" s="193">
        <f>67*'Données projet'!E41+19.4*('Données projet'!F41+'Données projet'!G41)+10*'Données projet'!G41</f>
        <v>45.400000000000006</v>
      </c>
      <c r="D28" s="182">
        <f t="shared" si="2"/>
        <v>2996.4000000000005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48</v>
      </c>
      <c r="C29" s="193">
        <f>67*'Données projet'!E42+19.4*('Données projet'!F42+'Données projet'!G42)+10*'Données projet'!G42</f>
        <v>49.759999999999991</v>
      </c>
      <c r="D29" s="182">
        <f t="shared" si="2"/>
        <v>2388.4799999999996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35</v>
      </c>
      <c r="C30" s="193">
        <f>67*'Données projet'!E43+19.4*('Données projet'!F43+'Données projet'!G43)+10*'Données projet'!G43</f>
        <v>54.019999999999996</v>
      </c>
      <c r="D30" s="182">
        <f t="shared" si="2"/>
        <v>1890.6999999999998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666</v>
      </c>
      <c r="C31" s="193">
        <f>67*'Données projet'!E44+19.4*('Données projet'!F44+'Données projet'!G44)+10*'Données projet'!G44</f>
        <v>58.38</v>
      </c>
      <c r="D31" s="182">
        <f t="shared" si="2"/>
        <v>38881.08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>
        <f>67*'Données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>
        <f>67*'Données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>
        <f>67*'Données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>
        <f>67*'Données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>
        <f>67*'Données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>
        <f>67*'Données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>
        <f>67*'Données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>
        <f>67*'Données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>
        <f>67*'Données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>
        <f>67*'Données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>
        <f>67*'Données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f>(1764+3000)*1.05</f>
        <v>5002.2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>
        <f>150*'Données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15</v>
      </c>
      <c r="B55" s="181">
        <f>'Données projet'!D63</f>
        <v>0</v>
      </c>
      <c r="C55" s="191">
        <f>150*'Données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0</v>
      </c>
      <c r="C56" s="191">
        <f>150*'Données projet'!E64+13.8*('Données projet'!F64+'Données projet'!G64)+10*'Données projet'!H64</f>
        <v>10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25</v>
      </c>
      <c r="B57" s="181">
        <f>'Données projet'!D65</f>
        <v>0</v>
      </c>
      <c r="C57" s="191">
        <f>150*'Données projet'!E65+13.8*('Données projet'!F65+'Données projet'!G65)+10*'Données projet'!H65</f>
        <v>10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30</v>
      </c>
      <c r="B58" s="181">
        <f>'Données projet'!D66</f>
        <v>0</v>
      </c>
      <c r="C58" s="191">
        <f>150*'Données projet'!E66+13.8*('Données projet'!F66+'Données projet'!G66)+10*'Données projet'!H66</f>
        <v>10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35</v>
      </c>
      <c r="B59" s="181">
        <f>'Données projet'!D67</f>
        <v>27</v>
      </c>
      <c r="C59" s="191">
        <f>150*'Données projet'!E67+13.8*('Données projet'!F67+'Données projet'!G67)+10*'Données projet'!H67</f>
        <v>38</v>
      </c>
      <c r="D59" s="179">
        <f t="shared" si="4"/>
        <v>1026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40</v>
      </c>
      <c r="B60" s="181">
        <f>'Données projet'!D68</f>
        <v>27</v>
      </c>
      <c r="C60" s="191">
        <f>150*'Données projet'!E68+13.8*('Données projet'!F68+'Données projet'!G68)+10*'Données projet'!H68</f>
        <v>52</v>
      </c>
      <c r="D60" s="179">
        <f t="shared" si="4"/>
        <v>1404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45</v>
      </c>
      <c r="B61" s="181">
        <f>'Données projet'!D69</f>
        <v>26</v>
      </c>
      <c r="C61" s="191">
        <f>150*'Données projet'!E69+13.8*('Données projet'!F69+'Données projet'!G69)+10*'Données projet'!H69</f>
        <v>52</v>
      </c>
      <c r="D61" s="179">
        <f t="shared" si="4"/>
        <v>1352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50</v>
      </c>
      <c r="B62" s="181">
        <f>'Données projet'!D70</f>
        <v>24</v>
      </c>
      <c r="C62" s="191">
        <f>150*'Données projet'!E70+13.8*('Données projet'!F70+'Données projet'!G70)+10*'Données projet'!H70</f>
        <v>66</v>
      </c>
      <c r="D62" s="179">
        <f t="shared" si="4"/>
        <v>1584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55</v>
      </c>
      <c r="B63" s="181">
        <f>'Données projet'!D71</f>
        <v>23</v>
      </c>
      <c r="C63" s="191">
        <f>150*'Données projet'!E71+13.8*('Données projet'!F71+'Données projet'!G71)+10*'Données projet'!H71</f>
        <v>66</v>
      </c>
      <c r="D63" s="179">
        <f t="shared" si="4"/>
        <v>1518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60</v>
      </c>
      <c r="B64" s="181">
        <f>'Données projet'!D72</f>
        <v>225</v>
      </c>
      <c r="C64" s="191">
        <f>150*'Données projet'!E72+13.8*('Données projet'!F72+'Données projet'!G72)+10*'Données projet'!H72</f>
        <v>80</v>
      </c>
      <c r="D64" s="179">
        <f t="shared" si="4"/>
        <v>18000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>
        <f>150*'Données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>
        <f>150*'Données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f>150*'Données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150*'Données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150*'Données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150*'Données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150*'Données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150*'Données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150*'Données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Châtaignier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f>(2436+3000)*1.05</f>
        <v>5707.8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0</v>
      </c>
      <c r="C85" s="191">
        <f>150*'Données projet'!E88+19.4*('Données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0</v>
      </c>
      <c r="C86" s="191">
        <f>150*'Données projet'!E89+19.4*('Données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25</v>
      </c>
      <c r="B87" s="181">
        <f>'Données projet'!D90</f>
        <v>0</v>
      </c>
      <c r="C87" s="191">
        <f>150*'Données projet'!E90+19.4*('Données projet'!F90+'Données projet'!G90)+10*'Données projet'!H90</f>
        <v>10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0</v>
      </c>
      <c r="C88" s="191">
        <f>150*'Données projet'!E91+19.4*('Données projet'!F91+'Données projet'!G91)+10*'Données projet'!H91</f>
        <v>66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35</v>
      </c>
      <c r="B89" s="181">
        <f>'Données projet'!D92</f>
        <v>28</v>
      </c>
      <c r="C89" s="191">
        <f>150*'Données projet'!E92+19.4*('Données projet'!F92+'Données projet'!G92)+10*'Données projet'!H92</f>
        <v>66</v>
      </c>
      <c r="D89" s="179">
        <f t="shared" si="6"/>
        <v>1848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40</v>
      </c>
      <c r="B90" s="181">
        <f>'Données projet'!D93</f>
        <v>28</v>
      </c>
      <c r="C90" s="191">
        <f>150*'Données projet'!E93+19.4*('Données projet'!F93+'Données projet'!G93)+10*'Données projet'!H93</f>
        <v>80</v>
      </c>
      <c r="D90" s="179">
        <f t="shared" si="6"/>
        <v>2240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45</v>
      </c>
      <c r="B91" s="181">
        <f>'Données projet'!D94</f>
        <v>22</v>
      </c>
      <c r="C91" s="191">
        <f>150*'Données projet'!E94+19.4*('Données projet'!F94+'Données projet'!G94)+10*'Données projet'!H94</f>
        <v>80</v>
      </c>
      <c r="D91" s="179">
        <f t="shared" si="6"/>
        <v>1760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50</v>
      </c>
      <c r="B92" s="181">
        <f>'Données projet'!D95</f>
        <v>17</v>
      </c>
      <c r="C92" s="191">
        <f>150*'Données projet'!E95+19.4*('Données projet'!F95+'Données projet'!G95)+10*'Données projet'!H95</f>
        <v>94</v>
      </c>
      <c r="D92" s="179">
        <f t="shared" si="6"/>
        <v>1598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55</v>
      </c>
      <c r="B93" s="181">
        <f>'Données projet'!D96</f>
        <v>13</v>
      </c>
      <c r="C93" s="191">
        <f>150*'Données projet'!E96+19.4*('Données projet'!F96+'Données projet'!G96)+10*'Données projet'!H96</f>
        <v>94</v>
      </c>
      <c r="D93" s="179">
        <f t="shared" si="6"/>
        <v>1222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60</v>
      </c>
      <c r="B94" s="181">
        <f>'Données projet'!D97</f>
        <v>245</v>
      </c>
      <c r="C94" s="191">
        <f>150*'Données projet'!E97+19.4*('Données projet'!F97+'Données projet'!G97)+10*'Données projet'!H97</f>
        <v>108</v>
      </c>
      <c r="D94" s="179">
        <f t="shared" si="6"/>
        <v>26460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f>150*'Données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150*'Données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150*'Données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150*'Données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150*'Données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150*'Données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150*'Données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150*'Données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150*'Données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150*'Données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2023-07-06T08:37:31Z</dcterms:modified>
</cp:coreProperties>
</file>