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sew-sf-files\home_dir$\constance.morise\Desktop\LBC\DONZY\"/>
    </mc:Choice>
  </mc:AlternateContent>
  <xr:revisionPtr revIDLastSave="0" documentId="13_ncr:1_{6432BE94-EAFB-414D-872B-EC74B96C906B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FR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EB113" i="2"/>
  <c r="HG113" i="2"/>
  <c r="EC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Q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H130" i="2"/>
  <c r="EX130" i="2"/>
  <c r="EB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FS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X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HH163" i="2"/>
  <c r="HG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S164" i="2"/>
  <c r="HG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X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W175" i="2" l="1"/>
  <c r="A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I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A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82" i="2" a="1"/>
  <c r="BC82" i="2" s="1"/>
  <c r="BC114" i="2" a="1"/>
  <c r="BC114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BC65" i="2" a="1"/>
  <c r="BC65" i="2" s="1"/>
  <c r="BC126" i="2" a="1"/>
  <c r="BC126" i="2" s="1"/>
  <c r="BC68" i="2" a="1"/>
  <c r="BC68" i="2" s="1"/>
  <c r="AH166" i="2" a="1"/>
  <c r="AH166" i="2" s="1"/>
  <c r="BC47" i="2" a="1"/>
  <c r="BC47" i="2" s="1"/>
  <c r="BC58" i="2" a="1"/>
  <c r="BC58" i="2" s="1"/>
  <c r="AH19" i="2" a="1"/>
  <c r="AH1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<sst xmlns="http://schemas.openxmlformats.org/spreadsheetml/2006/main" count="1173" uniqueCount="325">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</sst>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182.10072116599244</c:v>
                </c:pt>
                <c:pt idx="22">
                  <c:v>204.40159586063615</c:v>
                </c:pt>
                <c:pt idx="23">
                  <c:v>226.64617327952342</c:v>
                </c:pt>
                <c:pt idx="24">
                  <c:v>248.84075611692765</c:v>
                </c:pt>
                <c:pt idx="25">
                  <c:v>270.99042974399362</c:v>
                </c:pt>
                <c:pt idx="26">
                  <c:v>293.09937981445825</c:v>
                </c:pt>
                <c:pt idx="27">
                  <c:v>315.17110877697831</c:v>
                </c:pt>
                <c:pt idx="28">
                  <c:v>337.20858844808726</c:v>
                </c:pt>
                <c:pt idx="29">
                  <c:v>359.21437055941556</c:v>
                </c:pt>
                <c:pt idx="30">
                  <c:v>381.1906687730571</c:v>
                </c:pt>
                <c:pt idx="31">
                  <c:v>261.79785034899129</c:v>
                </c:pt>
                <c:pt idx="32">
                  <c:v>280.73815459645317</c:v>
                </c:pt>
                <c:pt idx="33">
                  <c:v>299.64981878720499</c:v>
                </c:pt>
                <c:pt idx="34">
                  <c:v>318.53490425391584</c:v>
                </c:pt>
                <c:pt idx="35">
                  <c:v>337.39520795625043</c:v>
                </c:pt>
                <c:pt idx="36">
                  <c:v>356.23230957994474</c:v>
                </c:pt>
                <c:pt idx="37">
                  <c:v>375.04760814704065</c:v>
                </c:pt>
                <c:pt idx="38">
                  <c:v>393.84235089269197</c:v>
                </c:pt>
                <c:pt idx="39">
                  <c:v>412.61765634058537</c:v>
                </c:pt>
                <c:pt idx="40">
                  <c:v>431.37453295867743</c:v>
                </c:pt>
                <c:pt idx="41">
                  <c:v>318.16118821698825</c:v>
                </c:pt>
                <c:pt idx="42">
                  <c:v>333.47571872180367</c:v>
                </c:pt>
                <c:pt idx="43">
                  <c:v>348.77475306916625</c:v>
                </c:pt>
                <c:pt idx="44">
                  <c:v>364.05906664989811</c:v>
                </c:pt>
                <c:pt idx="45">
                  <c:v>379.32936443758246</c:v>
                </c:pt>
                <c:pt idx="46">
                  <c:v>394.58629002009144</c:v>
                </c:pt>
                <c:pt idx="47">
                  <c:v>409.83043316117727</c:v>
                </c:pt>
                <c:pt idx="48">
                  <c:v>425.06233617824199</c:v>
                </c:pt>
                <c:pt idx="49">
                  <c:v>440.28249935825096</c:v>
                </c:pt>
                <c:pt idx="50">
                  <c:v>455.49138558575515</c:v>
                </c:pt>
                <c:pt idx="51">
                  <c:v>357.72340809979374</c:v>
                </c:pt>
                <c:pt idx="52">
                  <c:v>369.64735159591163</c:v>
                </c:pt>
                <c:pt idx="53">
                  <c:v>381.56290588111841</c:v>
                </c:pt>
                <c:pt idx="54">
                  <c:v>393.47036990588686</c:v>
                </c:pt>
                <c:pt idx="55">
                  <c:v>405.37002304691237</c:v>
                </c:pt>
                <c:pt idx="56">
                  <c:v>417.26212693788676</c:v>
                </c:pt>
                <c:pt idx="57">
                  <c:v>429.14692708065195</c:v>
                </c:pt>
                <c:pt idx="58">
                  <c:v>441.02465426855321</c:v>
                </c:pt>
                <c:pt idx="59">
                  <c:v>452.89552584845791</c:v>
                </c:pt>
                <c:pt idx="60">
                  <c:v>464.75974684355998</c:v>
                </c:pt>
                <c:pt idx="61">
                  <c:v>386.58733728708853</c:v>
                </c:pt>
                <c:pt idx="62">
                  <c:v>395.70214171866638</c:v>
                </c:pt>
                <c:pt idx="63">
                  <c:v>404.81239742338335</c:v>
                </c:pt>
                <c:pt idx="64">
                  <c:v>413.91822125259881</c:v>
                </c:pt>
                <c:pt idx="65">
                  <c:v>423.01972449465944</c:v>
                </c:pt>
                <c:pt idx="66">
                  <c:v>432.11701325632816</c:v>
                </c:pt>
                <c:pt idx="67">
                  <c:v>441.21018881041033</c:v>
                </c:pt>
                <c:pt idx="68">
                  <c:v>450.29934791321972</c:v>
                </c:pt>
                <c:pt idx="69">
                  <c:v>459.38458309507399</c:v>
                </c:pt>
                <c:pt idx="70">
                  <c:v>468.46598292660593</c:v>
                </c:pt>
                <c:pt idx="71">
                  <c:v>406.67108505050049</c:v>
                </c:pt>
                <c:pt idx="72">
                  <c:v>413.54664028818587</c:v>
                </c:pt>
                <c:pt idx="73">
                  <c:v>420.41972959273056</c:v>
                </c:pt>
                <c:pt idx="74">
                  <c:v>427.29039899318792</c:v>
                </c:pt>
                <c:pt idx="75">
                  <c:v>434.1586929165548</c:v>
                </c:pt>
                <c:pt idx="76">
                  <c:v>441.02465426855321</c:v>
                </c:pt>
                <c:pt idx="77">
                  <c:v>447.88832450911667</c:v>
                </c:pt>
                <c:pt idx="78">
                  <c:v>454.74974372300727</c:v>
                </c:pt>
                <c:pt idx="79">
                  <c:v>461.60895068594567</c:v>
                </c:pt>
                <c:pt idx="80">
                  <c:v>468.4659829266057</c:v>
                </c:pt>
                <c:pt idx="81">
                  <c:v>421.90548322992339</c:v>
                </c:pt>
                <c:pt idx="82">
                  <c:v>427.29039899318786</c:v>
                </c:pt>
                <c:pt idx="83">
                  <c:v>432.67385549047032</c:v>
                </c:pt>
                <c:pt idx="84">
                  <c:v>438.05587345614805</c:v>
                </c:pt>
                <c:pt idx="85">
                  <c:v>443.43647307310084</c:v>
                </c:pt>
                <c:pt idx="86">
                  <c:v>448.81567399404236</c:v>
                </c:pt>
                <c:pt idx="87">
                  <c:v>454.19349536177742</c:v>
                </c:pt>
                <c:pt idx="88">
                  <c:v>459.56995582844655</c:v>
                </c:pt>
                <c:pt idx="89">
                  <c:v>464.94507357382491</c:v>
                </c:pt>
                <c:pt idx="90">
                  <c:v>470.31886632272813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5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12" sqref="C1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8.56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0.6</v>
      </c>
      <c r="D9" s="36">
        <f t="shared" ref="D9:D18" si="0">C9*$C$5</f>
        <v>5.1360000000000001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</v>
      </c>
      <c r="C10" s="35">
        <v>0.2</v>
      </c>
      <c r="D10" s="36">
        <f t="shared" si="0"/>
        <v>1.7120000000000002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35</v>
      </c>
      <c r="C11" s="35">
        <v>0.2</v>
      </c>
      <c r="D11" s="36">
        <f t="shared" si="0"/>
        <v>1.7120000000000002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8.56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 t="s">
        <v>324</v>
      </c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105</v>
      </c>
      <c r="C37" s="63">
        <v>1</v>
      </c>
      <c r="D37" s="63">
        <v>29</v>
      </c>
      <c r="E37" s="54"/>
      <c r="F37" s="54">
        <v>0.25</v>
      </c>
      <c r="G37" s="54">
        <v>0.25</v>
      </c>
      <c r="H37" s="54">
        <v>0.5</v>
      </c>
      <c r="I37" s="56">
        <f t="shared" ref="I37:I55" si="1">IF(A37&lt;&gt;0,(B37-(B36-D36))/(A37-A36),"")</f>
        <v>6.3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40</v>
      </c>
      <c r="B38" s="63">
        <v>158</v>
      </c>
      <c r="C38" s="63">
        <v>2</v>
      </c>
      <c r="D38" s="63">
        <v>42</v>
      </c>
      <c r="E38" s="54"/>
      <c r="F38" s="54"/>
      <c r="G38" s="54"/>
      <c r="H38" s="54"/>
      <c r="I38" s="56">
        <f t="shared" si="1"/>
        <v>8.1999999999999993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50</v>
      </c>
      <c r="B39" s="63">
        <v>199</v>
      </c>
      <c r="C39" s="63">
        <v>3</v>
      </c>
      <c r="D39" s="63">
        <v>42</v>
      </c>
      <c r="E39" s="54"/>
      <c r="F39" s="54"/>
      <c r="G39" s="54"/>
      <c r="H39" s="54"/>
      <c r="I39" s="52">
        <f t="shared" si="1"/>
        <v>8.3000000000000007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60</v>
      </c>
      <c r="B40" s="63">
        <v>235</v>
      </c>
      <c r="C40" s="63">
        <v>4</v>
      </c>
      <c r="D40" s="63">
        <v>42</v>
      </c>
      <c r="E40" s="54"/>
      <c r="F40" s="54"/>
      <c r="G40" s="54"/>
      <c r="H40" s="54"/>
      <c r="I40" s="52">
        <f t="shared" si="1"/>
        <v>7.8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70</v>
      </c>
      <c r="B41" s="63">
        <v>263</v>
      </c>
      <c r="C41" s="63">
        <v>5</v>
      </c>
      <c r="D41" s="63">
        <v>42</v>
      </c>
      <c r="E41" s="54"/>
      <c r="F41" s="54"/>
      <c r="G41" s="54"/>
      <c r="H41" s="54"/>
      <c r="I41" s="56">
        <f t="shared" si="1"/>
        <v>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80</v>
      </c>
      <c r="B42" s="63">
        <v>282</v>
      </c>
      <c r="C42" s="63">
        <v>6</v>
      </c>
      <c r="D42" s="63">
        <v>42</v>
      </c>
      <c r="E42" s="54"/>
      <c r="F42" s="54"/>
      <c r="G42" s="54"/>
      <c r="H42" s="54"/>
      <c r="I42" s="56">
        <f t="shared" si="1"/>
        <v>6.1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90</v>
      </c>
      <c r="B43" s="63">
        <v>296</v>
      </c>
      <c r="C43" s="63">
        <v>7</v>
      </c>
      <c r="D43" s="63">
        <v>42</v>
      </c>
      <c r="E43" s="54"/>
      <c r="F43" s="54"/>
      <c r="G43" s="54"/>
      <c r="H43" s="54"/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100</v>
      </c>
      <c r="B44" s="63">
        <v>303</v>
      </c>
      <c r="C44" s="63">
        <v>8</v>
      </c>
      <c r="D44" s="63">
        <v>42</v>
      </c>
      <c r="E44" s="54"/>
      <c r="F44" s="54"/>
      <c r="G44" s="54"/>
      <c r="H44" s="54"/>
      <c r="I44" s="52">
        <f t="shared" si="1"/>
        <v>4.9000000000000004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110</v>
      </c>
      <c r="B45" s="63">
        <v>305</v>
      </c>
      <c r="C45" s="63">
        <v>9</v>
      </c>
      <c r="D45" s="63">
        <v>39</v>
      </c>
      <c r="E45" s="54"/>
      <c r="F45" s="54"/>
      <c r="G45" s="54"/>
      <c r="H45" s="54"/>
      <c r="I45" s="52">
        <f t="shared" si="1"/>
        <v>4.4000000000000004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120</v>
      </c>
      <c r="B46" s="63">
        <v>303</v>
      </c>
      <c r="C46" s="63">
        <v>10</v>
      </c>
      <c r="D46" s="63">
        <v>303</v>
      </c>
      <c r="E46" s="54"/>
      <c r="F46" s="54"/>
      <c r="G46" s="54"/>
      <c r="H46" s="54"/>
      <c r="I46" s="52">
        <f t="shared" si="1"/>
        <v>3.7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132</v>
      </c>
      <c r="C62" s="63">
        <v>1</v>
      </c>
      <c r="D62" s="63">
        <v>50</v>
      </c>
      <c r="E62" s="54"/>
      <c r="F62" s="54">
        <v>0.25</v>
      </c>
      <c r="G62" s="54">
        <v>0.25</v>
      </c>
      <c r="H62" s="54">
        <v>0.5</v>
      </c>
      <c r="I62" s="56">
        <f>IFERROR(B62/A62,"")</f>
        <v>6.6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200</v>
      </c>
      <c r="C63" s="63">
        <v>2</v>
      </c>
      <c r="D63" s="63">
        <v>74</v>
      </c>
      <c r="E63" s="54">
        <v>0.1</v>
      </c>
      <c r="F63" s="54">
        <v>0.45</v>
      </c>
      <c r="G63" s="54">
        <v>0.45</v>
      </c>
      <c r="H63" s="54"/>
      <c r="I63" s="52">
        <f>IF(A63&lt;&gt;0,(B63-(B62-D62))/(A63-A62),"")</f>
        <v>11.8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40</v>
      </c>
      <c r="B64" s="63">
        <v>227</v>
      </c>
      <c r="C64" s="63">
        <v>3</v>
      </c>
      <c r="D64" s="63">
        <v>69</v>
      </c>
      <c r="E64" s="54"/>
      <c r="F64" s="54"/>
      <c r="G64" s="54"/>
      <c r="H64" s="54"/>
      <c r="I64" s="52">
        <f>IF(A64&lt;&gt;0,(B64-(B63-D63))/(A64-A63),"")</f>
        <v>10.1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50</v>
      </c>
      <c r="B65" s="63">
        <v>240</v>
      </c>
      <c r="C65" s="63">
        <v>4</v>
      </c>
      <c r="D65" s="63">
        <v>59</v>
      </c>
      <c r="E65" s="54"/>
      <c r="F65" s="54"/>
      <c r="G65" s="54"/>
      <c r="H65" s="54"/>
      <c r="I65" s="52">
        <f>IF(A65&lt;&gt;0,(B65-(B64-D64))/(A65-A64),"")</f>
        <v>8.1999999999999993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60</v>
      </c>
      <c r="B66" s="63">
        <v>245</v>
      </c>
      <c r="C66" s="63">
        <v>5</v>
      </c>
      <c r="D66" s="63">
        <v>47</v>
      </c>
      <c r="E66" s="54"/>
      <c r="F66" s="54"/>
      <c r="G66" s="54"/>
      <c r="H66" s="54"/>
      <c r="I66" s="52">
        <f t="shared" ref="I66:I81" si="2">IF(A66&lt;&gt;0,(B66-(B65-D65))/(A66-A65),"")</f>
        <v>6.4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70</v>
      </c>
      <c r="B67" s="63">
        <v>247</v>
      </c>
      <c r="C67" s="63">
        <v>6</v>
      </c>
      <c r="D67" s="63">
        <v>37</v>
      </c>
      <c r="E67" s="54"/>
      <c r="F67" s="54"/>
      <c r="G67" s="54"/>
      <c r="H67" s="54"/>
      <c r="I67" s="52">
        <f t="shared" si="2"/>
        <v>4.9000000000000004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80</v>
      </c>
      <c r="B68" s="63">
        <v>247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3.7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90</v>
      </c>
      <c r="B69" s="53">
        <v>248</v>
      </c>
      <c r="C69" s="53">
        <v>8</v>
      </c>
      <c r="D69" s="53">
        <v>248</v>
      </c>
      <c r="E69" s="54"/>
      <c r="F69" s="54"/>
      <c r="G69" s="54"/>
      <c r="H69" s="54"/>
      <c r="I69" s="52">
        <f t="shared" si="2"/>
        <v>2.9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91</v>
      </c>
      <c r="C88" s="63">
        <v>1</v>
      </c>
      <c r="D88" s="63">
        <v>3</v>
      </c>
      <c r="E88" s="54"/>
      <c r="F88" s="54">
        <v>0.5</v>
      </c>
      <c r="G88" s="54">
        <v>0.5</v>
      </c>
      <c r="H88" s="93"/>
      <c r="I88" s="56">
        <f>IFERROR(B88/A88,"")</f>
        <v>4.55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30</v>
      </c>
      <c r="B89" s="63">
        <v>218</v>
      </c>
      <c r="C89" s="63">
        <v>2</v>
      </c>
      <c r="D89" s="63">
        <v>70</v>
      </c>
      <c r="E89" s="54"/>
      <c r="F89" s="54">
        <v>0.5</v>
      </c>
      <c r="G89" s="54">
        <v>0.5</v>
      </c>
      <c r="H89" s="93"/>
      <c r="I89" s="56">
        <f t="shared" ref="I89:I107" si="3">IF(A89&lt;&gt;0,(B89-(B88-D88))/(A89-A88),"")</f>
        <v>13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40</v>
      </c>
      <c r="B90" s="63">
        <v>285</v>
      </c>
      <c r="C90" s="63">
        <v>3</v>
      </c>
      <c r="D90" s="63">
        <v>70</v>
      </c>
      <c r="E90" s="93"/>
      <c r="F90" s="93"/>
      <c r="G90" s="93"/>
      <c r="H90" s="93"/>
      <c r="I90" s="56">
        <f t="shared" si="3"/>
        <v>13.7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50</v>
      </c>
      <c r="B91" s="63">
        <v>343</v>
      </c>
      <c r="C91" s="63">
        <v>4</v>
      </c>
      <c r="D91" s="63">
        <v>70</v>
      </c>
      <c r="E91" s="93"/>
      <c r="F91" s="93"/>
      <c r="G91" s="93"/>
      <c r="H91" s="93"/>
      <c r="I91" s="56">
        <f t="shared" si="3"/>
        <v>12.8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60</v>
      </c>
      <c r="B92" s="63">
        <v>387</v>
      </c>
      <c r="C92" s="63">
        <v>5</v>
      </c>
      <c r="D92" s="63">
        <v>57</v>
      </c>
      <c r="E92" s="93"/>
      <c r="F92" s="93"/>
      <c r="G92" s="93"/>
      <c r="H92" s="93"/>
      <c r="I92" s="56">
        <f t="shared" si="3"/>
        <v>11.4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70</v>
      </c>
      <c r="B93" s="63">
        <v>422</v>
      </c>
      <c r="C93" s="63">
        <v>6</v>
      </c>
      <c r="D93" s="63">
        <v>44</v>
      </c>
      <c r="E93" s="93"/>
      <c r="F93" s="93"/>
      <c r="G93" s="93"/>
      <c r="H93" s="93"/>
      <c r="I93" s="56">
        <f t="shared" si="3"/>
        <v>9.1999999999999993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80</v>
      </c>
      <c r="B94" s="63">
        <v>450</v>
      </c>
      <c r="C94" s="63">
        <v>7</v>
      </c>
      <c r="D94" s="63">
        <v>450</v>
      </c>
      <c r="E94" s="93"/>
      <c r="F94" s="93"/>
      <c r="G94" s="93"/>
      <c r="H94" s="93"/>
      <c r="I94" s="56">
        <f t="shared" si="3"/>
        <v>7.2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laricio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237.22177246688199</v>
      </c>
      <c r="T3" s="62">
        <f>IF('Données projet'!E9&gt;30,$R$33-$H$33,LOOKUP('Données projet'!$E$9,$A$3:$A$203,R3:R203)-LOOKUP('Données projet'!$E$9,$A$3:$A$203,$H$3:$H$203))</f>
        <v>149.27472147904302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223.81948236065614</v>
      </c>
      <c r="AO3" s="62">
        <f>IF('Données projet'!E10&gt;30,$AM$33-$H$33,LOOKUP('Données projet'!$E$10,$A$3:$A$203,AM3:AM203)-LOOKUP('Données projet'!$E$10,$A$3:$A$203,$H$3:$H$203))</f>
        <v>320.1204011431372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216.94426559495264</v>
      </c>
      <c r="BJ3" s="62">
        <f>IF('Données projet'!E11&gt;30,$BH$33-$H$33,LOOKUP('Données projet'!$E$11,$A$3:$A$203,BH3:BH203)-LOOKUP('Données projet'!$E$11,$A$3:$A$203,$H$3:$H$203))</f>
        <v>225.33715877618704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296.09965856715894</v>
      </c>
      <c r="S4" s="62">
        <f ca="1">AVERAGE(OFFSET($R$3,0,0,'Données projet'!$E$9+1,1))-AVERAGE(OFFSET($H$3,0,0,'Données projet'!$E$9+1,1))</f>
        <v>237.22177246688199</v>
      </c>
      <c r="T4" s="62">
        <f>$T$3</f>
        <v>149.27472147904302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6.6</v>
      </c>
      <c r="AI4" s="14">
        <f>IF('Données projet'!$A$62&gt;35,AI3+AH4-AQ3,IF(A4&lt;'Données projet'!$A$62,$AF$205^A4,IF(A4='Données projet'!$A$62,'Données projet'!$B$62,AI3+AH4-AQ3)))</f>
        <v>1.2765231539157764</v>
      </c>
      <c r="AJ4" s="14">
        <f>AI4*VLOOKUP('Données projet'!$B$10,Paramètres!$A$1:$I$89,3,0)*VLOOKUP('Données projet'!$B$10,Paramètres!$A$1:$I$89,5,0)</f>
        <v>1.1151706272608224</v>
      </c>
      <c r="AK4" s="14">
        <f>EXP(-1.0587+0.8836*LN(AJ4)+0.284)</f>
        <v>0.50743784838663863</v>
      </c>
      <c r="AL4" s="22">
        <f t="shared" ref="AL4:AL67" si="4">(AJ4+AK4)*0.475*44/12</f>
        <v>2.8260430950859945</v>
      </c>
      <c r="AM4" s="62">
        <f t="shared" ref="AM4:AM67" si="5">AL4+(AD4+AE4)*44/12</f>
        <v>296.15937642841931</v>
      </c>
      <c r="AN4" s="62">
        <f ca="1">AVERAGE(OFFSET($AM$3,0,0,'Données projet'!$E$10+1,1))-AVERAGE(OFFSET($H$3,0,0,'Données projet'!$E$10+1,1))</f>
        <v>223.81948236065614</v>
      </c>
      <c r="AO4" s="62">
        <f>$AO$3</f>
        <v>320.1204011431372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4.55</v>
      </c>
      <c r="BD4" s="13">
        <f>IF('Données projet'!$A$88&gt;35,BD3+BC4-BL3,IF(A4&lt;'Données projet'!$A$88,$BA$205^A4,IF(A4='Données projet'!$A$88,'Données projet'!$B$88,BD3+BC4-BL3)))</f>
        <v>1.2530028811664373</v>
      </c>
      <c r="BE4" s="14">
        <f>BD4*VLOOKUP('Données projet'!$B$11,Paramètres!$A$1:$I$89,3,0)*VLOOKUP('Données projet'!$B$11,Paramètres!$A$1:$I$89,5,0)</f>
        <v>0.74929572293752955</v>
      </c>
      <c r="BF4" s="14">
        <f>EXP(-1.0587+0.8836*LN(BE4)+0.284)</f>
        <v>0.35710479340754359</v>
      </c>
      <c r="BG4" s="22">
        <f t="shared" ref="BG4:BG67" si="7">(BE4+BF4)*0.475*44/12</f>
        <v>1.9269808993010022</v>
      </c>
      <c r="BH4" s="62">
        <f t="shared" ref="BH4:BH67" si="8">BG4+(AY4+AZ4)*44/12</f>
        <v>295.2603142326343</v>
      </c>
      <c r="BI4" s="62">
        <f ca="1">AVERAGE(OFFSET($BH$3,0,0,'Données projet'!$E$11+1,1))-AVERAGE(OFFSET($H$3,0,0,'Données projet'!$E$11+1,1))</f>
        <v>216.94426559495264</v>
      </c>
      <c r="BJ4" s="62">
        <f>$BJ$3</f>
        <v>225.33715877618704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296.64562104315422</v>
      </c>
      <c r="S5" s="62">
        <f ca="1">AVERAGE(OFFSET($R$3,0,0,'Données projet'!$E$9+1,1))-AVERAGE(OFFSET($H$3,0,0,'Données projet'!$E$9+1,1))</f>
        <v>237.22177246688199</v>
      </c>
      <c r="T5" s="62">
        <f t="shared" ref="T5:T68" si="34">$T$3</f>
        <v>149.27472147904302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6.6</v>
      </c>
      <c r="AI5" s="14">
        <f>IF('Données projet'!$A$62&gt;35,AI4+AH5-AQ4,IF(A5&lt;'Données projet'!$A$62,$AF$205^A5,IF(A5='Données projet'!$A$62,'Données projet'!$B$62,AI4+AH5-AQ4)))</f>
        <v>1.629511362483081</v>
      </c>
      <c r="AJ5" s="14">
        <f>AI5*VLOOKUP('Données projet'!$B$10,Paramètres!$A$1:$I$89,3,0)*VLOOKUP('Données projet'!$B$10,Paramètres!$A$1:$I$89,5,0)</f>
        <v>1.4235411262652198</v>
      </c>
      <c r="AK5" s="14">
        <f t="shared" ref="AK5:AK68" si="35">EXP(-1.0587+0.8836*LN(AJ5)+0.284)</f>
        <v>0.62960738463416654</v>
      </c>
      <c r="AL5" s="22">
        <f t="shared" si="4"/>
        <v>3.5759003231497637</v>
      </c>
      <c r="AM5" s="62">
        <f t="shared" si="5"/>
        <v>296.90923365648308</v>
      </c>
      <c r="AN5" s="62">
        <f ca="1">AVERAGE(OFFSET($AM$3,0,0,'Données projet'!$E$10+1,1))-AVERAGE(OFFSET($H$3,0,0,'Données projet'!$E$10+1,1))</f>
        <v>223.81948236065614</v>
      </c>
      <c r="AO5" s="62">
        <f t="shared" ref="AO5:AO68" si="36">$AO$3</f>
        <v>320.1204011431372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4.55</v>
      </c>
      <c r="BD5" s="13">
        <f>IF('Données projet'!$A$88&gt;35,BD4+BC5-BL4,IF(A5&lt;'Données projet'!$A$88,$BA$205^A5,IF(A5='Données projet'!$A$88,'Données projet'!$B$88,BD4+BC5-BL4)))</f>
        <v>1.570016220211393</v>
      </c>
      <c r="BE5" s="14">
        <f>BD5*VLOOKUP('Données projet'!$B$11,Paramètres!$A$1:$I$89,3,0)*VLOOKUP('Données projet'!$B$11,Paramètres!$A$1:$I$89,5,0)</f>
        <v>0.9388696996864131</v>
      </c>
      <c r="BF5" s="14">
        <f t="shared" ref="BF5:BF68" si="37">EXP(-1.0587+0.8836*LN(BE5)+0.284)</f>
        <v>0.43585911075604999</v>
      </c>
      <c r="BG5" s="22">
        <f t="shared" si="7"/>
        <v>2.3943193448539568</v>
      </c>
      <c r="BH5" s="62">
        <f t="shared" si="8"/>
        <v>295.72765267818727</v>
      </c>
      <c r="BI5" s="62">
        <f ca="1">AVERAGE(OFFSET($BH$3,0,0,'Données projet'!$E$11+1,1))-AVERAGE(OFFSET($H$3,0,0,'Données projet'!$E$11+1,1))</f>
        <v>216.94426559495264</v>
      </c>
      <c r="BJ5" s="62">
        <f t="shared" ref="BJ5:BJ68" si="38">$BJ$3</f>
        <v>225.33715877618704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297.29973523978072</v>
      </c>
      <c r="S6" s="62">
        <f ca="1">AVERAGE(OFFSET($R$3,0,0,'Données projet'!$E$9+1,1))-AVERAGE(OFFSET($H$3,0,0,'Données projet'!$E$9+1,1))</f>
        <v>237.22177246688199</v>
      </c>
      <c r="T6" s="62">
        <f t="shared" si="34"/>
        <v>149.27472147904302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6.6</v>
      </c>
      <c r="AI6" s="14">
        <f>IF('Données projet'!$A$62&gt;35,AI5+AH6-AQ5,IF(A6&lt;'Données projet'!$A$62,$AF$205^A6,IF(A6='Données projet'!$A$62,'Données projet'!$B$62,AI5+AH6-AQ5)))</f>
        <v>2.0801089837784965</v>
      </c>
      <c r="AJ6" s="14">
        <f>AI6*VLOOKUP('Données projet'!$B$10,Paramètres!$A$1:$I$89,3,0)*VLOOKUP('Données projet'!$B$10,Paramètres!$A$1:$I$89,5,0)</f>
        <v>1.8171832082288948</v>
      </c>
      <c r="AK6" s="14">
        <f t="shared" si="35"/>
        <v>0.7811901694881791</v>
      </c>
      <c r="AL6" s="22">
        <f t="shared" si="4"/>
        <v>4.5255002995239044</v>
      </c>
      <c r="AM6" s="62">
        <f t="shared" si="5"/>
        <v>297.85883363285723</v>
      </c>
      <c r="AN6" s="62">
        <f ca="1">AVERAGE(OFFSET($AM$3,0,0,'Données projet'!$E$10+1,1))-AVERAGE(OFFSET($H$3,0,0,'Données projet'!$E$10+1,1))</f>
        <v>223.81948236065614</v>
      </c>
      <c r="AO6" s="62">
        <f t="shared" si="36"/>
        <v>320.1204011431372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4.55</v>
      </c>
      <c r="BD6" s="13">
        <f>IF('Données projet'!$A$88&gt;35,BD5+BC6-BL5,IF(A6&lt;'Données projet'!$A$88,$BA$205^A6,IF(A6='Données projet'!$A$88,'Données projet'!$B$88,BD5+BC6-BL5)))</f>
        <v>1.9672348474029151</v>
      </c>
      <c r="BE6" s="14">
        <f>BD6*VLOOKUP('Données projet'!$B$11,Paramètres!$A$1:$I$89,3,0)*VLOOKUP('Données projet'!$B$11,Paramètres!$A$1:$I$89,5,0)</f>
        <v>1.1764064387469433</v>
      </c>
      <c r="BF6" s="14">
        <f t="shared" si="37"/>
        <v>0.53198155817597481</v>
      </c>
      <c r="BG6" s="22">
        <f t="shared" si="7"/>
        <v>2.9754424279740825</v>
      </c>
      <c r="BH6" s="62">
        <f t="shared" si="8"/>
        <v>296.3087757613074</v>
      </c>
      <c r="BI6" s="62">
        <f ca="1">AVERAGE(OFFSET($BH$3,0,0,'Données projet'!$E$11+1,1))-AVERAGE(OFFSET($H$3,0,0,'Données projet'!$E$11+1,1))</f>
        <v>216.94426559495264</v>
      </c>
      <c r="BJ6" s="62">
        <f t="shared" si="38"/>
        <v>225.33715877618704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298.08350019263929</v>
      </c>
      <c r="S7" s="62">
        <f ca="1">AVERAGE(OFFSET($R$3,0,0,'Données projet'!$E$9+1,1))-AVERAGE(OFFSET($H$3,0,0,'Données projet'!$E$9+1,1))</f>
        <v>237.22177246688199</v>
      </c>
      <c r="T7" s="62">
        <f t="shared" si="34"/>
        <v>149.27472147904302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6.6</v>
      </c>
      <c r="AI7" s="14">
        <f>IF('Données projet'!$A$62&gt;35,AI6+AH7-AQ6,IF(A7&lt;'Données projet'!$A$62,$AF$205^A7,IF(A7='Données projet'!$A$62,'Données projet'!$B$62,AI6+AH7-AQ6)))</f>
        <v>2.655307280461467</v>
      </c>
      <c r="AJ7" s="14">
        <f>AI7*VLOOKUP('Données projet'!$B$10,Paramètres!$A$1:$I$89,3,0)*VLOOKUP('Données projet'!$B$10,Paramètres!$A$1:$I$89,5,0)</f>
        <v>2.3196764402111376</v>
      </c>
      <c r="AK7" s="14">
        <f t="shared" si="35"/>
        <v>0.96926766711854973</v>
      </c>
      <c r="AL7" s="22">
        <f t="shared" si="4"/>
        <v>5.7282443202658717</v>
      </c>
      <c r="AM7" s="62">
        <f t="shared" si="5"/>
        <v>299.06157765359916</v>
      </c>
      <c r="AN7" s="62">
        <f ca="1">AVERAGE(OFFSET($AM$3,0,0,'Données projet'!$E$10+1,1))-AVERAGE(OFFSET($H$3,0,0,'Données projet'!$E$10+1,1))</f>
        <v>223.81948236065614</v>
      </c>
      <c r="AO7" s="62">
        <f t="shared" si="36"/>
        <v>320.1204011431372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4.55</v>
      </c>
      <c r="BD7" s="13">
        <f>IF('Données projet'!$A$88&gt;35,BD6+BC7-BL6,IF(A7&lt;'Données projet'!$A$88,$BA$205^A7,IF(A7='Données projet'!$A$88,'Données projet'!$B$88,BD6+BC7-BL6)))</f>
        <v>2.4649509317268694</v>
      </c>
      <c r="BE7" s="14">
        <f>BD7*VLOOKUP('Données projet'!$B$11,Paramètres!$A$1:$I$89,3,0)*VLOOKUP('Données projet'!$B$11,Paramètres!$A$1:$I$89,5,0)</f>
        <v>1.4740406571726681</v>
      </c>
      <c r="BF7" s="14">
        <f t="shared" si="37"/>
        <v>0.64930242653052039</v>
      </c>
      <c r="BG7" s="22">
        <f t="shared" si="7"/>
        <v>3.6981558707830531</v>
      </c>
      <c r="BH7" s="62">
        <f t="shared" si="8"/>
        <v>297.03148920411638</v>
      </c>
      <c r="BI7" s="62">
        <f ca="1">AVERAGE(OFFSET($BH$3,0,0,'Données projet'!$E$11+1,1))-AVERAGE(OFFSET($H$3,0,0,'Données projet'!$E$11+1,1))</f>
        <v>216.94426559495264</v>
      </c>
      <c r="BJ7" s="62">
        <f t="shared" si="38"/>
        <v>225.33715877618704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299.02270258510697</v>
      </c>
      <c r="S8" s="62">
        <f ca="1">AVERAGE(OFFSET($R$3,0,0,'Données projet'!$E$9+1,1))-AVERAGE(OFFSET($H$3,0,0,'Données projet'!$E$9+1,1))</f>
        <v>237.22177246688199</v>
      </c>
      <c r="T8" s="62">
        <f t="shared" si="34"/>
        <v>149.27472147904302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6.6</v>
      </c>
      <c r="AI8" s="14">
        <f>IF('Données projet'!$A$62&gt;35,AI7+AH8-AQ7,IF(A8&lt;'Données projet'!$A$62,$AF$205^A8,IF(A8='Données projet'!$A$62,'Données projet'!$B$62,AI7+AH8-AQ7)))</f>
        <v>3.3895612242701949</v>
      </c>
      <c r="AJ8" s="14">
        <f>AI8*VLOOKUP('Données projet'!$B$10,Paramètres!$A$1:$I$89,3,0)*VLOOKUP('Données projet'!$B$10,Paramètres!$A$1:$I$89,5,0)</f>
        <v>2.9611206855224426</v>
      </c>
      <c r="AK8" s="14">
        <f t="shared" si="35"/>
        <v>1.2026262582604759</v>
      </c>
      <c r="AL8" s="22">
        <f t="shared" si="4"/>
        <v>7.2518592604219156</v>
      </c>
      <c r="AM8" s="62">
        <f t="shared" si="5"/>
        <v>300.58519259375521</v>
      </c>
      <c r="AN8" s="62">
        <f ca="1">AVERAGE(OFFSET($AM$3,0,0,'Données projet'!$E$10+1,1))-AVERAGE(OFFSET($H$3,0,0,'Données projet'!$E$10+1,1))</f>
        <v>223.81948236065614</v>
      </c>
      <c r="AO8" s="62">
        <f t="shared" si="36"/>
        <v>320.1204011431372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4.55</v>
      </c>
      <c r="BD8" s="13">
        <f>IF('Données projet'!$A$88&gt;35,BD7+BC8-BL7,IF(A8&lt;'Données projet'!$A$88,$BA$205^A8,IF(A8='Données projet'!$A$88,'Données projet'!$B$88,BD7+BC8-BL7)))</f>
        <v>3.0885906193876616</v>
      </c>
      <c r="BE8" s="14">
        <f>BD8*VLOOKUP('Données projet'!$B$11,Paramètres!$A$1:$I$89,3,0)*VLOOKUP('Données projet'!$B$11,Paramètres!$A$1:$I$89,5,0)</f>
        <v>1.8469771903938217</v>
      </c>
      <c r="BF8" s="14">
        <f t="shared" si="37"/>
        <v>0.79249672214945899</v>
      </c>
      <c r="BG8" s="22">
        <f t="shared" si="7"/>
        <v>4.59708373101288</v>
      </c>
      <c r="BH8" s="62">
        <f t="shared" si="8"/>
        <v>297.93041706434622</v>
      </c>
      <c r="BI8" s="62">
        <f ca="1">AVERAGE(OFFSET($BH$3,0,0,'Données projet'!$E$11+1,1))-AVERAGE(OFFSET($H$3,0,0,'Données projet'!$E$11+1,1))</f>
        <v>216.94426559495264</v>
      </c>
      <c r="BJ8" s="62">
        <f t="shared" si="38"/>
        <v>225.33715877618704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300.14827444069743</v>
      </c>
      <c r="S9" s="62">
        <f ca="1">AVERAGE(OFFSET($R$3,0,0,'Données projet'!$E$9+1,1))-AVERAGE(OFFSET($H$3,0,0,'Données projet'!$E$9+1,1))</f>
        <v>237.22177246688199</v>
      </c>
      <c r="T9" s="62">
        <f t="shared" si="34"/>
        <v>149.27472147904302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6.6</v>
      </c>
      <c r="AI9" s="14">
        <f>IF('Données projet'!$A$62&gt;35,AI8+AH9-AQ8,IF(A9&lt;'Données projet'!$A$62,$AF$205^A9,IF(A9='Données projet'!$A$62,'Données projet'!$B$62,AI8+AH9-AQ8)))</f>
        <v>4.32685338439601</v>
      </c>
      <c r="AJ9" s="14">
        <f>AI9*VLOOKUP('Données projet'!$B$10,Paramètres!$A$1:$I$89,3,0)*VLOOKUP('Données projet'!$B$10,Paramètres!$A$1:$I$89,5,0)</f>
        <v>3.7799391166083551</v>
      </c>
      <c r="AK9" s="14">
        <f t="shared" si="35"/>
        <v>1.4921677118944865</v>
      </c>
      <c r="AL9" s="22">
        <f t="shared" si="4"/>
        <v>9.1822527263091143</v>
      </c>
      <c r="AM9" s="62">
        <f t="shared" si="5"/>
        <v>302.51558605964243</v>
      </c>
      <c r="AN9" s="62">
        <f ca="1">AVERAGE(OFFSET($AM$3,0,0,'Données projet'!$E$10+1,1))-AVERAGE(OFFSET($H$3,0,0,'Données projet'!$E$10+1,1))</f>
        <v>223.81948236065614</v>
      </c>
      <c r="AO9" s="62">
        <f t="shared" si="36"/>
        <v>320.1204011431372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4.55</v>
      </c>
      <c r="BD9" s="13">
        <f>IF('Données projet'!$A$88&gt;35,BD8+BC9-BL8,IF(A9&lt;'Données projet'!$A$88,$BA$205^A9,IF(A9='Données projet'!$A$88,'Données projet'!$B$88,BD8+BC9-BL8)))</f>
        <v>3.8700129448363709</v>
      </c>
      <c r="BE9" s="14">
        <f>BD9*VLOOKUP('Données projet'!$B$11,Paramètres!$A$1:$I$89,3,0)*VLOOKUP('Données projet'!$B$11,Paramètres!$A$1:$I$89,5,0)</f>
        <v>2.3142677410121499</v>
      </c>
      <c r="BF9" s="14">
        <f t="shared" si="37"/>
        <v>0.96727045665540168</v>
      </c>
      <c r="BG9" s="22">
        <f t="shared" si="7"/>
        <v>5.7153456942709857</v>
      </c>
      <c r="BH9" s="62">
        <f t="shared" si="8"/>
        <v>299.04867902760429</v>
      </c>
      <c r="BI9" s="62">
        <f ca="1">AVERAGE(OFFSET($BH$3,0,0,'Données projet'!$E$11+1,1))-AVERAGE(OFFSET($H$3,0,0,'Données projet'!$E$11+1,1))</f>
        <v>216.94426559495264</v>
      </c>
      <c r="BJ9" s="62">
        <f t="shared" si="38"/>
        <v>225.33715877618704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301.49732286519185</v>
      </c>
      <c r="S10" s="62">
        <f ca="1">AVERAGE(OFFSET($R$3,0,0,'Données projet'!$E$9+1,1))-AVERAGE(OFFSET($H$3,0,0,'Données projet'!$E$9+1,1))</f>
        <v>237.22177246688199</v>
      </c>
      <c r="T10" s="62">
        <f t="shared" si="34"/>
        <v>149.27472147904302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6.6</v>
      </c>
      <c r="AI10" s="14">
        <f>IF('Données projet'!$A$62&gt;35,AI9+AH10-AQ9,IF(A10&lt;'Données projet'!$A$62,$AF$205^A10,IF(A10='Données projet'!$A$62,'Données projet'!$B$62,AI9+AH10-AQ9)))</f>
        <v>5.5233285287803451</v>
      </c>
      <c r="AJ10" s="14">
        <f>AI10*VLOOKUP('Données projet'!$B$10,Paramètres!$A$1:$I$89,3,0)*VLOOKUP('Données projet'!$B$10,Paramètres!$A$1:$I$89,5,0)</f>
        <v>4.8251798027425101</v>
      </c>
      <c r="AK10" s="14">
        <f t="shared" si="35"/>
        <v>1.8514184811173284</v>
      </c>
      <c r="AL10" s="22">
        <f t="shared" si="4"/>
        <v>11.628408677722552</v>
      </c>
      <c r="AM10" s="62">
        <f t="shared" si="5"/>
        <v>304.96174201105589</v>
      </c>
      <c r="AN10" s="62">
        <f ca="1">AVERAGE(OFFSET($AM$3,0,0,'Données projet'!$E$10+1,1))-AVERAGE(OFFSET($H$3,0,0,'Données projet'!$E$10+1,1))</f>
        <v>223.81948236065614</v>
      </c>
      <c r="AO10" s="62">
        <f t="shared" si="36"/>
        <v>320.1204011431372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4.55</v>
      </c>
      <c r="BD10" s="13">
        <f>IF('Données projet'!$A$88&gt;35,BD9+BC10-BL9,IF(A10&lt;'Données projet'!$A$88,$BA$205^A10,IF(A10='Données projet'!$A$88,'Données projet'!$B$88,BD9+BC10-BL9)))</f>
        <v>4.8491373700313813</v>
      </c>
      <c r="BE10" s="14">
        <f>BD10*VLOOKUP('Données projet'!$B$11,Paramètres!$A$1:$I$89,3,0)*VLOOKUP('Données projet'!$B$11,Paramètres!$A$1:$I$89,5,0)</f>
        <v>2.8997841472787664</v>
      </c>
      <c r="BF10" s="14">
        <f t="shared" si="37"/>
        <v>1.1805880203273573</v>
      </c>
      <c r="BG10" s="22">
        <f t="shared" si="7"/>
        <v>7.1066481919139983</v>
      </c>
      <c r="BH10" s="62">
        <f t="shared" si="8"/>
        <v>300.43998152524733</v>
      </c>
      <c r="BI10" s="62">
        <f ca="1">AVERAGE(OFFSET($BH$3,0,0,'Données projet'!$E$11+1,1))-AVERAGE(OFFSET($H$3,0,0,'Données projet'!$E$11+1,1))</f>
        <v>216.94426559495264</v>
      </c>
      <c r="BJ10" s="62">
        <f t="shared" si="38"/>
        <v>225.33715877618704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303.11436643935451</v>
      </c>
      <c r="S11" s="62">
        <f ca="1">AVERAGE(OFFSET($R$3,0,0,'Données projet'!$E$9+1,1))-AVERAGE(OFFSET($H$3,0,0,'Données projet'!$E$9+1,1))</f>
        <v>237.22177246688199</v>
      </c>
      <c r="T11" s="62">
        <f t="shared" si="34"/>
        <v>149.27472147904302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6.6</v>
      </c>
      <c r="AI11" s="14">
        <f>IF('Données projet'!$A$62&gt;35,AI10+AH11-AQ10,IF(A11&lt;'Données projet'!$A$62,$AF$205^A11,IF(A11='Données projet'!$A$62,'Données projet'!$B$62,AI10+AH11-AQ10)))</f>
        <v>7.0506567536716718</v>
      </c>
      <c r="AJ11" s="14">
        <f>AI11*VLOOKUP('Données projet'!$B$10,Paramètres!$A$1:$I$89,3,0)*VLOOKUP('Données projet'!$B$10,Paramètres!$A$1:$I$89,5,0)</f>
        <v>6.1594537400075735</v>
      </c>
      <c r="AK11" s="14">
        <f t="shared" si="35"/>
        <v>2.2971616158822084</v>
      </c>
      <c r="AL11" s="22">
        <f t="shared" si="4"/>
        <v>14.728605078174702</v>
      </c>
      <c r="AM11" s="62">
        <f t="shared" si="5"/>
        <v>308.06193841150804</v>
      </c>
      <c r="AN11" s="62">
        <f ca="1">AVERAGE(OFFSET($AM$3,0,0,'Données projet'!$E$10+1,1))-AVERAGE(OFFSET($H$3,0,0,'Données projet'!$E$10+1,1))</f>
        <v>223.81948236065614</v>
      </c>
      <c r="AO11" s="62">
        <f t="shared" si="36"/>
        <v>320.1204011431372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4.55</v>
      </c>
      <c r="BD11" s="13">
        <f>IF('Données projet'!$A$88&gt;35,BD10+BC11-BL10,IF(A11&lt;'Données projet'!$A$88,$BA$205^A11,IF(A11='Données projet'!$A$88,'Données projet'!$B$88,BD10+BC11-BL10)))</f>
        <v>6.0759830958211616</v>
      </c>
      <c r="BE11" s="14">
        <f>BD11*VLOOKUP('Données projet'!$B$11,Paramètres!$A$1:$I$89,3,0)*VLOOKUP('Données projet'!$B$11,Paramètres!$A$1:$I$89,5,0)</f>
        <v>3.633437891301055</v>
      </c>
      <c r="BF11" s="14">
        <f t="shared" si="37"/>
        <v>1.4409496993838373</v>
      </c>
      <c r="BG11" s="22">
        <f t="shared" si="7"/>
        <v>8.8378917204428529</v>
      </c>
      <c r="BH11" s="62">
        <f t="shared" si="8"/>
        <v>302.17122505377614</v>
      </c>
      <c r="BI11" s="62">
        <f ca="1">AVERAGE(OFFSET($BH$3,0,0,'Données projet'!$E$11+1,1))-AVERAGE(OFFSET($H$3,0,0,'Données projet'!$E$11+1,1))</f>
        <v>216.94426559495264</v>
      </c>
      <c r="BJ11" s="62">
        <f t="shared" si="38"/>
        <v>225.33715877618704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305.05281983783436</v>
      </c>
      <c r="S12" s="62">
        <f ca="1">AVERAGE(OFFSET($R$3,0,0,'Données projet'!$E$9+1,1))-AVERAGE(OFFSET($H$3,0,0,'Données projet'!$E$9+1,1))</f>
        <v>237.22177246688199</v>
      </c>
      <c r="T12" s="62">
        <f t="shared" si="34"/>
        <v>149.27472147904302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6.6</v>
      </c>
      <c r="AI12" s="14">
        <f>IF('Données projet'!$A$62&gt;35,AI11+AH12-AQ11,IF(A12&lt;'Données projet'!$A$62,$AF$205^A12,IF(A12='Données projet'!$A$62,'Données projet'!$B$62,AI11+AH12-AQ11)))</f>
        <v>9.0003265963745314</v>
      </c>
      <c r="AJ12" s="14">
        <f>AI12*VLOOKUP('Données projet'!$B$10,Paramètres!$A$1:$I$89,3,0)*VLOOKUP('Données projet'!$B$10,Paramètres!$A$1:$I$89,5,0)</f>
        <v>7.8626853145927917</v>
      </c>
      <c r="AK12" s="14">
        <f t="shared" si="35"/>
        <v>2.8502208135558442</v>
      </c>
      <c r="AL12" s="22">
        <f t="shared" si="4"/>
        <v>18.658311506525539</v>
      </c>
      <c r="AM12" s="62">
        <f t="shared" si="5"/>
        <v>311.99164483985885</v>
      </c>
      <c r="AN12" s="62">
        <f ca="1">AVERAGE(OFFSET($AM$3,0,0,'Données projet'!$E$10+1,1))-AVERAGE(OFFSET($H$3,0,0,'Données projet'!$E$10+1,1))</f>
        <v>223.81948236065614</v>
      </c>
      <c r="AO12" s="62">
        <f t="shared" si="36"/>
        <v>320.1204011431372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4.55</v>
      </c>
      <c r="BD12" s="13">
        <f>IF('Données projet'!$A$88&gt;35,BD11+BC12-BL11,IF(A12&lt;'Données projet'!$A$88,$BA$205^A12,IF(A12='Données projet'!$A$88,'Données projet'!$B$88,BD11+BC12-BL11)))</f>
        <v>7.6132243249824851</v>
      </c>
      <c r="BE12" s="14">
        <f>BD12*VLOOKUP('Données projet'!$B$11,Paramètres!$A$1:$I$89,3,0)*VLOOKUP('Données projet'!$B$11,Paramètres!$A$1:$I$89,5,0)</f>
        <v>4.5527081463395263</v>
      </c>
      <c r="BF12" s="14">
        <f t="shared" si="37"/>
        <v>1.758730395704539</v>
      </c>
      <c r="BG12" s="22">
        <f t="shared" si="7"/>
        <v>10.992422127393413</v>
      </c>
      <c r="BH12" s="62">
        <f t="shared" si="8"/>
        <v>304.32575546072673</v>
      </c>
      <c r="BI12" s="62">
        <f ca="1">AVERAGE(OFFSET($BH$3,0,0,'Données projet'!$E$11+1,1))-AVERAGE(OFFSET($H$3,0,0,'Données projet'!$E$11+1,1))</f>
        <v>216.94426559495264</v>
      </c>
      <c r="BJ12" s="62">
        <f t="shared" si="38"/>
        <v>225.33715877618704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307.37677663358653</v>
      </c>
      <c r="S13" s="62">
        <f ca="1">AVERAGE(OFFSET($R$3,0,0,'Données projet'!$E$9+1,1))-AVERAGE(OFFSET($H$3,0,0,'Données projet'!$E$9+1,1))</f>
        <v>237.22177246688199</v>
      </c>
      <c r="T13" s="62">
        <f t="shared" si="34"/>
        <v>149.27472147904302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6.6</v>
      </c>
      <c r="AI13" s="14">
        <f>IF('Données projet'!$A$62&gt;35,AI12+AH13-AQ12,IF(A13&lt;'Données projet'!$A$62,$AF$205^A13,IF(A13='Données projet'!$A$62,'Données projet'!$B$62,AI12+AH13-AQ12)))</f>
        <v>11.489125293076063</v>
      </c>
      <c r="AJ13" s="14">
        <f>AI13*VLOOKUP('Données projet'!$B$10,Paramètres!$A$1:$I$89,3,0)*VLOOKUP('Données projet'!$B$10,Paramètres!$A$1:$I$89,5,0)</f>
        <v>10.036899856031249</v>
      </c>
      <c r="AK13" s="14">
        <f t="shared" si="35"/>
        <v>3.5364332356333024</v>
      </c>
      <c r="AL13" s="22">
        <f t="shared" si="4"/>
        <v>23.640221801315761</v>
      </c>
      <c r="AM13" s="62">
        <f t="shared" si="5"/>
        <v>316.97355513464908</v>
      </c>
      <c r="AN13" s="62">
        <f ca="1">AVERAGE(OFFSET($AM$3,0,0,'Données projet'!$E$10+1,1))-AVERAGE(OFFSET($H$3,0,0,'Données projet'!$E$10+1,1))</f>
        <v>223.81948236065614</v>
      </c>
      <c r="AO13" s="62">
        <f t="shared" si="36"/>
        <v>320.1204011431372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4.55</v>
      </c>
      <c r="BD13" s="13">
        <f>IF('Données projet'!$A$88&gt;35,BD12+BC13-BL12,IF(A13&lt;'Données projet'!$A$88,$BA$205^A13,IF(A13='Données projet'!$A$88,'Données projet'!$B$88,BD12+BC13-BL12)))</f>
        <v>9.5393920141694579</v>
      </c>
      <c r="BE13" s="14">
        <f>BD13*VLOOKUP('Données projet'!$B$11,Paramètres!$A$1:$I$89,3,0)*VLOOKUP('Données projet'!$B$11,Paramètres!$A$1:$I$89,5,0)</f>
        <v>5.7045564244733367</v>
      </c>
      <c r="BF13" s="14">
        <f t="shared" si="37"/>
        <v>2.1465930463066791</v>
      </c>
      <c r="BG13" s="22">
        <f t="shared" si="7"/>
        <v>13.674085328275192</v>
      </c>
      <c r="BH13" s="62">
        <f t="shared" si="8"/>
        <v>307.00741866160848</v>
      </c>
      <c r="BI13" s="62">
        <f ca="1">AVERAGE(OFFSET($BH$3,0,0,'Données projet'!$E$11+1,1))-AVERAGE(OFFSET($H$3,0,0,'Données projet'!$E$11+1,1))</f>
        <v>216.94426559495264</v>
      </c>
      <c r="BJ13" s="62">
        <f t="shared" si="38"/>
        <v>225.33715877618704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310.1631503249921</v>
      </c>
      <c r="S14" s="62">
        <f ca="1">AVERAGE(OFFSET($R$3,0,0,'Données projet'!$E$9+1,1))-AVERAGE(OFFSET($H$3,0,0,'Données projet'!$E$9+1,1))</f>
        <v>237.22177246688199</v>
      </c>
      <c r="T14" s="62">
        <f t="shared" si="34"/>
        <v>149.27472147904302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6.6</v>
      </c>
      <c r="AI14" s="14">
        <f>IF('Données projet'!$A$62&gt;35,AI13+AH14-AQ13,IF(A14&lt;'Données projet'!$A$62,$AF$205^A14,IF(A14='Données projet'!$A$62,'Données projet'!$B$62,AI13+AH14-AQ13)))</f>
        <v>14.666134454850974</v>
      </c>
      <c r="AJ14" s="14">
        <f>AI14*VLOOKUP('Données projet'!$B$10,Paramètres!$A$1:$I$89,3,0)*VLOOKUP('Données projet'!$B$10,Paramètres!$A$1:$I$89,5,0)</f>
        <v>12.812335059757812</v>
      </c>
      <c r="AK14" s="14">
        <f t="shared" si="35"/>
        <v>4.3878565375042955</v>
      </c>
      <c r="AL14" s="22">
        <f t="shared" si="4"/>
        <v>29.957000365231504</v>
      </c>
      <c r="AM14" s="62">
        <f t="shared" si="5"/>
        <v>323.29033369856484</v>
      </c>
      <c r="AN14" s="62">
        <f ca="1">AVERAGE(OFFSET($AM$3,0,0,'Données projet'!$E$10+1,1))-AVERAGE(OFFSET($H$3,0,0,'Données projet'!$E$10+1,1))</f>
        <v>223.81948236065614</v>
      </c>
      <c r="AO14" s="62">
        <f t="shared" si="36"/>
        <v>320.1204011431372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4.55</v>
      </c>
      <c r="BD14" s="13">
        <f>IF('Données projet'!$A$88&gt;35,BD13+BC14-BL13,IF(A14&lt;'Données projet'!$A$88,$BA$205^A14,IF(A14='Données projet'!$A$88,'Données projet'!$B$88,BD13+BC14-BL13)))</f>
        <v>11.952885678330434</v>
      </c>
      <c r="BE14" s="14">
        <f>BD14*VLOOKUP('Données projet'!$B$11,Paramètres!$A$1:$I$89,3,0)*VLOOKUP('Données projet'!$B$11,Paramètres!$A$1:$I$89,5,0)</f>
        <v>7.147825635641599</v>
      </c>
      <c r="BF14" s="14">
        <f t="shared" si="37"/>
        <v>2.6199932165306663</v>
      </c>
      <c r="BG14" s="22">
        <f t="shared" si="7"/>
        <v>17.012284500866695</v>
      </c>
      <c r="BH14" s="62">
        <f t="shared" si="8"/>
        <v>310.34561783420003</v>
      </c>
      <c r="BI14" s="62">
        <f ca="1">AVERAGE(OFFSET($BH$3,0,0,'Données projet'!$E$11+1,1))-AVERAGE(OFFSET($H$3,0,0,'Données projet'!$E$11+1,1))</f>
        <v>216.94426559495264</v>
      </c>
      <c r="BJ14" s="62">
        <f t="shared" si="38"/>
        <v>225.33715877618704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313.50424573777804</v>
      </c>
      <c r="S15" s="62">
        <f ca="1">AVERAGE(OFFSET($R$3,0,0,'Données projet'!$E$9+1,1))-AVERAGE(OFFSET($H$3,0,0,'Données projet'!$E$9+1,1))</f>
        <v>237.22177246688199</v>
      </c>
      <c r="T15" s="62">
        <f t="shared" si="34"/>
        <v>149.27472147904302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6.6</v>
      </c>
      <c r="AI15" s="14">
        <f>IF('Données projet'!$A$62&gt;35,AI14+AH15-AQ14,IF(A15&lt;'Données projet'!$A$62,$AF$205^A15,IF(A15='Données projet'!$A$62,'Données projet'!$B$62,AI14+AH15-AQ14)))</f>
        <v>18.721660210059202</v>
      </c>
      <c r="AJ15" s="14">
        <f>AI15*VLOOKUP('Données projet'!$B$10,Paramètres!$A$1:$I$89,3,0)*VLOOKUP('Données projet'!$B$10,Paramètres!$A$1:$I$89,5,0)</f>
        <v>16.35524235950772</v>
      </c>
      <c r="AK15" s="14">
        <f t="shared" si="35"/>
        <v>5.4442664998513175</v>
      </c>
      <c r="AL15" s="22">
        <f t="shared" si="4"/>
        <v>37.967477930050322</v>
      </c>
      <c r="AM15" s="62">
        <f t="shared" si="5"/>
        <v>331.30081126338365</v>
      </c>
      <c r="AN15" s="62">
        <f ca="1">AVERAGE(OFFSET($AM$3,0,0,'Données projet'!$E$10+1,1))-AVERAGE(OFFSET($H$3,0,0,'Données projet'!$E$10+1,1))</f>
        <v>223.81948236065614</v>
      </c>
      <c r="AO15" s="62">
        <f t="shared" si="36"/>
        <v>320.1204011431372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4.55</v>
      </c>
      <c r="BD15" s="13">
        <f>IF('Données projet'!$A$88&gt;35,BD14+BC15-BL14,IF(A15&lt;'Données projet'!$A$88,$BA$205^A15,IF(A15='Données projet'!$A$88,'Données projet'!$B$88,BD14+BC15-BL14)))</f>
        <v>14.97700019320108</v>
      </c>
      <c r="BE15" s="14">
        <f>BD15*VLOOKUP('Données projet'!$B$11,Paramètres!$A$1:$I$89,3,0)*VLOOKUP('Données projet'!$B$11,Paramètres!$A$1:$I$89,5,0)</f>
        <v>8.9562461155342472</v>
      </c>
      <c r="BF15" s="14">
        <f t="shared" si="37"/>
        <v>3.1977949739831653</v>
      </c>
      <c r="BG15" s="22">
        <f t="shared" si="7"/>
        <v>21.168288230909493</v>
      </c>
      <c r="BH15" s="62">
        <f t="shared" si="8"/>
        <v>314.50162156424278</v>
      </c>
      <c r="BI15" s="62">
        <f ca="1">AVERAGE(OFFSET($BH$3,0,0,'Données projet'!$E$11+1,1))-AVERAGE(OFFSET($H$3,0,0,'Données projet'!$E$11+1,1))</f>
        <v>216.94426559495264</v>
      </c>
      <c r="BJ15" s="62">
        <f t="shared" si="38"/>
        <v>225.33715877618704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317.51084751837828</v>
      </c>
      <c r="S16" s="62">
        <f ca="1">AVERAGE(OFFSET($R$3,0,0,'Données projet'!$E$9+1,1))-AVERAGE(OFFSET($H$3,0,0,'Données projet'!$E$9+1,1))</f>
        <v>237.22177246688199</v>
      </c>
      <c r="T16" s="62">
        <f t="shared" si="34"/>
        <v>149.27472147904302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6.6</v>
      </c>
      <c r="AI16" s="14">
        <f>IF('Données projet'!$A$62&gt;35,AI15+AH16-AQ15,IF(A16&lt;'Données projet'!$A$62,$AF$205^A16,IF(A16='Données projet'!$A$62,'Données projet'!$B$62,AI15+AH16-AQ15)))</f>
        <v>23.89863273788427</v>
      </c>
      <c r="AJ16" s="14">
        <f>AI16*VLOOKUP('Données projet'!$B$10,Paramètres!$A$1:$I$89,3,0)*VLOOKUP('Données projet'!$B$10,Paramètres!$A$1:$I$89,5,0)</f>
        <v>20.8778455598157</v>
      </c>
      <c r="AK16" s="14">
        <f t="shared" si="35"/>
        <v>6.7550152262411558</v>
      </c>
      <c r="AL16" s="22">
        <f t="shared" si="4"/>
        <v>48.127232535715684</v>
      </c>
      <c r="AM16" s="62">
        <f t="shared" si="5"/>
        <v>341.46056586904899</v>
      </c>
      <c r="AN16" s="62">
        <f ca="1">AVERAGE(OFFSET($AM$3,0,0,'Données projet'!$E$10+1,1))-AVERAGE(OFFSET($H$3,0,0,'Données projet'!$E$10+1,1))</f>
        <v>223.81948236065614</v>
      </c>
      <c r="AO16" s="62">
        <f t="shared" si="36"/>
        <v>320.1204011431372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4.55</v>
      </c>
      <c r="BD16" s="13">
        <f>IF('Données projet'!$A$88&gt;35,BD15+BC16-BL15,IF(A16&lt;'Données projet'!$A$88,$BA$205^A16,IF(A16='Données projet'!$A$88,'Données projet'!$B$88,BD15+BC16-BL15)))</f>
        <v>18.766224393311244</v>
      </c>
      <c r="BE16" s="14">
        <f>BD16*VLOOKUP('Données projet'!$B$11,Paramètres!$A$1:$I$89,3,0)*VLOOKUP('Données projet'!$B$11,Paramètres!$A$1:$I$89,5,0)</f>
        <v>11.222202187200125</v>
      </c>
      <c r="BF16" s="14">
        <f t="shared" si="37"/>
        <v>3.903022584605345</v>
      </c>
      <c r="BG16" s="22">
        <f t="shared" si="7"/>
        <v>26.343099810894525</v>
      </c>
      <c r="BH16" s="62">
        <f t="shared" si="8"/>
        <v>319.67643314422781</v>
      </c>
      <c r="BI16" s="62">
        <f ca="1">AVERAGE(OFFSET($BH$3,0,0,'Données projet'!$E$11+1,1))-AVERAGE(OFFSET($H$3,0,0,'Données projet'!$E$11+1,1))</f>
        <v>216.94426559495264</v>
      </c>
      <c r="BJ16" s="62">
        <f t="shared" si="38"/>
        <v>225.33715877618704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322.31592994573543</v>
      </c>
      <c r="S17" s="62">
        <f ca="1">AVERAGE(OFFSET($R$3,0,0,'Données projet'!$E$9+1,1))-AVERAGE(OFFSET($H$3,0,0,'Données projet'!$E$9+1,1))</f>
        <v>237.22177246688199</v>
      </c>
      <c r="T17" s="62">
        <f t="shared" si="34"/>
        <v>149.27472147904302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6.6</v>
      </c>
      <c r="AI17" s="14">
        <f>IF('Données projet'!$A$62&gt;35,AI16+AH17-AQ16,IF(A17&lt;'Données projet'!$A$62,$AF$205^A17,IF(A17='Données projet'!$A$62,'Données projet'!$B$62,AI16+AH17-AQ16)))</f>
        <v>30.50715803683886</v>
      </c>
      <c r="AJ17" s="14">
        <f>AI17*VLOOKUP('Données projet'!$B$10,Paramètres!$A$1:$I$89,3,0)*VLOOKUP('Données projet'!$B$10,Paramètres!$A$1:$I$89,5,0)</f>
        <v>26.651053260982433</v>
      </c>
      <c r="AK17" s="14">
        <f t="shared" si="35"/>
        <v>8.3813367159737684</v>
      </c>
      <c r="AL17" s="22">
        <f t="shared" si="4"/>
        <v>61.014745876532061</v>
      </c>
      <c r="AM17" s="62">
        <f t="shared" si="5"/>
        <v>354.34807920986538</v>
      </c>
      <c r="AN17" s="62">
        <f ca="1">AVERAGE(OFFSET($AM$3,0,0,'Données projet'!$E$10+1,1))-AVERAGE(OFFSET($H$3,0,0,'Données projet'!$E$10+1,1))</f>
        <v>223.81948236065614</v>
      </c>
      <c r="AO17" s="62">
        <f t="shared" si="36"/>
        <v>320.1204011431372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4.55</v>
      </c>
      <c r="BD17" s="13">
        <f>IF('Données projet'!$A$88&gt;35,BD16+BC17-BL16,IF(A17&lt;'Données projet'!$A$88,$BA$205^A17,IF(A17='Données projet'!$A$88,'Données projet'!$B$88,BD16+BC17-BL16)))</f>
        <v>23.514133233434862</v>
      </c>
      <c r="BE17" s="14">
        <f>BD17*VLOOKUP('Données projet'!$B$11,Paramètres!$A$1:$I$89,3,0)*VLOOKUP('Données projet'!$B$11,Paramètres!$A$1:$I$89,5,0)</f>
        <v>14.061451673594048</v>
      </c>
      <c r="BF17" s="14">
        <f t="shared" si="37"/>
        <v>4.7637779844792423</v>
      </c>
      <c r="BG17" s="22">
        <f t="shared" si="7"/>
        <v>32.787274987810981</v>
      </c>
      <c r="BH17" s="62">
        <f t="shared" si="8"/>
        <v>326.12060832114429</v>
      </c>
      <c r="BI17" s="62">
        <f ca="1">AVERAGE(OFFSET($BH$3,0,0,'Données projet'!$E$11+1,1))-AVERAGE(OFFSET($H$3,0,0,'Données projet'!$E$11+1,1))</f>
        <v>216.94426559495264</v>
      </c>
      <c r="BJ17" s="62">
        <f t="shared" si="38"/>
        <v>225.33715877618704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328.07911334160997</v>
      </c>
      <c r="S18" s="62">
        <f ca="1">AVERAGE(OFFSET($R$3,0,0,'Données projet'!$E$9+1,1))-AVERAGE(OFFSET($H$3,0,0,'Données projet'!$E$9+1,1))</f>
        <v>237.22177246688199</v>
      </c>
      <c r="T18" s="62">
        <f t="shared" si="34"/>
        <v>149.27472147904302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6.6</v>
      </c>
      <c r="AI18" s="14">
        <f>IF('Données projet'!$A$62&gt;35,AI17+AH18-AQ17,IF(A18&lt;'Données projet'!$A$62,$AF$205^A18,IF(A18='Données projet'!$A$62,'Données projet'!$B$62,AI17+AH18-AQ17)))</f>
        <v>38.943093594192561</v>
      </c>
      <c r="AJ18" s="14">
        <f>AI18*VLOOKUP('Données projet'!$B$10,Paramètres!$A$1:$I$89,3,0)*VLOOKUP('Données projet'!$B$10,Paramètres!$A$1:$I$89,5,0)</f>
        <v>34.02068656388662</v>
      </c>
      <c r="AK18" s="14">
        <f t="shared" si="35"/>
        <v>10.399207521197393</v>
      </c>
      <c r="AL18" s="22">
        <f t="shared" si="4"/>
        <v>77.364648864854644</v>
      </c>
      <c r="AM18" s="62">
        <f t="shared" si="5"/>
        <v>370.69798219818796</v>
      </c>
      <c r="AN18" s="62">
        <f ca="1">AVERAGE(OFFSET($AM$3,0,0,'Données projet'!$E$10+1,1))-AVERAGE(OFFSET($H$3,0,0,'Données projet'!$E$10+1,1))</f>
        <v>223.81948236065614</v>
      </c>
      <c r="AO18" s="62">
        <f t="shared" si="36"/>
        <v>320.1204011431372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4.55</v>
      </c>
      <c r="BD18" s="13">
        <f>IF('Données projet'!$A$88&gt;35,BD17+BC18-BL17,IF(A18&lt;'Données projet'!$A$88,$BA$205^A18,IF(A18='Données projet'!$A$88,'Données projet'!$B$88,BD17+BC18-BL17)))</f>
        <v>29.463276689625356</v>
      </c>
      <c r="BE18" s="14">
        <f>BD18*VLOOKUP('Données projet'!$B$11,Paramètres!$A$1:$I$89,3,0)*VLOOKUP('Données projet'!$B$11,Paramètres!$A$1:$I$89,5,0)</f>
        <v>17.619039460395964</v>
      </c>
      <c r="BF18" s="14">
        <f t="shared" si="37"/>
        <v>5.8143605868229411</v>
      </c>
      <c r="BG18" s="22">
        <f t="shared" si="7"/>
        <v>40.81317174890625</v>
      </c>
      <c r="BH18" s="62">
        <f t="shared" si="8"/>
        <v>334.14650508223957</v>
      </c>
      <c r="BI18" s="62">
        <f ca="1">AVERAGE(OFFSET($BH$3,0,0,'Données projet'!$E$11+1,1))-AVERAGE(OFFSET($H$3,0,0,'Données projet'!$E$11+1,1))</f>
        <v>216.94426559495264</v>
      </c>
      <c r="BJ18" s="62">
        <f t="shared" si="38"/>
        <v>225.33715877618704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334.992017673269</v>
      </c>
      <c r="S19" s="62">
        <f ca="1">AVERAGE(OFFSET($R$3,0,0,'Données projet'!$E$9+1,1))-AVERAGE(OFFSET($H$3,0,0,'Données projet'!$E$9+1,1))</f>
        <v>237.22177246688199</v>
      </c>
      <c r="T19" s="62">
        <f t="shared" si="34"/>
        <v>149.27472147904302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6.6</v>
      </c>
      <c r="AI19" s="14">
        <f>IF('Données projet'!$A$62&gt;35,AI18+AH19-AQ18,IF(A19&lt;'Données projet'!$A$62,$AF$205^A19,IF(A19='Données projet'!$A$62,'Données projet'!$B$62,AI18+AH19-AQ18)))</f>
        <v>49.711760658095955</v>
      </c>
      <c r="AJ19" s="14">
        <f>AI19*VLOOKUP('Données projet'!$B$10,Paramètres!$A$1:$I$89,3,0)*VLOOKUP('Données projet'!$B$10,Paramètres!$A$1:$I$89,5,0)</f>
        <v>43.428194110912635</v>
      </c>
      <c r="AK19" s="14">
        <f t="shared" si="35"/>
        <v>12.902896129065022</v>
      </c>
      <c r="AL19" s="22">
        <f t="shared" si="4"/>
        <v>98.109982167961064</v>
      </c>
      <c r="AM19" s="62">
        <f t="shared" si="5"/>
        <v>391.44331550129436</v>
      </c>
      <c r="AN19" s="62">
        <f ca="1">AVERAGE(OFFSET($AM$3,0,0,'Données projet'!$E$10+1,1))-AVERAGE(OFFSET($H$3,0,0,'Données projet'!$E$10+1,1))</f>
        <v>223.81948236065614</v>
      </c>
      <c r="AO19" s="62">
        <f t="shared" si="36"/>
        <v>320.1204011431372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4.55</v>
      </c>
      <c r="BD19" s="13">
        <f>IF('Données projet'!$A$88&gt;35,BD18+BC19-BL18,IF(A19&lt;'Données projet'!$A$88,$BA$205^A19,IF(A19='Données projet'!$A$88,'Données projet'!$B$88,BD18+BC19-BL18)))</f>
        <v>36.917570580704506</v>
      </c>
      <c r="BE19" s="14">
        <f>BD19*VLOOKUP('Données projet'!$B$11,Paramètres!$A$1:$I$89,3,0)*VLOOKUP('Données projet'!$B$11,Paramètres!$A$1:$I$89,5,0)</f>
        <v>22.076707207261297</v>
      </c>
      <c r="BF19" s="14">
        <f t="shared" si="37"/>
        <v>7.0966340462853541</v>
      </c>
      <c r="BG19" s="22">
        <f t="shared" si="7"/>
        <v>50.810236016593741</v>
      </c>
      <c r="BH19" s="62">
        <f t="shared" si="8"/>
        <v>344.14356934992708</v>
      </c>
      <c r="BI19" s="62">
        <f ca="1">AVERAGE(OFFSET($BH$3,0,0,'Données projet'!$E$11+1,1))-AVERAGE(OFFSET($H$3,0,0,'Données projet'!$E$11+1,1))</f>
        <v>216.94426559495264</v>
      </c>
      <c r="BJ19" s="62">
        <f t="shared" si="38"/>
        <v>225.33715877618704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343.28469438075035</v>
      </c>
      <c r="S20" s="62">
        <f ca="1">AVERAGE(OFFSET($R$3,0,0,'Données projet'!$E$9+1,1))-AVERAGE(OFFSET($H$3,0,0,'Données projet'!$E$9+1,1))</f>
        <v>237.22177246688199</v>
      </c>
      <c r="T20" s="62">
        <f t="shared" si="34"/>
        <v>149.27472147904302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6.6</v>
      </c>
      <c r="AI20" s="14">
        <f>IF('Données projet'!$A$62&gt;35,AI19+AH20-AQ19,IF(A20&lt;'Données projet'!$A$62,$AF$205^A20,IF(A20='Données projet'!$A$62,'Données projet'!$B$62,AI19+AH20-AQ19)))</f>
        <v>63.458213501978861</v>
      </c>
      <c r="AJ20" s="14">
        <f>AI20*VLOOKUP('Données projet'!$B$10,Paramètres!$A$1:$I$89,3,0)*VLOOKUP('Données projet'!$B$10,Paramètres!$A$1:$I$89,5,0)</f>
        <v>55.437095315328747</v>
      </c>
      <c r="AK20" s="14">
        <f t="shared" si="35"/>
        <v>16.009366884744278</v>
      </c>
      <c r="AL20" s="22">
        <f t="shared" si="4"/>
        <v>124.4359216651272</v>
      </c>
      <c r="AM20" s="62">
        <f t="shared" si="5"/>
        <v>417.7692549984605</v>
      </c>
      <c r="AN20" s="62">
        <f ca="1">AVERAGE(OFFSET($AM$3,0,0,'Données projet'!$E$10+1,1))-AVERAGE(OFFSET($H$3,0,0,'Données projet'!$E$10+1,1))</f>
        <v>223.81948236065614</v>
      </c>
      <c r="AO20" s="62">
        <f t="shared" si="36"/>
        <v>320.1204011431372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4.55</v>
      </c>
      <c r="BD20" s="13">
        <f>IF('Données projet'!$A$88&gt;35,BD19+BC20-BL19,IF(A20&lt;'Données projet'!$A$88,$BA$205^A20,IF(A20='Données projet'!$A$88,'Données projet'!$B$88,BD19+BC20-BL19)))</f>
        <v>46.257822303288052</v>
      </c>
      <c r="BE20" s="14">
        <f>BD20*VLOOKUP('Données projet'!$B$11,Paramètres!$A$1:$I$89,3,0)*VLOOKUP('Données projet'!$B$11,Paramètres!$A$1:$I$89,5,0)</f>
        <v>27.66217773736626</v>
      </c>
      <c r="BF20" s="14">
        <f t="shared" si="37"/>
        <v>8.6616944434151719</v>
      </c>
      <c r="BG20" s="22">
        <f t="shared" si="7"/>
        <v>63.264077381527663</v>
      </c>
      <c r="BH20" s="62">
        <f t="shared" si="8"/>
        <v>356.59741071486098</v>
      </c>
      <c r="BI20" s="62">
        <f ca="1">AVERAGE(OFFSET($BH$3,0,0,'Données projet'!$E$11+1,1))-AVERAGE(OFFSET($H$3,0,0,'Données projet'!$E$11+1,1))</f>
        <v>216.94426559495264</v>
      </c>
      <c r="BJ20" s="62">
        <f t="shared" si="38"/>
        <v>225.33715877618704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353.23335406291386</v>
      </c>
      <c r="S21" s="62">
        <f ca="1">AVERAGE(OFFSET($R$3,0,0,'Données projet'!$E$9+1,1))-AVERAGE(OFFSET($H$3,0,0,'Données projet'!$E$9+1,1))</f>
        <v>237.22177246688199</v>
      </c>
      <c r="T21" s="62">
        <f t="shared" si="34"/>
        <v>149.27472147904302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6.6</v>
      </c>
      <c r="AI21" s="14">
        <f>IF('Données projet'!$A$62&gt;35,AI20+AH21-AQ20,IF(A21&lt;'Données projet'!$A$62,$AF$205^A21,IF(A21='Données projet'!$A$62,'Données projet'!$B$62,AI20+AH21-AQ20)))</f>
        <v>81.005878841406769</v>
      </c>
      <c r="AJ21" s="14">
        <f>AI21*VLOOKUP('Données projet'!$B$10,Paramètres!$A$1:$I$89,3,0)*VLOOKUP('Données projet'!$B$10,Paramètres!$A$1:$I$89,5,0)</f>
        <v>70.766735755852963</v>
      </c>
      <c r="AK21" s="14">
        <f t="shared" si="35"/>
        <v>19.863744192515547</v>
      </c>
      <c r="AL21" s="22">
        <f t="shared" si="4"/>
        <v>157.84808591007513</v>
      </c>
      <c r="AM21" s="62">
        <f t="shared" si="5"/>
        <v>451.18141924340841</v>
      </c>
      <c r="AN21" s="62">
        <f ca="1">AVERAGE(OFFSET($AM$3,0,0,'Données projet'!$E$10+1,1))-AVERAGE(OFFSET($H$3,0,0,'Données projet'!$E$10+1,1))</f>
        <v>223.81948236065614</v>
      </c>
      <c r="AO21" s="62">
        <f t="shared" si="36"/>
        <v>320.1204011431372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4.55</v>
      </c>
      <c r="BD21" s="13">
        <f>IF('Données projet'!$A$88&gt;35,BD20+BC21-BL20,IF(A21&lt;'Données projet'!$A$88,$BA$205^A21,IF(A21='Données projet'!$A$88,'Données projet'!$B$88,BD20+BC21-BL20)))</f>
        <v>57.961184622505009</v>
      </c>
      <c r="BE21" s="14">
        <f>BD21*VLOOKUP('Données projet'!$B$11,Paramètres!$A$1:$I$89,3,0)*VLOOKUP('Données projet'!$B$11,Paramètres!$A$1:$I$89,5,0)</f>
        <v>34.660788404258</v>
      </c>
      <c r="BF21" s="14">
        <f t="shared" si="37"/>
        <v>10.571906363180744</v>
      </c>
      <c r="BG21" s="22">
        <f t="shared" si="7"/>
        <v>78.780276719955808</v>
      </c>
      <c r="BH21" s="62">
        <f t="shared" si="8"/>
        <v>372.11361005328911</v>
      </c>
      <c r="BI21" s="62">
        <f ca="1">AVERAGE(OFFSET($BH$3,0,0,'Données projet'!$E$11+1,1))-AVERAGE(OFFSET($H$3,0,0,'Données projet'!$E$11+1,1))</f>
        <v>216.94426559495264</v>
      </c>
      <c r="BJ21" s="62">
        <f t="shared" si="38"/>
        <v>225.33715877618704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365.16965167242461</v>
      </c>
      <c r="S22" s="62">
        <f ca="1">AVERAGE(OFFSET($R$3,0,0,'Données projet'!$E$9+1,1))-AVERAGE(OFFSET($H$3,0,0,'Données projet'!$E$9+1,1))</f>
        <v>237.22177246688199</v>
      </c>
      <c r="T22" s="62">
        <f t="shared" si="34"/>
        <v>149.27472147904302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6.6</v>
      </c>
      <c r="AI22" s="14">
        <f>IF('Données projet'!$A$62&gt;35,AI21+AH22-AQ21,IF(A22&lt;'Données projet'!$A$62,$AF$205^A22,IF(A22='Données projet'!$A$62,'Données projet'!$B$62,AI21+AH22-AQ21)))</f>
        <v>103.40587994435182</v>
      </c>
      <c r="AJ22" s="14">
        <f>AI22*VLOOKUP('Données projet'!$B$10,Paramètres!$A$1:$I$89,3,0)*VLOOKUP('Données projet'!$B$10,Paramètres!$A$1:$I$89,5,0)</f>
        <v>90.335376719385764</v>
      </c>
      <c r="AK22" s="14">
        <f t="shared" si="35"/>
        <v>24.646092265003244</v>
      </c>
      <c r="AL22" s="22">
        <f t="shared" si="4"/>
        <v>200.25939181447754</v>
      </c>
      <c r="AM22" s="62">
        <f t="shared" si="5"/>
        <v>493.59272514781082</v>
      </c>
      <c r="AN22" s="62">
        <f ca="1">AVERAGE(OFFSET($AM$3,0,0,'Données projet'!$E$10+1,1))-AVERAGE(OFFSET($H$3,0,0,'Données projet'!$E$10+1,1))</f>
        <v>223.81948236065614</v>
      </c>
      <c r="AO22" s="62">
        <f t="shared" si="36"/>
        <v>320.1204011431372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4.55</v>
      </c>
      <c r="BD22" s="13">
        <f>IF('Données projet'!$A$88&gt;35,BD21+BC22-BL21,IF(A22&lt;'Données projet'!$A$88,$BA$205^A22,IF(A22='Données projet'!$A$88,'Données projet'!$B$88,BD21+BC22-BL21)))</f>
        <v>72.625531327818578</v>
      </c>
      <c r="BE22" s="14">
        <f>BD22*VLOOKUP('Données projet'!$B$11,Paramètres!$A$1:$I$89,3,0)*VLOOKUP('Données projet'!$B$11,Paramètres!$A$1:$I$89,5,0)</f>
        <v>43.430067734035511</v>
      </c>
      <c r="BF22" s="14">
        <f t="shared" si="37"/>
        <v>12.903388001273598</v>
      </c>
      <c r="BG22" s="22">
        <f t="shared" si="7"/>
        <v>98.114102072330027</v>
      </c>
      <c r="BH22" s="62">
        <f t="shared" si="8"/>
        <v>391.44743540566333</v>
      </c>
      <c r="BI22" s="62">
        <f ca="1">AVERAGE(OFFSET($BH$3,0,0,'Données projet'!$E$11+1,1))-AVERAGE(OFFSET($H$3,0,0,'Données projet'!$E$11+1,1))</f>
        <v>216.94426559495264</v>
      </c>
      <c r="BJ22" s="62">
        <f t="shared" si="38"/>
        <v>225.33715877618704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379.49184380384929</v>
      </c>
      <c r="S23" s="62">
        <f ca="1">AVERAGE(OFFSET($R$3,0,0,'Données projet'!$E$9+1,1))-AVERAGE(OFFSET($H$3,0,0,'Données projet'!$E$9+1,1))</f>
        <v>237.22177246688199</v>
      </c>
      <c r="T23" s="62">
        <f t="shared" si="34"/>
        <v>149.27472147904302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132</v>
      </c>
      <c r="AG23" s="13">
        <f>VLOOKUP(A23,'Données projet'!$A$61:$I$81,9,0)</f>
        <v>6.6</v>
      </c>
      <c r="AH23" s="13">
        <f t="array" ref="AH23">INDEX(AG:AG,MIN(IF(ISNUMBER(AG23:AG219),ROW(AG23:AG219),"")))</f>
        <v>6.6</v>
      </c>
      <c r="AI23" s="14">
        <f>IF('Données projet'!$A$62&gt;35,AI22+AH23-AQ22,IF(A23&lt;'Données projet'!$A$62,$AF$205^A23,IF(A23='Données projet'!$A$62,'Données projet'!$B$62,AI22+AH23-AQ22)))</f>
        <v>132</v>
      </c>
      <c r="AJ23" s="14">
        <f>AI23*VLOOKUP('Données projet'!$B$10,Paramètres!$A$1:$I$89,3,0)*VLOOKUP('Données projet'!$B$10,Paramètres!$A$1:$I$89,5,0)</f>
        <v>115.3152</v>
      </c>
      <c r="AK23" s="14">
        <f t="shared" si="35"/>
        <v>30.579827148797317</v>
      </c>
      <c r="AL23" s="22">
        <f t="shared" si="4"/>
        <v>254.10050561748861</v>
      </c>
      <c r="AM23" s="62">
        <f t="shared" si="5"/>
        <v>547.43383895082195</v>
      </c>
      <c r="AN23" s="62">
        <f ca="1">AVERAGE(OFFSET($AM$3,0,0,'Données projet'!$E$10+1,1))-AVERAGE(OFFSET($H$3,0,0,'Données projet'!$E$10+1,1))</f>
        <v>223.81948236065614</v>
      </c>
      <c r="AO23" s="62">
        <f t="shared" si="36"/>
        <v>320.1204011431372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0.1075</v>
      </c>
      <c r="AT23" s="17">
        <f>IF(ISNA(VLOOKUP(A23,'Données projet'!$A$61:$I$81,7,0)),0%,VLOOKUP(A23,'Données projet'!$A$61:$I$81,7,0))</f>
        <v>0.25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5.1704083727537116</v>
      </c>
      <c r="AW23" s="23">
        <f>EXP(-LN(2)/2)*AW22+(1-EXP(-LN(2)/2))/(LN(2)/2)*AQ23*AT23*VLOOKUP('Données projet'!$B$10,Paramètres!$A$1:$I$89,3,0)*0.475*44/12</f>
        <v>10.303313907490841</v>
      </c>
      <c r="AX23" s="23">
        <f t="shared" si="6"/>
        <v>15.473722280244552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91</v>
      </c>
      <c r="BB23" s="13">
        <f>VLOOKUP(A23,'Données projet'!$A$87:$I$107,9,0)</f>
        <v>4.55</v>
      </c>
      <c r="BC23" s="13">
        <f t="array" ref="BC23">INDEX(BB:BB,MIN(IF(ISNUMBER(BB23:BB219),ROW(BB23:BB219),"")))</f>
        <v>4.55</v>
      </c>
      <c r="BD23" s="13">
        <f>IF('Données projet'!$A$88&gt;35,BD22+BC23-BL22,IF(A23&lt;'Données projet'!$A$88,$BA$205^A23,IF(A23='Données projet'!$A$88,'Données projet'!$B$88,BD22+BC23-BL22)))</f>
        <v>91</v>
      </c>
      <c r="BE23" s="14">
        <f>BD23*VLOOKUP('Données projet'!$B$11,Paramètres!$A$1:$I$89,3,0)*VLOOKUP('Données projet'!$B$11,Paramètres!$A$1:$I$89,5,0)</f>
        <v>54.417999999999999</v>
      </c>
      <c r="BF23" s="14">
        <f t="shared" si="37"/>
        <v>15.749044324804036</v>
      </c>
      <c r="BG23" s="22">
        <f t="shared" si="7"/>
        <v>122.20760219903367</v>
      </c>
      <c r="BH23" s="62">
        <f t="shared" si="8"/>
        <v>415.54093553236697</v>
      </c>
      <c r="BI23" s="62">
        <f ca="1">AVERAGE(OFFSET($BH$3,0,0,'Données projet'!$E$11+1,1))-AVERAGE(OFFSET($H$3,0,0,'Données projet'!$E$11+1,1))</f>
        <v>216.94426559495264</v>
      </c>
      <c r="BJ23" s="62">
        <f t="shared" si="38"/>
        <v>225.33715877618704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0.22500000000000001</v>
      </c>
      <c r="BO23" s="17">
        <f>IF(ISNA(VLOOKUP(A23,'Données projet'!$A$87:$I$107,7,0)),0%,VLOOKUP(A23,'Données projet'!$A$87:$I$107,7,0))</f>
        <v>0.5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0.53335940190698583</v>
      </c>
      <c r="BR23" s="23">
        <f>EXP(-LN(2)/2)*BR22+(1-EXP(-LN(2)/2))/(LN(2)/2)*BL23*BO23*VLOOKUP('Données projet'!$B$11,Paramètres!$A$1:$I$89,3,0)*0.475*44/12</f>
        <v>1.0156123708812399</v>
      </c>
      <c r="BS23" s="24">
        <f t="shared" si="9"/>
        <v>1.5489717727882257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6.3</v>
      </c>
      <c r="N24" s="14">
        <f>IF('Données projet'!$A$36&gt;35,N23+M24-V23,IF(A24&lt;'Données projet'!$A$36,$K$205^A24,IF(A24='Données projet'!$A$36,'Données projet'!$B$36,N23+M24-V23)))</f>
        <v>48.3</v>
      </c>
      <c r="O24" s="14">
        <f>N24*VLOOKUP('Données projet'!$B$9,Paramètres!$A$1:$I$89,3,0)*VLOOKUP('Données projet'!$B$9,Paramètres!$A$1:$I$89,5,0)</f>
        <v>43.701839999999997</v>
      </c>
      <c r="P24" s="14">
        <f t="shared" si="33"/>
        <v>12.974708810432297</v>
      </c>
      <c r="Q24" s="22">
        <f t="shared" si="2"/>
        <v>98.711655844836244</v>
      </c>
      <c r="R24" s="62">
        <f t="shared" si="0"/>
        <v>392.04498917816954</v>
      </c>
      <c r="S24" s="62">
        <f ca="1">AVERAGE(OFFSET($R$3,0,0,'Données projet'!$E$9+1,1))-AVERAGE(OFFSET($H$3,0,0,'Données projet'!$E$9+1,1))</f>
        <v>237.22177246688199</v>
      </c>
      <c r="T24" s="62">
        <f t="shared" si="34"/>
        <v>149.27472147904302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11.8</v>
      </c>
      <c r="AI24" s="14">
        <f>IF('Données projet'!$A$62&gt;35,AI23+AH24-AQ23,IF(A24&lt;'Données projet'!$A$62,$AF$205^A24,IF(A24='Données projet'!$A$62,'Données projet'!$B$62,AI23+AH24-AQ23)))</f>
        <v>93.800000000000011</v>
      </c>
      <c r="AJ24" s="14">
        <f>AI24*VLOOKUP('Données projet'!$B$10,Paramètres!$A$1:$I$89,3,0)*VLOOKUP('Données projet'!$B$10,Paramètres!$A$1:$I$89,5,0)</f>
        <v>81.943680000000029</v>
      </c>
      <c r="AK24" s="14">
        <f t="shared" si="35"/>
        <v>22.611757990043472</v>
      </c>
      <c r="AL24" s="22">
        <f t="shared" si="4"/>
        <v>182.10072116599244</v>
      </c>
      <c r="AM24" s="62">
        <f t="shared" si="5"/>
        <v>475.43405449932573</v>
      </c>
      <c r="AN24" s="62">
        <f ca="1">AVERAGE(OFFSET($AM$3,0,0,'Données projet'!$E$10+1,1))-AVERAGE(OFFSET($H$3,0,0,'Données projet'!$E$10+1,1))</f>
        <v>223.81948236065614</v>
      </c>
      <c r="AO24" s="62">
        <f t="shared" si="36"/>
        <v>320.1204011431372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5.029023283900802</v>
      </c>
      <c r="AW24" s="23">
        <f>EXP(-LN(2)/2)*AW23+(1-EXP(-LN(2)/2))/(LN(2)/2)*AQ24*AT24*VLOOKUP('Données projet'!$B$10,Paramètres!$A$1:$I$89,3,0)*0.475*44/12</f>
        <v>7.2855431326804387</v>
      </c>
      <c r="AX24" s="23">
        <f t="shared" si="6"/>
        <v>12.31456641658124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13</v>
      </c>
      <c r="BD24" s="13">
        <f>IF('Données projet'!$A$88&gt;35,BD23+BC24-BL23,IF(A24&lt;'Données projet'!$A$88,$BA$205^A24,IF(A24='Données projet'!$A$88,'Données projet'!$B$88,BD23+BC24-BL23)))</f>
        <v>101</v>
      </c>
      <c r="BE24" s="14">
        <f>BD24*VLOOKUP('Données projet'!$B$11,Paramètres!$A$1:$I$89,3,0)*VLOOKUP('Données projet'!$B$11,Paramètres!$A$1:$I$89,5,0)</f>
        <v>60.398000000000003</v>
      </c>
      <c r="BF24" s="14">
        <f t="shared" si="37"/>
        <v>17.26885714728807</v>
      </c>
      <c r="BG24" s="22">
        <f t="shared" si="7"/>
        <v>135.26977619819337</v>
      </c>
      <c r="BH24" s="62">
        <f t="shared" si="8"/>
        <v>428.60310953152668</v>
      </c>
      <c r="BI24" s="62">
        <f ca="1">AVERAGE(OFFSET($BH$3,0,0,'Données projet'!$E$11+1,1))-AVERAGE(OFFSET($H$3,0,0,'Données projet'!$E$11+1,1))</f>
        <v>216.94426559495264</v>
      </c>
      <c r="BJ24" s="62">
        <f t="shared" si="38"/>
        <v>225.33715877618704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0.51877466101368741</v>
      </c>
      <c r="BR24" s="23">
        <f>EXP(-LN(2)/2)*BR23+(1-EXP(-LN(2)/2))/(LN(2)/2)*BL24*BO24*VLOOKUP('Données projet'!$B$11,Paramètres!$A$1:$I$89,3,0)*0.475*44/12</f>
        <v>0.71814639450707174</v>
      </c>
      <c r="BS24" s="24">
        <f t="shared" si="9"/>
        <v>1.2369210555207593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6.3</v>
      </c>
      <c r="N25" s="14">
        <f>IF('Données projet'!$A$36&gt;35,N24+M25-V24,IF(A25&lt;'Données projet'!$A$36,$K$205^A25,IF(A25='Données projet'!$A$36,'Données projet'!$B$36,N24+M25-V24)))</f>
        <v>54.599999999999994</v>
      </c>
      <c r="O25" s="14">
        <f>N25*VLOOKUP('Données projet'!$B$9,Paramètres!$A$1:$I$89,3,0)*VLOOKUP('Données projet'!$B$9,Paramètres!$A$1:$I$89,5,0)</f>
        <v>49.402079999999998</v>
      </c>
      <c r="P25" s="14">
        <f t="shared" si="33"/>
        <v>14.459236264867963</v>
      </c>
      <c r="Q25" s="22">
        <f t="shared" si="2"/>
        <v>111.22512582797835</v>
      </c>
      <c r="R25" s="62">
        <f t="shared" si="0"/>
        <v>404.55845916131165</v>
      </c>
      <c r="S25" s="62">
        <f ca="1">AVERAGE(OFFSET($R$3,0,0,'Données projet'!$E$9+1,1))-AVERAGE(OFFSET($H$3,0,0,'Données projet'!$E$9+1,1))</f>
        <v>237.22177246688199</v>
      </c>
      <c r="T25" s="62">
        <f t="shared" si="34"/>
        <v>149.27472147904302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11.8</v>
      </c>
      <c r="AI25" s="14">
        <f>IF('Données projet'!$A$62&gt;35,AI24+AH25-AQ24,IF(A25&lt;'Données projet'!$A$62,$AF$205^A25,IF(A25='Données projet'!$A$62,'Données projet'!$B$62,AI24+AH25-AQ24)))</f>
        <v>105.60000000000001</v>
      </c>
      <c r="AJ25" s="14">
        <f>AI25*VLOOKUP('Données projet'!$B$10,Paramètres!$A$1:$I$89,3,0)*VLOOKUP('Données projet'!$B$10,Paramètres!$A$1:$I$89,5,0)</f>
        <v>92.252160000000018</v>
      </c>
      <c r="AK25" s="14">
        <f t="shared" si="35"/>
        <v>25.107607958259987</v>
      </c>
      <c r="AL25" s="22">
        <f t="shared" si="4"/>
        <v>204.40159586063615</v>
      </c>
      <c r="AM25" s="62">
        <f t="shared" si="5"/>
        <v>497.73492919396949</v>
      </c>
      <c r="AN25" s="62">
        <f ca="1">AVERAGE(OFFSET($AM$3,0,0,'Données projet'!$E$10+1,1))-AVERAGE(OFFSET($H$3,0,0,'Données projet'!$E$10+1,1))</f>
        <v>223.81948236065614</v>
      </c>
      <c r="AO25" s="62">
        <f t="shared" si="36"/>
        <v>320.1204011431372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4.8915043777376939</v>
      </c>
      <c r="AW25" s="23">
        <f>EXP(-LN(2)/2)*AW24+(1-EXP(-LN(2)/2))/(LN(2)/2)*AQ25*AT25*VLOOKUP('Données projet'!$B$10,Paramètres!$A$1:$I$89,3,0)*0.475*44/12</f>
        <v>5.1516569537454213</v>
      </c>
      <c r="AX25" s="23">
        <f t="shared" si="6"/>
        <v>10.043161331483116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13</v>
      </c>
      <c r="BD25" s="13">
        <f>IF('Données projet'!$A$88&gt;35,BD24+BC25-BL24,IF(A25&lt;'Données projet'!$A$88,$BA$205^A25,IF(A25='Données projet'!$A$88,'Données projet'!$B$88,BD24+BC25-BL24)))</f>
        <v>114</v>
      </c>
      <c r="BE25" s="14">
        <f>BD25*VLOOKUP('Données projet'!$B$11,Paramètres!$A$1:$I$89,3,0)*VLOOKUP('Données projet'!$B$11,Paramètres!$A$1:$I$89,5,0)</f>
        <v>68.172000000000011</v>
      </c>
      <c r="BF25" s="14">
        <f t="shared" si="37"/>
        <v>19.21880399855084</v>
      </c>
      <c r="BG25" s="22">
        <f t="shared" si="7"/>
        <v>152.20565029747607</v>
      </c>
      <c r="BH25" s="62">
        <f t="shared" si="8"/>
        <v>445.53898363080941</v>
      </c>
      <c r="BI25" s="62">
        <f ca="1">AVERAGE(OFFSET($BH$3,0,0,'Données projet'!$E$11+1,1))-AVERAGE(OFFSET($H$3,0,0,'Données projet'!$E$11+1,1))</f>
        <v>216.94426559495264</v>
      </c>
      <c r="BJ25" s="62">
        <f t="shared" si="38"/>
        <v>225.33715877618704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0.50458874062709436</v>
      </c>
      <c r="BR25" s="23">
        <f>EXP(-LN(2)/2)*BR24+(1-EXP(-LN(2)/2))/(LN(2)/2)*BL25*BO25*VLOOKUP('Données projet'!$B$11,Paramètres!$A$1:$I$89,3,0)*0.475*44/12</f>
        <v>0.50780618544062006</v>
      </c>
      <c r="BS25" s="24">
        <f t="shared" si="9"/>
        <v>1.0123949260677145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6.3</v>
      </c>
      <c r="N26" s="14">
        <f>IF('Données projet'!$A$36&gt;35,N25+M26-V25,IF(A26&lt;'Données projet'!$A$36,$K$205^A26,IF(A26='Données projet'!$A$36,'Données projet'!$B$36,N25+M26-V25)))</f>
        <v>60.899999999999991</v>
      </c>
      <c r="O26" s="14">
        <f>N26*VLOOKUP('Données projet'!$B$9,Paramètres!$A$1:$I$89,3,0)*VLOOKUP('Données projet'!$B$9,Paramètres!$A$1:$I$89,5,0)</f>
        <v>55.102319999999992</v>
      </c>
      <c r="P26" s="14">
        <f t="shared" si="33"/>
        <v>15.923912218988239</v>
      </c>
      <c r="Q26" s="22">
        <f t="shared" si="2"/>
        <v>123.70402111473783</v>
      </c>
      <c r="R26" s="62">
        <f t="shared" si="0"/>
        <v>417.03735444807114</v>
      </c>
      <c r="S26" s="62">
        <f ca="1">AVERAGE(OFFSET($R$3,0,0,'Données projet'!$E$9+1,1))-AVERAGE(OFFSET($H$3,0,0,'Données projet'!$E$9+1,1))</f>
        <v>237.22177246688199</v>
      </c>
      <c r="T26" s="62">
        <f t="shared" si="34"/>
        <v>149.27472147904302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11.8</v>
      </c>
      <c r="AI26" s="14">
        <f>IF('Données projet'!$A$62&gt;35,AI25+AH26-AQ25,IF(A26&lt;'Données projet'!$A$62,$AF$205^A26,IF(A26='Données projet'!$A$62,'Données projet'!$B$62,AI25+AH26-AQ25)))</f>
        <v>117.4</v>
      </c>
      <c r="AJ26" s="14">
        <f>AI26*VLOOKUP('Données projet'!$B$10,Paramètres!$A$1:$I$89,3,0)*VLOOKUP('Données projet'!$B$10,Paramètres!$A$1:$I$89,5,0)</f>
        <v>102.56064000000002</v>
      </c>
      <c r="AK26" s="14">
        <f t="shared" si="35"/>
        <v>27.571134131783779</v>
      </c>
      <c r="AL26" s="22">
        <f t="shared" si="4"/>
        <v>226.64617327952342</v>
      </c>
      <c r="AM26" s="62">
        <f t="shared" si="5"/>
        <v>519.97950661285677</v>
      </c>
      <c r="AN26" s="62">
        <f ca="1">AVERAGE(OFFSET($AM$3,0,0,'Données projet'!$E$10+1,1))-AVERAGE(OFFSET($H$3,0,0,'Données projet'!$E$10+1,1))</f>
        <v>223.81948236065614</v>
      </c>
      <c r="AO26" s="62">
        <f t="shared" si="36"/>
        <v>320.1204011431372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4.7577459332954213</v>
      </c>
      <c r="AW26" s="23">
        <f>EXP(-LN(2)/2)*AW25+(1-EXP(-LN(2)/2))/(LN(2)/2)*AQ26*AT26*VLOOKUP('Données projet'!$B$10,Paramètres!$A$1:$I$89,3,0)*0.475*44/12</f>
        <v>3.6427715663402198</v>
      </c>
      <c r="AX26" s="23">
        <f t="shared" si="6"/>
        <v>8.4005174996356402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13</v>
      </c>
      <c r="BD26" s="13">
        <f>IF('Données projet'!$A$88&gt;35,BD25+BC26-BL25,IF(A26&lt;'Données projet'!$A$88,$BA$205^A26,IF(A26='Données projet'!$A$88,'Données projet'!$B$88,BD25+BC26-BL25)))</f>
        <v>127</v>
      </c>
      <c r="BE26" s="14">
        <f>BD26*VLOOKUP('Données projet'!$B$11,Paramètres!$A$1:$I$89,3,0)*VLOOKUP('Données projet'!$B$11,Paramètres!$A$1:$I$89,5,0)</f>
        <v>75.945999999999998</v>
      </c>
      <c r="BF26" s="14">
        <f t="shared" si="37"/>
        <v>21.142979995226831</v>
      </c>
      <c r="BG26" s="22">
        <f t="shared" si="7"/>
        <v>169.09664015835338</v>
      </c>
      <c r="BH26" s="62">
        <f t="shared" si="8"/>
        <v>462.42997349168672</v>
      </c>
      <c r="BI26" s="62">
        <f ca="1">AVERAGE(OFFSET($BH$3,0,0,'Données projet'!$E$11+1,1))-AVERAGE(OFFSET($H$3,0,0,'Données projet'!$E$11+1,1))</f>
        <v>216.94426559495264</v>
      </c>
      <c r="BJ26" s="62">
        <f t="shared" si="38"/>
        <v>225.33715877618704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0.49079073497947784</v>
      </c>
      <c r="BR26" s="23">
        <f>EXP(-LN(2)/2)*BR25+(1-EXP(-LN(2)/2))/(LN(2)/2)*BL26*BO26*VLOOKUP('Données projet'!$B$11,Paramètres!$A$1:$I$89,3,0)*0.475*44/12</f>
        <v>0.35907319725353593</v>
      </c>
      <c r="BS26" s="24">
        <f t="shared" si="9"/>
        <v>0.84986393223301371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6.3</v>
      </c>
      <c r="N27" s="14">
        <f>IF('Données projet'!$A$36&gt;35,N26+M27-V26,IF(A27&lt;'Données projet'!$A$36,$K$205^A27,IF(A27='Données projet'!$A$36,'Données projet'!$B$36,N26+M27-V26)))</f>
        <v>67.199999999999989</v>
      </c>
      <c r="O27" s="14">
        <f>N27*VLOOKUP('Données projet'!$B$9,Paramètres!$A$1:$I$89,3,0)*VLOOKUP('Données projet'!$B$9,Paramètres!$A$1:$I$89,5,0)</f>
        <v>60.802559999999993</v>
      </c>
      <c r="P27" s="14">
        <f t="shared" si="33"/>
        <v>17.371024177726472</v>
      </c>
      <c r="Q27" s="22">
        <f t="shared" si="2"/>
        <v>136.15232577620694</v>
      </c>
      <c r="R27" s="62">
        <f t="shared" si="0"/>
        <v>429.48565910954028</v>
      </c>
      <c r="S27" s="62">
        <f ca="1">AVERAGE(OFFSET($R$3,0,0,'Données projet'!$E$9+1,1))-AVERAGE(OFFSET($H$3,0,0,'Données projet'!$E$9+1,1))</f>
        <v>237.22177246688199</v>
      </c>
      <c r="T27" s="62">
        <f t="shared" si="34"/>
        <v>149.27472147904302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11.8</v>
      </c>
      <c r="AI27" s="14">
        <f>IF('Données projet'!$A$62&gt;35,AI26+AH27-AQ26,IF(A27&lt;'Données projet'!$A$62,$AF$205^A27,IF(A27='Données projet'!$A$62,'Données projet'!$B$62,AI26+AH27-AQ26)))</f>
        <v>129.20000000000002</v>
      </c>
      <c r="AJ27" s="14">
        <f>AI27*VLOOKUP('Données projet'!$B$10,Paramètres!$A$1:$I$89,3,0)*VLOOKUP('Données projet'!$B$10,Paramètres!$A$1:$I$89,5,0)</f>
        <v>112.86912000000004</v>
      </c>
      <c r="AK27" s="14">
        <f t="shared" si="35"/>
        <v>30.00595528244644</v>
      </c>
      <c r="AL27" s="22">
        <f t="shared" si="4"/>
        <v>248.84075611692765</v>
      </c>
      <c r="AM27" s="62">
        <f t="shared" si="5"/>
        <v>542.17408945026091</v>
      </c>
      <c r="AN27" s="62">
        <f ca="1">AVERAGE(OFFSET($AM$3,0,0,'Données projet'!$E$10+1,1))-AVERAGE(OFFSET($H$3,0,0,'Données projet'!$E$10+1,1))</f>
        <v>223.81948236065614</v>
      </c>
      <c r="AO27" s="62">
        <f t="shared" si="36"/>
        <v>320.1204011431372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4.6276451205504729</v>
      </c>
      <c r="AW27" s="23">
        <f>EXP(-LN(2)/2)*AW26+(1-EXP(-LN(2)/2))/(LN(2)/2)*AQ27*AT27*VLOOKUP('Données projet'!$B$10,Paramètres!$A$1:$I$89,3,0)*0.475*44/12</f>
        <v>2.5758284768727111</v>
      </c>
      <c r="AX27" s="23">
        <f t="shared" si="6"/>
        <v>7.2034735974231836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13</v>
      </c>
      <c r="BD27" s="13">
        <f>IF('Données projet'!$A$88&gt;35,BD26+BC27-BL26,IF(A27&lt;'Données projet'!$A$88,$BA$205^A27,IF(A27='Données projet'!$A$88,'Données projet'!$B$88,BD26+BC27-BL26)))</f>
        <v>140</v>
      </c>
      <c r="BE27" s="14">
        <f>BD27*VLOOKUP('Données projet'!$B$11,Paramètres!$A$1:$I$89,3,0)*VLOOKUP('Données projet'!$B$11,Paramètres!$A$1:$I$89,5,0)</f>
        <v>83.720000000000013</v>
      </c>
      <c r="BF27" s="14">
        <f t="shared" si="37"/>
        <v>23.044323503842598</v>
      </c>
      <c r="BG27" s="22">
        <f t="shared" si="7"/>
        <v>185.9478634358592</v>
      </c>
      <c r="BH27" s="62">
        <f t="shared" si="8"/>
        <v>479.28119676919255</v>
      </c>
      <c r="BI27" s="62">
        <f ca="1">AVERAGE(OFFSET($BH$3,0,0,'Données projet'!$E$11+1,1))-AVERAGE(OFFSET($H$3,0,0,'Données projet'!$E$11+1,1))</f>
        <v>216.94426559495264</v>
      </c>
      <c r="BJ27" s="62">
        <f t="shared" si="38"/>
        <v>225.33715877618704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0.47737003652190096</v>
      </c>
      <c r="BR27" s="23">
        <f>EXP(-LN(2)/2)*BR26+(1-EXP(-LN(2)/2))/(LN(2)/2)*BL27*BO27*VLOOKUP('Données projet'!$B$11,Paramètres!$A$1:$I$89,3,0)*0.475*44/12</f>
        <v>0.25390309272031009</v>
      </c>
      <c r="BS27" s="24">
        <f t="shared" si="9"/>
        <v>0.731273129242211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6.3</v>
      </c>
      <c r="N28" s="14">
        <f>IF('Données projet'!$A$36&gt;35,N27+M28-V27,IF(A28&lt;'Données projet'!$A$36,$K$205^A28,IF(A28='Données projet'!$A$36,'Données projet'!$B$36,N27+M28-V27)))</f>
        <v>73.499999999999986</v>
      </c>
      <c r="O28" s="14">
        <f>N28*VLOOKUP('Données projet'!$B$9,Paramètres!$A$1:$I$89,3,0)*VLOOKUP('Données projet'!$B$9,Paramètres!$A$1:$I$89,5,0)</f>
        <v>66.502799999999979</v>
      </c>
      <c r="P28" s="14">
        <f t="shared" si="33"/>
        <v>18.802406075407909</v>
      </c>
      <c r="Q28" s="22">
        <f t="shared" si="2"/>
        <v>148.57323391466869</v>
      </c>
      <c r="R28" s="62">
        <f t="shared" si="0"/>
        <v>441.90656724800203</v>
      </c>
      <c r="S28" s="62">
        <f ca="1">AVERAGE(OFFSET($R$3,0,0,'Données projet'!$E$9+1,1))-AVERAGE(OFFSET($H$3,0,0,'Données projet'!$E$9+1,1))</f>
        <v>237.22177246688199</v>
      </c>
      <c r="T28" s="62">
        <f t="shared" si="34"/>
        <v>149.27472147904302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11.8</v>
      </c>
      <c r="AI28" s="14">
        <f>IF('Données projet'!$A$62&gt;35,AI27+AH28-AQ27,IF(A28&lt;'Données projet'!$A$62,$AF$205^A28,IF(A28='Données projet'!$A$62,'Données projet'!$B$62,AI27+AH28-AQ27)))</f>
        <v>141.00000000000003</v>
      </c>
      <c r="AJ28" s="14">
        <f>AI28*VLOOKUP('Données projet'!$B$10,Paramètres!$A$1:$I$89,3,0)*VLOOKUP('Données projet'!$B$10,Paramètres!$A$1:$I$89,5,0)</f>
        <v>123.17760000000004</v>
      </c>
      <c r="AK28" s="14">
        <f t="shared" si="35"/>
        <v>32.414991240570451</v>
      </c>
      <c r="AL28" s="22">
        <f t="shared" si="4"/>
        <v>270.99042974399362</v>
      </c>
      <c r="AM28" s="62">
        <f t="shared" si="5"/>
        <v>564.32376307732693</v>
      </c>
      <c r="AN28" s="62">
        <f ca="1">AVERAGE(OFFSET($AM$3,0,0,'Données projet'!$E$10+1,1))-AVERAGE(OFFSET($H$3,0,0,'Données projet'!$E$10+1,1))</f>
        <v>223.81948236065614</v>
      </c>
      <c r="AO28" s="62">
        <f t="shared" si="36"/>
        <v>320.1204011431372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4.50110192137174</v>
      </c>
      <c r="AW28" s="23">
        <f>EXP(-LN(2)/2)*AW27+(1-EXP(-LN(2)/2))/(LN(2)/2)*AQ28*AT28*VLOOKUP('Données projet'!$B$10,Paramètres!$A$1:$I$89,3,0)*0.475*44/12</f>
        <v>1.8213857831701104</v>
      </c>
      <c r="AX28" s="23">
        <f t="shared" si="6"/>
        <v>6.3224877045418504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13</v>
      </c>
      <c r="BD28" s="13">
        <f>IF('Données projet'!$A$88&gt;35,BD27+BC28-BL27,IF(A28&lt;'Données projet'!$A$88,$BA$205^A28,IF(A28='Données projet'!$A$88,'Données projet'!$B$88,BD27+BC28-BL27)))</f>
        <v>153</v>
      </c>
      <c r="BE28" s="14">
        <f>BD28*VLOOKUP('Données projet'!$B$11,Paramètres!$A$1:$I$89,3,0)*VLOOKUP('Données projet'!$B$11,Paramètres!$A$1:$I$89,5,0)</f>
        <v>91.494000000000014</v>
      </c>
      <c r="BF28" s="14">
        <f t="shared" si="37"/>
        <v>24.925195840896542</v>
      </c>
      <c r="BG28" s="22">
        <f t="shared" si="7"/>
        <v>202.76343275622813</v>
      </c>
      <c r="BH28" s="62">
        <f t="shared" si="8"/>
        <v>496.09676608956147</v>
      </c>
      <c r="BI28" s="62">
        <f ca="1">AVERAGE(OFFSET($BH$3,0,0,'Données projet'!$E$11+1,1))-AVERAGE(OFFSET($H$3,0,0,'Données projet'!$E$11+1,1))</f>
        <v>216.94426559495264</v>
      </c>
      <c r="BJ28" s="62">
        <f t="shared" si="38"/>
        <v>225.33715877618704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0.4643163277694104</v>
      </c>
      <c r="BR28" s="23">
        <f>EXP(-LN(2)/2)*BR27+(1-EXP(-LN(2)/2))/(LN(2)/2)*BL28*BO28*VLOOKUP('Données projet'!$B$11,Paramètres!$A$1:$I$89,3,0)*0.475*44/12</f>
        <v>0.17953659862676799</v>
      </c>
      <c r="BS28" s="24">
        <f t="shared" si="9"/>
        <v>0.64385292639617842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6.3</v>
      </c>
      <c r="N29" s="14">
        <f>IF('Données projet'!$A$36&gt;35,N28+M29-V28,IF(A29&lt;'Données projet'!$A$36,$K$205^A29,IF(A29='Données projet'!$A$36,'Données projet'!$B$36,N28+M29-V28)))</f>
        <v>79.799999999999983</v>
      </c>
      <c r="O29" s="14">
        <f>N29*VLOOKUP('Données projet'!$B$9,Paramètres!$A$1:$I$89,3,0)*VLOOKUP('Données projet'!$B$9,Paramètres!$A$1:$I$89,5,0)</f>
        <v>72.203039999999973</v>
      </c>
      <c r="P29" s="14">
        <f t="shared" si="33"/>
        <v>20.219559499787128</v>
      </c>
      <c r="Q29" s="22">
        <f t="shared" si="2"/>
        <v>160.96936079546251</v>
      </c>
      <c r="R29" s="62">
        <f t="shared" si="0"/>
        <v>454.30269412879579</v>
      </c>
      <c r="S29" s="62">
        <f ca="1">AVERAGE(OFFSET($R$3,0,0,'Données projet'!$E$9+1,1))-AVERAGE(OFFSET($H$3,0,0,'Données projet'!$E$9+1,1))</f>
        <v>237.22177246688199</v>
      </c>
      <c r="T29" s="62">
        <f t="shared" si="34"/>
        <v>149.27472147904302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11.8</v>
      </c>
      <c r="AI29" s="14">
        <f>IF('Données projet'!$A$62&gt;35,AI28+AH29-AQ28,IF(A29&lt;'Données projet'!$A$62,$AF$205^A29,IF(A29='Données projet'!$A$62,'Données projet'!$B$62,AI28+AH29-AQ28)))</f>
        <v>152.80000000000004</v>
      </c>
      <c r="AJ29" s="14">
        <f>AI29*VLOOKUP('Données projet'!$B$10,Paramètres!$A$1:$I$89,3,0)*VLOOKUP('Données projet'!$B$10,Paramètres!$A$1:$I$89,5,0)</f>
        <v>133.48608000000004</v>
      </c>
      <c r="AK29" s="14">
        <f t="shared" si="35"/>
        <v>34.800645252320514</v>
      </c>
      <c r="AL29" s="22">
        <f t="shared" si="4"/>
        <v>293.09937981445825</v>
      </c>
      <c r="AM29" s="62">
        <f t="shared" si="5"/>
        <v>586.43271314779156</v>
      </c>
      <c r="AN29" s="62">
        <f ca="1">AVERAGE(OFFSET($AM$3,0,0,'Données projet'!$E$10+1,1))-AVERAGE(OFFSET($H$3,0,0,'Données projet'!$E$10+1,1))</f>
        <v>223.81948236065614</v>
      </c>
      <c r="AO29" s="62">
        <f t="shared" si="36"/>
        <v>320.1204011431372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4.3780190526291669</v>
      </c>
      <c r="AW29" s="23">
        <f>EXP(-LN(2)/2)*AW28+(1-EXP(-LN(2)/2))/(LN(2)/2)*AQ29*AT29*VLOOKUP('Données projet'!$B$10,Paramètres!$A$1:$I$89,3,0)*0.475*44/12</f>
        <v>1.2879142384363558</v>
      </c>
      <c r="AX29" s="23">
        <f t="shared" si="6"/>
        <v>5.6659332910655227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</v>
      </c>
      <c r="BD29" s="13">
        <f>IF('Données projet'!$A$88&gt;35,BD28+BC29-BL28,IF(A29&lt;'Données projet'!$A$88,$BA$205^A29,IF(A29='Données projet'!$A$88,'Données projet'!$B$88,BD28+BC29-BL28)))</f>
        <v>166</v>
      </c>
      <c r="BE29" s="14">
        <f>BD29*VLOOKUP('Données projet'!$B$11,Paramètres!$A$1:$I$89,3,0)*VLOOKUP('Données projet'!$B$11,Paramètres!$A$1:$I$89,5,0)</f>
        <v>99.268000000000001</v>
      </c>
      <c r="BF29" s="14">
        <f t="shared" si="37"/>
        <v>26.78753414535981</v>
      </c>
      <c r="BG29" s="22">
        <f t="shared" si="7"/>
        <v>219.54672196983498</v>
      </c>
      <c r="BH29" s="62">
        <f t="shared" si="8"/>
        <v>512.88005530316832</v>
      </c>
      <c r="BI29" s="62">
        <f ca="1">AVERAGE(OFFSET($BH$3,0,0,'Données projet'!$E$11+1,1))-AVERAGE(OFFSET($H$3,0,0,'Données projet'!$E$11+1,1))</f>
        <v>216.94426559495264</v>
      </c>
      <c r="BJ29" s="62">
        <f t="shared" si="38"/>
        <v>225.33715877618704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0.45161957336922143</v>
      </c>
      <c r="BR29" s="23">
        <f>EXP(-LN(2)/2)*BR28+(1-EXP(-LN(2)/2))/(LN(2)/2)*BL29*BO29*VLOOKUP('Données projet'!$B$11,Paramètres!$A$1:$I$89,3,0)*0.475*44/12</f>
        <v>0.12695154636015504</v>
      </c>
      <c r="BS29" s="24">
        <f t="shared" si="9"/>
        <v>0.57857111972937647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6.3</v>
      </c>
      <c r="N30" s="14">
        <f>IF('Données projet'!$A$36&gt;35,N29+M30-V29,IF(A30&lt;'Données projet'!$A$36,$K$205^A30,IF(A30='Données projet'!$A$36,'Données projet'!$B$36,N29+M30-V29)))</f>
        <v>86.09999999999998</v>
      </c>
      <c r="O30" s="14">
        <f>N30*VLOOKUP('Données projet'!$B$9,Paramètres!$A$1:$I$89,3,0)*VLOOKUP('Données projet'!$B$9,Paramètres!$A$1:$I$89,5,0)</f>
        <v>77.903279999999981</v>
      </c>
      <c r="P30" s="14">
        <f t="shared" si="33"/>
        <v>21.623735462576285</v>
      </c>
      <c r="Q30" s="22">
        <f t="shared" si="2"/>
        <v>173.342885263987</v>
      </c>
      <c r="R30" s="62">
        <f t="shared" si="0"/>
        <v>466.67621859732031</v>
      </c>
      <c r="S30" s="62">
        <f ca="1">AVERAGE(OFFSET($R$3,0,0,'Données projet'!$E$9+1,1))-AVERAGE(OFFSET($H$3,0,0,'Données projet'!$E$9+1,1))</f>
        <v>237.22177246688199</v>
      </c>
      <c r="T30" s="62">
        <f t="shared" si="34"/>
        <v>149.27472147904302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11.8</v>
      </c>
      <c r="AI30" s="14">
        <f>IF('Données projet'!$A$62&gt;35,AI29+AH30-AQ29,IF(A30&lt;'Données projet'!$A$62,$AF$205^A30,IF(A30='Données projet'!$A$62,'Données projet'!$B$62,AI29+AH30-AQ29)))</f>
        <v>164.60000000000005</v>
      </c>
      <c r="AJ30" s="14">
        <f>AI30*VLOOKUP('Données projet'!$B$10,Paramètres!$A$1:$I$89,3,0)*VLOOKUP('Données projet'!$B$10,Paramètres!$A$1:$I$89,5,0)</f>
        <v>143.79456000000005</v>
      </c>
      <c r="AK30" s="14">
        <f t="shared" si="35"/>
        <v>37.164928293001893</v>
      </c>
      <c r="AL30" s="22">
        <f t="shared" si="4"/>
        <v>315.17110877697831</v>
      </c>
      <c r="AM30" s="62">
        <f t="shared" si="5"/>
        <v>608.50444211031163</v>
      </c>
      <c r="AN30" s="62">
        <f ca="1">AVERAGE(OFFSET($AM$3,0,0,'Données projet'!$E$10+1,1))-AVERAGE(OFFSET($H$3,0,0,'Données projet'!$E$10+1,1))</f>
        <v>223.81948236065614</v>
      </c>
      <c r="AO30" s="62">
        <f t="shared" si="36"/>
        <v>320.1204011431372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4.2583018914050061</v>
      </c>
      <c r="AW30" s="23">
        <f>EXP(-LN(2)/2)*AW29+(1-EXP(-LN(2)/2))/(LN(2)/2)*AQ30*AT30*VLOOKUP('Données projet'!$B$10,Paramètres!$A$1:$I$89,3,0)*0.475*44/12</f>
        <v>0.91069289158505529</v>
      </c>
      <c r="AX30" s="23">
        <f t="shared" si="6"/>
        <v>5.1689947829900618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</v>
      </c>
      <c r="BD30" s="13">
        <f>IF('Données projet'!$A$88&gt;35,BD29+BC30-BL29,IF(A30&lt;'Données projet'!$A$88,$BA$205^A30,IF(A30='Données projet'!$A$88,'Données projet'!$B$88,BD29+BC30-BL29)))</f>
        <v>179</v>
      </c>
      <c r="BE30" s="14">
        <f>BD30*VLOOKUP('Données projet'!$B$11,Paramètres!$A$1:$I$89,3,0)*VLOOKUP('Données projet'!$B$11,Paramètres!$A$1:$I$89,5,0)</f>
        <v>107.042</v>
      </c>
      <c r="BF30" s="14">
        <f t="shared" si="37"/>
        <v>28.632954900548082</v>
      </c>
      <c r="BG30" s="22">
        <f t="shared" si="7"/>
        <v>236.30054645178791</v>
      </c>
      <c r="BH30" s="62">
        <f t="shared" si="8"/>
        <v>529.63387978512128</v>
      </c>
      <c r="BI30" s="62">
        <f ca="1">AVERAGE(OFFSET($BH$3,0,0,'Données projet'!$E$11+1,1))-AVERAGE(OFFSET($H$3,0,0,'Données projet'!$E$11+1,1))</f>
        <v>216.94426559495264</v>
      </c>
      <c r="BJ30" s="62">
        <f t="shared" si="38"/>
        <v>225.33715877618704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0.43927001238579888</v>
      </c>
      <c r="BR30" s="23">
        <f>EXP(-LN(2)/2)*BR29+(1-EXP(-LN(2)/2))/(LN(2)/2)*BL30*BO30*VLOOKUP('Données projet'!$B$11,Paramètres!$A$1:$I$89,3,0)*0.475*44/12</f>
        <v>8.9768299313383995E-2</v>
      </c>
      <c r="BS30" s="24">
        <f t="shared" si="9"/>
        <v>0.52903831169918292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6.3</v>
      </c>
      <c r="N31" s="14">
        <f>IF('Données projet'!$A$36&gt;35,N30+M31-V30,IF(A31&lt;'Données projet'!$A$36,$K$205^A31,IF(A31='Données projet'!$A$36,'Données projet'!$B$36,N30+M31-V30)))</f>
        <v>92.399999999999977</v>
      </c>
      <c r="O31" s="14">
        <f>N31*VLOOKUP('Données projet'!$B$9,Paramètres!$A$1:$I$89,3,0)*VLOOKUP('Données projet'!$B$9,Paramètres!$A$1:$I$89,5,0)</f>
        <v>83.603519999999975</v>
      </c>
      <c r="P31" s="14">
        <f t="shared" si="33"/>
        <v>23.015991519299678</v>
      </c>
      <c r="Q31" s="22">
        <f t="shared" si="2"/>
        <v>185.69564922944687</v>
      </c>
      <c r="R31" s="62">
        <f t="shared" si="0"/>
        <v>479.02898256278019</v>
      </c>
      <c r="S31" s="62">
        <f ca="1">AVERAGE(OFFSET($R$3,0,0,'Données projet'!$E$9+1,1))-AVERAGE(OFFSET($H$3,0,0,'Données projet'!$E$9+1,1))</f>
        <v>237.22177246688199</v>
      </c>
      <c r="T31" s="62">
        <f t="shared" si="34"/>
        <v>149.27472147904302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11.8</v>
      </c>
      <c r="AI31" s="14">
        <f>IF('Données projet'!$A$62&gt;35,AI30+AH31-AQ30,IF(A31&lt;'Données projet'!$A$62,$AF$205^A31,IF(A31='Données projet'!$A$62,'Données projet'!$B$62,AI30+AH31-AQ30)))</f>
        <v>176.40000000000006</v>
      </c>
      <c r="AJ31" s="14">
        <f>AI31*VLOOKUP('Données projet'!$B$10,Paramètres!$A$1:$I$89,3,0)*VLOOKUP('Données projet'!$B$10,Paramètres!$A$1:$I$89,5,0)</f>
        <v>154.10304000000008</v>
      </c>
      <c r="AK31" s="14">
        <f t="shared" si="35"/>
        <v>39.509546668758176</v>
      </c>
      <c r="AL31" s="22">
        <f t="shared" si="4"/>
        <v>337.20858844808726</v>
      </c>
      <c r="AM31" s="62">
        <f t="shared" si="5"/>
        <v>630.54192178142057</v>
      </c>
      <c r="AN31" s="62">
        <f ca="1">AVERAGE(OFFSET($AM$3,0,0,'Données projet'!$E$10+1,1))-AVERAGE(OFFSET($H$3,0,0,'Données projet'!$E$10+1,1))</f>
        <v>223.81948236065614</v>
      </c>
      <c r="AO31" s="62">
        <f t="shared" si="36"/>
        <v>320.1204011431372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4.1418584022501719</v>
      </c>
      <c r="AW31" s="23">
        <f>EXP(-LN(2)/2)*AW30+(1-EXP(-LN(2)/2))/(LN(2)/2)*AQ31*AT31*VLOOKUP('Données projet'!$B$10,Paramètres!$A$1:$I$89,3,0)*0.475*44/12</f>
        <v>0.643957119218178</v>
      </c>
      <c r="AX31" s="23">
        <f t="shared" si="6"/>
        <v>4.7858155214683498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</v>
      </c>
      <c r="BD31" s="13">
        <f>IF('Données projet'!$A$88&gt;35,BD30+BC31-BL30,IF(A31&lt;'Données projet'!$A$88,$BA$205^A31,IF(A31='Données projet'!$A$88,'Données projet'!$B$88,BD30+BC31-BL30)))</f>
        <v>192</v>
      </c>
      <c r="BE31" s="14">
        <f>BD31*VLOOKUP('Données projet'!$B$11,Paramètres!$A$1:$I$89,3,0)*VLOOKUP('Données projet'!$B$11,Paramètres!$A$1:$I$89,5,0)</f>
        <v>114.81600000000002</v>
      </c>
      <c r="BF31" s="14">
        <f t="shared" si="37"/>
        <v>30.462826482209831</v>
      </c>
      <c r="BG31" s="22">
        <f t="shared" si="7"/>
        <v>253.02728945651543</v>
      </c>
      <c r="BH31" s="62">
        <f t="shared" si="8"/>
        <v>546.36062278984878</v>
      </c>
      <c r="BI31" s="62">
        <f ca="1">AVERAGE(OFFSET($BH$3,0,0,'Données projet'!$E$11+1,1))-AVERAGE(OFFSET($H$3,0,0,'Données projet'!$E$11+1,1))</f>
        <v>216.94426559495264</v>
      </c>
      <c r="BJ31" s="62">
        <f t="shared" si="38"/>
        <v>225.33715877618704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0.42725815079690321</v>
      </c>
      <c r="BR31" s="23">
        <f>EXP(-LN(2)/2)*BR30+(1-EXP(-LN(2)/2))/(LN(2)/2)*BL31*BO31*VLOOKUP('Données projet'!$B$11,Paramètres!$A$1:$I$89,3,0)*0.475*44/12</f>
        <v>6.3475773180077522E-2</v>
      </c>
      <c r="BS31" s="24">
        <f t="shared" si="9"/>
        <v>0.49073392397698073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6.3</v>
      </c>
      <c r="N32" s="14">
        <f>IF('Données projet'!$A$36&gt;35,N31+M32-V31,IF(A32&lt;'Données projet'!$A$36,$K$205^A32,IF(A32='Données projet'!$A$36,'Données projet'!$B$36,N31+M32-V31)))</f>
        <v>98.699999999999974</v>
      </c>
      <c r="O32" s="14">
        <f>N32*VLOOKUP('Données projet'!$B$9,Paramètres!$A$1:$I$89,3,0)*VLOOKUP('Données projet'!$B$9,Paramètres!$A$1:$I$89,5,0)</f>
        <v>89.303759999999968</v>
      </c>
      <c r="P32" s="14">
        <f t="shared" si="33"/>
        <v>24.397232850954325</v>
      </c>
      <c r="Q32" s="22">
        <f t="shared" si="2"/>
        <v>198.02922921541202</v>
      </c>
      <c r="R32" s="62">
        <f t="shared" si="0"/>
        <v>491.36256254874536</v>
      </c>
      <c r="S32" s="62">
        <f ca="1">AVERAGE(OFFSET($R$3,0,0,'Données projet'!$E$9+1,1))-AVERAGE(OFFSET($H$3,0,0,'Données projet'!$E$9+1,1))</f>
        <v>237.22177246688199</v>
      </c>
      <c r="T32" s="62">
        <f t="shared" si="34"/>
        <v>149.27472147904302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11.8</v>
      </c>
      <c r="AI32" s="14">
        <f>IF('Données projet'!$A$62&gt;35,AI31+AH32-AQ31,IF(A32&lt;'Données projet'!$A$62,$AF$205^A32,IF(A32='Données projet'!$A$62,'Données projet'!$B$62,AI31+AH32-AQ31)))</f>
        <v>188.20000000000007</v>
      </c>
      <c r="AJ32" s="14">
        <f>AI32*VLOOKUP('Données projet'!$B$10,Paramètres!$A$1:$I$89,3,0)*VLOOKUP('Données projet'!$B$10,Paramètres!$A$1:$I$89,5,0)</f>
        <v>164.41152000000008</v>
      </c>
      <c r="AK32" s="14">
        <f t="shared" si="35"/>
        <v>41.835965488659568</v>
      </c>
      <c r="AL32" s="22">
        <f t="shared" si="4"/>
        <v>359.21437055941556</v>
      </c>
      <c r="AM32" s="62">
        <f t="shared" si="5"/>
        <v>652.54770389274881</v>
      </c>
      <c r="AN32" s="62">
        <f ca="1">AVERAGE(OFFSET($AM$3,0,0,'Données projet'!$E$10+1,1))-AVERAGE(OFFSET($H$3,0,0,'Données projet'!$E$10+1,1))</f>
        <v>223.81948236065614</v>
      </c>
      <c r="AO32" s="62">
        <f t="shared" si="36"/>
        <v>320.1204011431372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4.0285990664297735</v>
      </c>
      <c r="AW32" s="23">
        <f>EXP(-LN(2)/2)*AW31+(1-EXP(-LN(2)/2))/(LN(2)/2)*AQ32*AT32*VLOOKUP('Données projet'!$B$10,Paramètres!$A$1:$I$89,3,0)*0.475*44/12</f>
        <v>0.4553464457925277</v>
      </c>
      <c r="AX32" s="23">
        <f t="shared" si="6"/>
        <v>4.4839455122223013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</v>
      </c>
      <c r="BD32" s="13">
        <f>IF('Données projet'!$A$88&gt;35,BD31+BC32-BL31,IF(A32&lt;'Données projet'!$A$88,$BA$205^A32,IF(A32='Données projet'!$A$88,'Données projet'!$B$88,BD31+BC32-BL31)))</f>
        <v>205</v>
      </c>
      <c r="BE32" s="14">
        <f>BD32*VLOOKUP('Données projet'!$B$11,Paramètres!$A$1:$I$89,3,0)*VLOOKUP('Données projet'!$B$11,Paramètres!$A$1:$I$89,5,0)</f>
        <v>122.59</v>
      </c>
      <c r="BF32" s="14">
        <f t="shared" si="37"/>
        <v>32.278321478706822</v>
      </c>
      <c r="BG32" s="22">
        <f t="shared" si="7"/>
        <v>269.72899324208106</v>
      </c>
      <c r="BH32" s="62">
        <f t="shared" si="8"/>
        <v>563.06232657541432</v>
      </c>
      <c r="BI32" s="62">
        <f ca="1">AVERAGE(OFFSET($BH$3,0,0,'Données projet'!$E$11+1,1))-AVERAGE(OFFSET($H$3,0,0,'Données projet'!$E$11+1,1))</f>
        <v>216.94426559495264</v>
      </c>
      <c r="BJ32" s="62">
        <f t="shared" si="38"/>
        <v>225.33715877618704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0.41557475419483225</v>
      </c>
      <c r="BR32" s="23">
        <f>EXP(-LN(2)/2)*BR31+(1-EXP(-LN(2)/2))/(LN(2)/2)*BL32*BO32*VLOOKUP('Données projet'!$B$11,Paramètres!$A$1:$I$89,3,0)*0.475*44/12</f>
        <v>4.4884149656691998E-2</v>
      </c>
      <c r="BS32" s="24">
        <f t="shared" si="9"/>
        <v>0.46045890385152427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6.3</v>
      </c>
      <c r="M33" s="13">
        <f t="array" ref="M33">INDEX(L:L,MIN(IF(ISNUMBER(L33:L229),ROW(L33:L229),"")))</f>
        <v>6.3</v>
      </c>
      <c r="N33" s="14">
        <f>IF('Données projet'!$A$36&gt;35,N32+M33-V32,IF(A33&lt;'Données projet'!$A$36,$K$205^A33,IF(A33='Données projet'!$A$36,'Données projet'!$B$36,N32+M33-V32)))</f>
        <v>104.99999999999997</v>
      </c>
      <c r="O33" s="14">
        <f>N33*VLOOKUP('Données projet'!$B$9,Paramètres!$A$1:$I$89,3,0)*VLOOKUP('Données projet'!$B$9,Paramètres!$A$1:$I$89,5,0)</f>
        <v>95.003999999999962</v>
      </c>
      <c r="P33" s="14">
        <f t="shared" si="33"/>
        <v>25.768242550600764</v>
      </c>
      <c r="Q33" s="22">
        <f t="shared" si="2"/>
        <v>210.34498910896289</v>
      </c>
      <c r="R33" s="62">
        <f t="shared" si="0"/>
        <v>503.67832244229623</v>
      </c>
      <c r="S33" s="62">
        <f ca="1">AVERAGE(OFFSET($R$3,0,0,'Données projet'!$E$9+1,1))-AVERAGE(OFFSET($H$3,0,0,'Données projet'!$E$9+1,1))</f>
        <v>237.22177246688199</v>
      </c>
      <c r="T33" s="62">
        <f t="shared" si="34"/>
        <v>149.27472147904302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0.1075</v>
      </c>
      <c r="Y33" s="17">
        <f>IF(ISNA(VLOOKUP(A33,'Données projet'!$A$35:$I$55,7,0)),0%,VLOOKUP(A33,'Données projet'!$A$35:$I$55,7,0))</f>
        <v>0.25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3.1059381724899082</v>
      </c>
      <c r="AB33" s="23">
        <f>EXP(-LN(2)/2)*AB32+(1-EXP(-LN(2)/2))/(LN(2)/2)*V33*Y33*VLOOKUP('Données projet'!$B$9,Paramètres!$A$1:$I$89,3,0)*0.475*44/12</f>
        <v>6.1893478544284255</v>
      </c>
      <c r="AC33" s="24">
        <f t="shared" si="3"/>
        <v>9.2952860269183333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200</v>
      </c>
      <c r="AG33" s="13">
        <f>VLOOKUP(A33,'Données projet'!$A$61:$I$81,9,0)</f>
        <v>11.8</v>
      </c>
      <c r="AH33" s="13">
        <f t="array" ref="AH33">INDEX(AG:AG,MIN(IF(ISNUMBER(AG33:AG229),ROW(AG33:AG229),"")))</f>
        <v>11.8</v>
      </c>
      <c r="AI33" s="14">
        <f>IF('Données projet'!$A$62&gt;35,AI32+AH33-AQ32,IF(A33&lt;'Données projet'!$A$62,$AF$205^A33,IF(A33='Données projet'!$A$62,'Données projet'!$B$62,AI32+AH33-AQ32)))</f>
        <v>200.00000000000009</v>
      </c>
      <c r="AJ33" s="14">
        <f>AI33*VLOOKUP('Données projet'!$B$10,Paramètres!$A$1:$I$89,3,0)*VLOOKUP('Données projet'!$B$10,Paramètres!$A$1:$I$89,5,0)</f>
        <v>174.72000000000008</v>
      </c>
      <c r="AK33" s="14">
        <f t="shared" si="35"/>
        <v>44.145455754865246</v>
      </c>
      <c r="AL33" s="22">
        <f t="shared" si="4"/>
        <v>381.1906687730571</v>
      </c>
      <c r="AM33" s="62">
        <f t="shared" si="5"/>
        <v>674.52400210639041</v>
      </c>
      <c r="AN33" s="62">
        <f ca="1">AVERAGE(OFFSET($AM$3,0,0,'Données projet'!$E$10+1,1))-AVERAGE(OFFSET($H$3,0,0,'Données projet'!$E$10+1,1))</f>
        <v>223.81948236065614</v>
      </c>
      <c r="AO33" s="62">
        <f t="shared" si="36"/>
        <v>320.1204011431372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74</v>
      </c>
      <c r="AR33" s="17">
        <f>IF(ISNA(VLOOKUP(A33,'Données projet'!$A$61:$I$81,5,0)),0%,VLOOKUP(A33,'Données projet'!$A$61:$I$81,5,0)*VLOOKUP('Données projet'!$B$10,Paramètres!$A$1:$I$89,7,0))</f>
        <v>4.3000000000000003E-2</v>
      </c>
      <c r="AS33" s="17">
        <f>IF(ISNA(VLOOKUP(A33,'Données projet'!$A$61:$I$81,6,0)),0%,VLOOKUP(A33,'Données projet'!$A$61:$I$81,6,0)*VLOOKUP('Données projet'!$B$10,Paramètres!$A$1:$I$89,7,0))</f>
        <v>0.19350000000000001</v>
      </c>
      <c r="AT33" s="17">
        <f>IF(ISNA(VLOOKUP(A33,'Données projet'!$A$61:$I$81,7,0)),0%,VLOOKUP(A33,'Données projet'!$A$61:$I$81,7,0))</f>
        <v>0.45</v>
      </c>
      <c r="AU33" s="23">
        <f>EXP(-LN(2)/35)*AU32+(1-EXP(-LN(2)/35))/(LN(2)/35)*AQ33*AR33*VLOOKUP('Données projet'!$B$10,Paramètres!$A$1:$I$89,3,0)*0.475*44/12</f>
        <v>3.0729812547678734</v>
      </c>
      <c r="AV33" s="23">
        <f>EXP(-LN(2)/25)*AV32+(1-EXP(-LN(2)/25))/(LN(2)/25)*Calculateur!AQ33*Calculateur!AS33*VLOOKUP('Données projet'!$B$10,Paramètres!$A$1:$I$89,3,0)*0.475*44/12</f>
        <v>17.692404718119324</v>
      </c>
      <c r="AW33" s="23">
        <f>EXP(-LN(2)/2)*AW32+(1-EXP(-LN(2)/2))/(LN(2)/2)*AQ33*AT33*VLOOKUP('Données projet'!$B$10,Paramètres!$A$1:$I$89,3,0)*0.475*44/12</f>
        <v>27.770006809164684</v>
      </c>
      <c r="AX33" s="23">
        <f t="shared" si="6"/>
        <v>48.535392782051886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218</v>
      </c>
      <c r="BB33" s="13">
        <f>VLOOKUP(A33,'Données projet'!$A$87:$I$107,9,0)</f>
        <v>13</v>
      </c>
      <c r="BC33" s="13">
        <f t="array" ref="BC33">INDEX(BB:BB,MIN(IF(ISNUMBER(BB33:BB229),ROW(BB33:BB229),"")))</f>
        <v>13</v>
      </c>
      <c r="BD33" s="13">
        <f>IF('Données projet'!$A$88&gt;35,BD32+BC33-BL32,IF(A33&lt;'Données projet'!$A$88,$BA$205^A33,IF(A33='Données projet'!$A$88,'Données projet'!$B$88,BD32+BC33-BL32)))</f>
        <v>218</v>
      </c>
      <c r="BE33" s="14">
        <f>BD33*VLOOKUP('Données projet'!$B$11,Paramètres!$A$1:$I$89,3,0)*VLOOKUP('Données projet'!$B$11,Paramètres!$A$1:$I$89,5,0)</f>
        <v>130.364</v>
      </c>
      <c r="BF33" s="14">
        <f t="shared" si="37"/>
        <v>34.080455352788661</v>
      </c>
      <c r="BG33" s="22">
        <f t="shared" si="7"/>
        <v>286.40742640610694</v>
      </c>
      <c r="BH33" s="62">
        <f t="shared" si="8"/>
        <v>579.74075973944025</v>
      </c>
      <c r="BI33" s="62">
        <f ca="1">AVERAGE(OFFSET($BH$3,0,0,'Données projet'!$E$11+1,1))-AVERAGE(OFFSET($H$3,0,0,'Données projet'!$E$11+1,1))</f>
        <v>216.94426559495264</v>
      </c>
      <c r="BJ33" s="62">
        <f t="shared" si="38"/>
        <v>225.33715877618704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70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0.22500000000000001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12.84926355185025</v>
      </c>
      <c r="BR33" s="23">
        <f>EXP(-LN(2)/2)*BR32+(1-EXP(-LN(2)/2))/(LN(2)/2)*BL33*BO33*VLOOKUP('Données projet'!$B$11,Paramètres!$A$1:$I$89,3,0)*0.475*44/12</f>
        <v>23.729359873818968</v>
      </c>
      <c r="BS33" s="24">
        <f t="shared" si="9"/>
        <v>36.578623425669221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8.1999999999999993</v>
      </c>
      <c r="N34" s="14">
        <f>IF('Données projet'!$A$36&gt;35,N33+M34-V33,IF(A34&lt;'Données projet'!$A$36,$K$205^A34,IF(A34='Données projet'!$A$36,'Données projet'!$B$36,N33+M34-V33)))</f>
        <v>84.199999999999974</v>
      </c>
      <c r="O34" s="14">
        <f>N34*VLOOKUP('Données projet'!$B$9,Paramètres!$A$1:$I$89,3,0)*VLOOKUP('Données projet'!$B$9,Paramètres!$A$1:$I$89,5,0)</f>
        <v>76.184159999999977</v>
      </c>
      <c r="P34" s="14">
        <f t="shared" si="33"/>
        <v>21.201554232857205</v>
      </c>
      <c r="Q34" s="22">
        <f t="shared" si="2"/>
        <v>169.61345228889294</v>
      </c>
      <c r="R34" s="62">
        <f t="shared" si="0"/>
        <v>462.94678562222623</v>
      </c>
      <c r="S34" s="62">
        <f ca="1">AVERAGE(OFFSET($R$3,0,0,'Données projet'!$E$9+1,1))-AVERAGE(OFFSET($H$3,0,0,'Données projet'!$E$9+1,1))</f>
        <v>237.22177246688199</v>
      </c>
      <c r="T34" s="62">
        <f t="shared" si="34"/>
        <v>149.27472147904302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3.0210061298289821</v>
      </c>
      <c r="AB34" s="23">
        <f>EXP(-LN(2)/2)*AB33+(1-EXP(-LN(2)/2))/(LN(2)/2)*V34*Y34*VLOOKUP('Données projet'!$B$9,Paramètres!$A$1:$I$89,3,0)*0.475*44/12</f>
        <v>4.3765298389887484</v>
      </c>
      <c r="AC34" s="24">
        <f t="shared" si="3"/>
        <v>7.3975359688177305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10.1</v>
      </c>
      <c r="AI34" s="14">
        <f>IF('Données projet'!$A$62&gt;35,AI33+AH34-AQ33,IF(A34&lt;'Données projet'!$A$62,$AF$205^A34,IF(A34='Données projet'!$A$62,'Données projet'!$B$62,AI33+AH34-AQ33)))</f>
        <v>136.10000000000008</v>
      </c>
      <c r="AJ34" s="14">
        <f>AI34*VLOOKUP('Données projet'!$B$10,Paramètres!$A$1:$I$89,3,0)*VLOOKUP('Données projet'!$B$10,Paramètres!$A$1:$I$89,5,0)</f>
        <v>118.89696000000008</v>
      </c>
      <c r="AK34" s="14">
        <f t="shared" si="35"/>
        <v>31.417595224301145</v>
      </c>
      <c r="AL34" s="22">
        <f t="shared" si="4"/>
        <v>261.79785034899129</v>
      </c>
      <c r="AM34" s="62">
        <f t="shared" si="5"/>
        <v>555.1311836823246</v>
      </c>
      <c r="AN34" s="62">
        <f ca="1">AVERAGE(OFFSET($AM$3,0,0,'Données projet'!$E$10+1,1))-AVERAGE(OFFSET($H$3,0,0,'Données projet'!$E$10+1,1))</f>
        <v>223.81948236065614</v>
      </c>
      <c r="AO34" s="62">
        <f t="shared" si="36"/>
        <v>320.1204011431372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3.012721966695366</v>
      </c>
      <c r="AV34" s="23">
        <f>EXP(-LN(2)/25)*AV33+(1-EXP(-LN(2)/25))/(LN(2)/25)*Calculateur!AQ34*Calculateur!AS34*VLOOKUP('Données projet'!$B$10,Paramètres!$A$1:$I$89,3,0)*0.475*44/12</f>
        <v>17.208604980699224</v>
      </c>
      <c r="AW34" s="23">
        <f>EXP(-LN(2)/2)*AW33+(1-EXP(-LN(2)/2))/(LN(2)/2)*AQ34*AT34*VLOOKUP('Données projet'!$B$10,Paramètres!$A$1:$I$89,3,0)*0.475*44/12</f>
        <v>19.636360128356948</v>
      </c>
      <c r="AX34" s="23">
        <f t="shared" si="6"/>
        <v>39.857687075751542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13.7</v>
      </c>
      <c r="BD34" s="13">
        <f>IF('Données projet'!$A$88&gt;35,BD33+BC34-BL33,IF(A34&lt;'Données projet'!$A$88,$BA$205^A34,IF(A34='Données projet'!$A$88,'Données projet'!$B$88,BD33+BC34-BL33)))</f>
        <v>161.69999999999999</v>
      </c>
      <c r="BE34" s="14">
        <f>BD34*VLOOKUP('Données projet'!$B$11,Paramètres!$A$1:$I$89,3,0)*VLOOKUP('Données projet'!$B$11,Paramètres!$A$1:$I$89,5,0)</f>
        <v>96.696600000000004</v>
      </c>
      <c r="BF34" s="14">
        <f t="shared" si="37"/>
        <v>26.173476069859898</v>
      </c>
      <c r="BG34" s="22">
        <f t="shared" si="7"/>
        <v>213.99871582167268</v>
      </c>
      <c r="BH34" s="62">
        <f t="shared" si="8"/>
        <v>507.33204915500596</v>
      </c>
      <c r="BI34" s="62">
        <f ca="1">AVERAGE(OFFSET($BH$3,0,0,'Données projet'!$E$11+1,1))-AVERAGE(OFFSET($H$3,0,0,'Données projet'!$E$11+1,1))</f>
        <v>216.94426559495264</v>
      </c>
      <c r="BJ34" s="62">
        <f t="shared" si="38"/>
        <v>225.33715877618704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12.497899764311502</v>
      </c>
      <c r="BR34" s="23">
        <f>EXP(-LN(2)/2)*BR33+(1-EXP(-LN(2)/2))/(LN(2)/2)*BL34*BO34*VLOOKUP('Données projet'!$B$11,Paramètres!$A$1:$I$89,3,0)*0.475*44/12</f>
        <v>16.779191279993352</v>
      </c>
      <c r="BS34" s="24">
        <f t="shared" si="9"/>
        <v>29.277091044304854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8.1999999999999993</v>
      </c>
      <c r="N35" s="14">
        <f>IF('Données projet'!$A$36&gt;35,N34+M35-V34,IF(A35&lt;'Données projet'!$A$36,$K$205^A35,IF(A35='Données projet'!$A$36,'Données projet'!$B$36,N34+M35-V34)))</f>
        <v>92.399999999999977</v>
      </c>
      <c r="O35" s="14">
        <f>N35*VLOOKUP('Données projet'!$B$9,Paramètres!$A$1:$I$89,3,0)*VLOOKUP('Données projet'!$B$9,Paramètres!$A$1:$I$89,5,0)</f>
        <v>83.603519999999975</v>
      </c>
      <c r="P35" s="14">
        <f t="shared" si="33"/>
        <v>23.015991519299678</v>
      </c>
      <c r="Q35" s="22">
        <f t="shared" ref="Q35:Q66" si="53">(O35+P35)*0.475*44/12</f>
        <v>185.69564922944687</v>
      </c>
      <c r="R35" s="62">
        <f t="shared" si="0"/>
        <v>479.02898256278019</v>
      </c>
      <c r="S35" s="62">
        <f ca="1">AVERAGE(OFFSET($R$3,0,0,'Données projet'!$E$9+1,1))-AVERAGE(OFFSET($H$3,0,0,'Données projet'!$E$9+1,1))</f>
        <v>237.22177246688199</v>
      </c>
      <c r="T35" s="62">
        <f t="shared" si="34"/>
        <v>149.27472147904302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2.938396558341001</v>
      </c>
      <c r="AB35" s="23">
        <f>EXP(-LN(2)/2)*AB34+(1-EXP(-LN(2)/2))/(LN(2)/2)*V35*Y35*VLOOKUP('Données projet'!$B$9,Paramètres!$A$1:$I$89,3,0)*0.475*44/12</f>
        <v>3.0946739272142132</v>
      </c>
      <c r="AC35" s="24">
        <f t="shared" si="3"/>
        <v>6.0330704855552142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10.1</v>
      </c>
      <c r="AI35" s="14">
        <f>IF('Données projet'!$A$62&gt;35,AI34+AH35-AQ34,IF(A35&lt;'Données projet'!$A$62,$AF$205^A35,IF(A35='Données projet'!$A$62,'Données projet'!$B$62,AI34+AH35-AQ34)))</f>
        <v>146.20000000000007</v>
      </c>
      <c r="AJ35" s="14">
        <f>AI35*VLOOKUP('Données projet'!$B$10,Paramètres!$A$1:$I$89,3,0)*VLOOKUP('Données projet'!$B$10,Paramètres!$A$1:$I$89,5,0)</f>
        <v>127.72032000000007</v>
      </c>
      <c r="AK35" s="14">
        <f t="shared" si="35"/>
        <v>33.469051060164432</v>
      </c>
      <c r="AL35" s="22">
        <f t="shared" si="4"/>
        <v>280.73815459645317</v>
      </c>
      <c r="AM35" s="62">
        <f t="shared" si="5"/>
        <v>574.07148792978649</v>
      </c>
      <c r="AN35" s="62">
        <f ca="1">AVERAGE(OFFSET($AM$3,0,0,'Données projet'!$E$10+1,1))-AVERAGE(OFFSET($H$3,0,0,'Données projet'!$E$10+1,1))</f>
        <v>223.81948236065614</v>
      </c>
      <c r="AO35" s="62">
        <f t="shared" si="36"/>
        <v>320.1204011431372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2.9536443265074235</v>
      </c>
      <c r="AV35" s="23">
        <f>EXP(-LN(2)/25)*AV34+(1-EXP(-LN(2)/25))/(LN(2)/25)*Calculateur!AQ35*Calculateur!AS35*VLOOKUP('Données projet'!$B$10,Paramètres!$A$1:$I$89,3,0)*0.475*44/12</f>
        <v>16.7380347725408</v>
      </c>
      <c r="AW35" s="23">
        <f>EXP(-LN(2)/2)*AW34+(1-EXP(-LN(2)/2))/(LN(2)/2)*AQ35*AT35*VLOOKUP('Données projet'!$B$10,Paramètres!$A$1:$I$89,3,0)*0.475*44/12</f>
        <v>13.885003404582344</v>
      </c>
      <c r="AX35" s="23">
        <f t="shared" si="6"/>
        <v>33.576682503630565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13.7</v>
      </c>
      <c r="BD35" s="13">
        <f>IF('Données projet'!$A$88&gt;35,BD34+BC35-BL34,IF(A35&lt;'Données projet'!$A$88,$BA$205^A35,IF(A35='Données projet'!$A$88,'Données projet'!$B$88,BD34+BC35-BL34)))</f>
        <v>175.39999999999998</v>
      </c>
      <c r="BE35" s="14">
        <f>BD35*VLOOKUP('Données projet'!$B$11,Paramètres!$A$1:$I$89,3,0)*VLOOKUP('Données projet'!$B$11,Paramètres!$A$1:$I$89,5,0)</f>
        <v>104.8892</v>
      </c>
      <c r="BF35" s="14">
        <f t="shared" si="37"/>
        <v>28.123526406473545</v>
      </c>
      <c r="BG35" s="22">
        <f t="shared" si="7"/>
        <v>231.66383182460808</v>
      </c>
      <c r="BH35" s="62">
        <f t="shared" si="8"/>
        <v>524.99716515794137</v>
      </c>
      <c r="BI35" s="62">
        <f ca="1">AVERAGE(OFFSET($BH$3,0,0,'Données projet'!$E$11+1,1))-AVERAGE(OFFSET($H$3,0,0,'Données projet'!$E$11+1,1))</f>
        <v>216.94426559495264</v>
      </c>
      <c r="BJ35" s="62">
        <f t="shared" si="38"/>
        <v>225.33715877618704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12.15614403802042</v>
      </c>
      <c r="BR35" s="23">
        <f>EXP(-LN(2)/2)*BR34+(1-EXP(-LN(2)/2))/(LN(2)/2)*BL35*BO35*VLOOKUP('Données projet'!$B$11,Paramètres!$A$1:$I$89,3,0)*0.475*44/12</f>
        <v>11.864679936909486</v>
      </c>
      <c r="BS35" s="24">
        <f t="shared" si="9"/>
        <v>24.020823974929904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8.1999999999999993</v>
      </c>
      <c r="N36" s="14">
        <f>IF('Données projet'!$A$36&gt;35,N35+M36-V35,IF(A36&lt;'Données projet'!$A$36,$K$205^A36,IF(A36='Données projet'!$A$36,'Données projet'!$B$36,N35+M36-V35)))</f>
        <v>100.59999999999998</v>
      </c>
      <c r="O36" s="14">
        <f>N36*VLOOKUP('Données projet'!$B$9,Paramètres!$A$1:$I$89,3,0)*VLOOKUP('Données projet'!$B$9,Paramètres!$A$1:$I$89,5,0)</f>
        <v>91.022879999999972</v>
      </c>
      <c r="P36" s="14">
        <f t="shared" si="33"/>
        <v>24.811756526220293</v>
      </c>
      <c r="Q36" s="22">
        <f t="shared" si="53"/>
        <v>201.74532528316695</v>
      </c>
      <c r="R36" s="62">
        <f t="shared" si="0"/>
        <v>495.07865861650026</v>
      </c>
      <c r="S36" s="62">
        <f ca="1">AVERAGE(OFFSET($R$3,0,0,'Données projet'!$E$9+1,1))-AVERAGE(OFFSET($H$3,0,0,'Données projet'!$E$9+1,1))</f>
        <v>237.22177246688199</v>
      </c>
      <c r="T36" s="62">
        <f t="shared" si="34"/>
        <v>149.27472147904302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2.8580459499296071</v>
      </c>
      <c r="AB36" s="23">
        <f>EXP(-LN(2)/2)*AB35+(1-EXP(-LN(2)/2))/(LN(2)/2)*V36*Y36*VLOOKUP('Données projet'!$B$9,Paramètres!$A$1:$I$89,3,0)*0.475*44/12</f>
        <v>2.1882649194943746</v>
      </c>
      <c r="AC36" s="24">
        <f t="shared" si="3"/>
        <v>5.0463108694239818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10.1</v>
      </c>
      <c r="AI36" s="14">
        <f>IF('Données projet'!$A$62&gt;35,AI35+AH36-AQ35,IF(A36&lt;'Données projet'!$A$62,$AF$205^A36,IF(A36='Données projet'!$A$62,'Données projet'!$B$62,AI35+AH36-AQ35)))</f>
        <v>156.30000000000007</v>
      </c>
      <c r="AJ36" s="14">
        <f>AI36*VLOOKUP('Données projet'!$B$10,Paramètres!$A$1:$I$89,3,0)*VLOOKUP('Données projet'!$B$10,Paramètres!$A$1:$I$89,5,0)</f>
        <v>136.54368000000008</v>
      </c>
      <c r="AK36" s="14">
        <f t="shared" si="35"/>
        <v>35.504062844328153</v>
      </c>
      <c r="AL36" s="22">
        <f t="shared" si="4"/>
        <v>299.64981878720499</v>
      </c>
      <c r="AM36" s="62">
        <f t="shared" si="5"/>
        <v>592.98315212053831</v>
      </c>
      <c r="AN36" s="62">
        <f ca="1">AVERAGE(OFFSET($AM$3,0,0,'Données projet'!$E$10+1,1))-AVERAGE(OFFSET($H$3,0,0,'Données projet'!$E$10+1,1))</f>
        <v>223.81948236065614</v>
      </c>
      <c r="AO36" s="62">
        <f t="shared" si="36"/>
        <v>320.1204011431372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2.8957251628097644</v>
      </c>
      <c r="AV36" s="23">
        <f>EXP(-LN(2)/25)*AV35+(1-EXP(-LN(2)/25))/(LN(2)/25)*Calculateur!AQ36*Calculateur!AS36*VLOOKUP('Données projet'!$B$10,Paramètres!$A$1:$I$89,3,0)*0.475*44/12</f>
        <v>16.280332331470678</v>
      </c>
      <c r="AW36" s="23">
        <f>EXP(-LN(2)/2)*AW35+(1-EXP(-LN(2)/2))/(LN(2)/2)*AQ36*AT36*VLOOKUP('Données projet'!$B$10,Paramètres!$A$1:$I$89,3,0)*0.475*44/12</f>
        <v>9.8181800641784758</v>
      </c>
      <c r="AX36" s="23">
        <f t="shared" si="6"/>
        <v>28.99423755845892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13.7</v>
      </c>
      <c r="BD36" s="13">
        <f>IF('Données projet'!$A$88&gt;35,BD35+BC36-BL35,IF(A36&lt;'Données projet'!$A$88,$BA$205^A36,IF(A36='Données projet'!$A$88,'Données projet'!$B$88,BD35+BC36-BL35)))</f>
        <v>189.09999999999997</v>
      </c>
      <c r="BE36" s="14">
        <f>BD36*VLOOKUP('Données projet'!$B$11,Paramètres!$A$1:$I$89,3,0)*VLOOKUP('Données projet'!$B$11,Paramètres!$A$1:$I$89,5,0)</f>
        <v>113.08179999999999</v>
      </c>
      <c r="BF36" s="14">
        <f t="shared" si="37"/>
        <v>30.055908915657483</v>
      </c>
      <c r="BG36" s="22">
        <f t="shared" si="7"/>
        <v>249.29817636143676</v>
      </c>
      <c r="BH36" s="62">
        <f t="shared" si="8"/>
        <v>542.6315096947701</v>
      </c>
      <c r="BI36" s="62">
        <f ca="1">AVERAGE(OFFSET($BH$3,0,0,'Données projet'!$E$11+1,1))-AVERAGE(OFFSET($H$3,0,0,'Données projet'!$E$11+1,1))</f>
        <v>216.94426559495264</v>
      </c>
      <c r="BJ36" s="62">
        <f t="shared" si="38"/>
        <v>225.33715877618704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11.82373364003692</v>
      </c>
      <c r="BR36" s="23">
        <f>EXP(-LN(2)/2)*BR35+(1-EXP(-LN(2)/2))/(LN(2)/2)*BL36*BO36*VLOOKUP('Données projet'!$B$11,Paramètres!$A$1:$I$89,3,0)*0.475*44/12</f>
        <v>8.389595639996676</v>
      </c>
      <c r="BS36" s="24">
        <f t="shared" si="9"/>
        <v>20.213329280033598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8.1999999999999993</v>
      </c>
      <c r="N37" s="14">
        <f>IF('Données projet'!$A$36&gt;35,N36+M37-V36,IF(A37&lt;'Données projet'!$A$36,$K$205^A37,IF(A37='Données projet'!$A$36,'Données projet'!$B$36,N36+M37-V36)))</f>
        <v>108.79999999999998</v>
      </c>
      <c r="O37" s="14">
        <f>N37*VLOOKUP('Données projet'!$B$9,Paramètres!$A$1:$I$89,3,0)*VLOOKUP('Données projet'!$B$9,Paramètres!$A$1:$I$89,5,0)</f>
        <v>98.442239999999984</v>
      </c>
      <c r="P37" s="14">
        <f t="shared" si="33"/>
        <v>26.590544283900247</v>
      </c>
      <c r="Q37" s="22">
        <f t="shared" si="53"/>
        <v>217.76543262779288</v>
      </c>
      <c r="R37" s="62">
        <f t="shared" si="0"/>
        <v>511.09876596112622</v>
      </c>
      <c r="S37" s="62">
        <f ca="1">AVERAGE(OFFSET($R$3,0,0,'Données projet'!$E$9+1,1))-AVERAGE(OFFSET($H$3,0,0,'Données projet'!$E$9+1,1))</f>
        <v>237.22177246688199</v>
      </c>
      <c r="T37" s="62">
        <f t="shared" si="34"/>
        <v>149.27472147904302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2.7798925331306776</v>
      </c>
      <c r="AB37" s="23">
        <f>EXP(-LN(2)/2)*AB36+(1-EXP(-LN(2)/2))/(LN(2)/2)*V37*Y37*VLOOKUP('Données projet'!$B$9,Paramètres!$A$1:$I$89,3,0)*0.475*44/12</f>
        <v>1.5473369636071068</v>
      </c>
      <c r="AC37" s="24">
        <f t="shared" si="3"/>
        <v>4.3272294967377842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10.1</v>
      </c>
      <c r="AI37" s="14">
        <f>IF('Données projet'!$A$62&gt;35,AI36+AH37-AQ36,IF(A37&lt;'Données projet'!$A$62,$AF$205^A37,IF(A37='Données projet'!$A$62,'Données projet'!$B$62,AI36+AH37-AQ36)))</f>
        <v>166.40000000000006</v>
      </c>
      <c r="AJ37" s="14">
        <f>AI37*VLOOKUP('Données projet'!$B$10,Paramètres!$A$1:$I$89,3,0)*VLOOKUP('Données projet'!$B$10,Paramètres!$A$1:$I$89,5,0)</f>
        <v>145.36704000000006</v>
      </c>
      <c r="AK37" s="14">
        <f t="shared" si="35"/>
        <v>37.523814117080832</v>
      </c>
      <c r="AL37" s="22">
        <f t="shared" si="4"/>
        <v>318.53490425391584</v>
      </c>
      <c r="AM37" s="62">
        <f t="shared" si="5"/>
        <v>611.86823758724915</v>
      </c>
      <c r="AN37" s="62">
        <f ca="1">AVERAGE(OFFSET($AM$3,0,0,'Données projet'!$E$10+1,1))-AVERAGE(OFFSET($H$3,0,0,'Données projet'!$E$10+1,1))</f>
        <v>223.81948236065614</v>
      </c>
      <c r="AO37" s="62">
        <f t="shared" si="36"/>
        <v>320.1204011431372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2.8389417585850145</v>
      </c>
      <c r="AV37" s="23">
        <f>EXP(-LN(2)/25)*AV36+(1-EXP(-LN(2)/25))/(LN(2)/25)*Calculateur!AQ37*Calculateur!AS37*VLOOKUP('Données projet'!$B$10,Paramètres!$A$1:$I$89,3,0)*0.475*44/12</f>
        <v>15.835145787721144</v>
      </c>
      <c r="AW37" s="23">
        <f>EXP(-LN(2)/2)*AW36+(1-EXP(-LN(2)/2))/(LN(2)/2)*AQ37*AT37*VLOOKUP('Données projet'!$B$10,Paramètres!$A$1:$I$89,3,0)*0.475*44/12</f>
        <v>6.9425017022911728</v>
      </c>
      <c r="AX37" s="23">
        <f t="shared" si="6"/>
        <v>25.616589248597329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13.7</v>
      </c>
      <c r="BD37" s="13">
        <f>IF('Données projet'!$A$88&gt;35,BD36+BC37-BL36,IF(A37&lt;'Données projet'!$A$88,$BA$205^A37,IF(A37='Données projet'!$A$88,'Données projet'!$B$88,BD36+BC37-BL36)))</f>
        <v>202.79999999999995</v>
      </c>
      <c r="BE37" s="14">
        <f>BD37*VLOOKUP('Données projet'!$B$11,Paramètres!$A$1:$I$89,3,0)*VLOOKUP('Données projet'!$B$11,Paramètres!$A$1:$I$89,5,0)</f>
        <v>121.27439999999999</v>
      </c>
      <c r="BF37" s="14">
        <f t="shared" si="37"/>
        <v>31.972049173215385</v>
      </c>
      <c r="BG37" s="22">
        <f t="shared" si="7"/>
        <v>266.90423231001677</v>
      </c>
      <c r="BH37" s="62">
        <f t="shared" si="8"/>
        <v>560.23756564335008</v>
      </c>
      <c r="BI37" s="62">
        <f ca="1">AVERAGE(OFFSET($BH$3,0,0,'Données projet'!$E$11+1,1))-AVERAGE(OFFSET($H$3,0,0,'Données projet'!$E$11+1,1))</f>
        <v>216.94426559495264</v>
      </c>
      <c r="BJ37" s="62">
        <f t="shared" si="38"/>
        <v>225.33715877618704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11.500413021866981</v>
      </c>
      <c r="BR37" s="23">
        <f>EXP(-LN(2)/2)*BR36+(1-EXP(-LN(2)/2))/(LN(2)/2)*BL37*BO37*VLOOKUP('Données projet'!$B$11,Paramètres!$A$1:$I$89,3,0)*0.475*44/12</f>
        <v>5.9323399684547429</v>
      </c>
      <c r="BS37" s="24">
        <f t="shared" si="9"/>
        <v>17.432752990321724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8.1999999999999993</v>
      </c>
      <c r="N38" s="14">
        <f>IF('Données projet'!$A$36&gt;35,N37+M38-V37,IF(A38&lt;'Données projet'!$A$36,$K$205^A38,IF(A38='Données projet'!$A$36,'Données projet'!$B$36,N37+M38-V37)))</f>
        <v>116.99999999999999</v>
      </c>
      <c r="O38" s="14">
        <f>N38*VLOOKUP('Données projet'!$B$9,Paramètres!$A$1:$I$89,3,0)*VLOOKUP('Données projet'!$B$9,Paramètres!$A$1:$I$89,5,0)</f>
        <v>105.86159999999998</v>
      </c>
      <c r="P38" s="14">
        <f t="shared" si="33"/>
        <v>28.353779818951288</v>
      </c>
      <c r="Q38" s="22">
        <f t="shared" si="53"/>
        <v>233.75845318467347</v>
      </c>
      <c r="R38" s="62">
        <f t="shared" si="0"/>
        <v>527.09178651800676</v>
      </c>
      <c r="S38" s="62">
        <f ca="1">AVERAGE(OFFSET($R$3,0,0,'Données projet'!$E$9+1,1))-AVERAGE(OFFSET($H$3,0,0,'Données projet'!$E$9+1,1))</f>
        <v>237.22177246688199</v>
      </c>
      <c r="T38" s="62">
        <f t="shared" si="34"/>
        <v>149.27472147904302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2.7038762256240245</v>
      </c>
      <c r="AB38" s="23">
        <f>EXP(-LN(2)/2)*AB37+(1-EXP(-LN(2)/2))/(LN(2)/2)*V38*Y38*VLOOKUP('Données projet'!$B$9,Paramètres!$A$1:$I$89,3,0)*0.475*44/12</f>
        <v>1.0941324597471873</v>
      </c>
      <c r="AC38" s="24">
        <f t="shared" si="3"/>
        <v>3.7980086853712116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10.1</v>
      </c>
      <c r="AI38" s="14">
        <f>IF('Données projet'!$A$62&gt;35,AI37+AH38-AQ37,IF(A38&lt;'Données projet'!$A$62,$AF$205^A38,IF(A38='Données projet'!$A$62,'Données projet'!$B$62,AI37+AH38-AQ37)))</f>
        <v>176.50000000000006</v>
      </c>
      <c r="AJ38" s="14">
        <f>AI38*VLOOKUP('Données projet'!$B$10,Paramètres!$A$1:$I$89,3,0)*VLOOKUP('Données projet'!$B$10,Paramètres!$A$1:$I$89,5,0)</f>
        <v>154.19040000000007</v>
      </c>
      <c r="AK38" s="14">
        <f t="shared" si="35"/>
        <v>39.529336625598283</v>
      </c>
      <c r="AL38" s="22">
        <f t="shared" si="4"/>
        <v>337.39520795625043</v>
      </c>
      <c r="AM38" s="62">
        <f t="shared" si="5"/>
        <v>630.72854128958375</v>
      </c>
      <c r="AN38" s="62">
        <f ca="1">AVERAGE(OFFSET($AM$3,0,0,'Données projet'!$E$10+1,1))-AVERAGE(OFFSET($H$3,0,0,'Données projet'!$E$10+1,1))</f>
        <v>223.81948236065614</v>
      </c>
      <c r="AO38" s="62">
        <f t="shared" si="36"/>
        <v>320.1204011431372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2.7832718422826557</v>
      </c>
      <c r="AV38" s="23">
        <f>EXP(-LN(2)/25)*AV37+(1-EXP(-LN(2)/25))/(LN(2)/25)*Calculateur!AQ38*Calculateur!AS38*VLOOKUP('Données projet'!$B$10,Paramètres!$A$1:$I$89,3,0)*0.475*44/12</f>
        <v>15.402132893421784</v>
      </c>
      <c r="AW38" s="23">
        <f>EXP(-LN(2)/2)*AW37+(1-EXP(-LN(2)/2))/(LN(2)/2)*AQ38*AT38*VLOOKUP('Données projet'!$B$10,Paramètres!$A$1:$I$89,3,0)*0.475*44/12</f>
        <v>4.9090900320892388</v>
      </c>
      <c r="AX38" s="23">
        <f t="shared" si="6"/>
        <v>23.09449476779368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13.7</v>
      </c>
      <c r="BD38" s="13">
        <f>IF('Données projet'!$A$88&gt;35,BD37+BC38-BL37,IF(A38&lt;'Données projet'!$A$88,$BA$205^A38,IF(A38='Données projet'!$A$88,'Données projet'!$B$88,BD37+BC38-BL37)))</f>
        <v>216.49999999999994</v>
      </c>
      <c r="BE38" s="14">
        <f>BD38*VLOOKUP('Données projet'!$B$11,Paramètres!$A$1:$I$89,3,0)*VLOOKUP('Données projet'!$B$11,Paramètres!$A$1:$I$89,5,0)</f>
        <v>129.46699999999998</v>
      </c>
      <c r="BF38" s="14">
        <f t="shared" si="37"/>
        <v>33.873169248083329</v>
      </c>
      <c r="BG38" s="22">
        <f t="shared" si="7"/>
        <v>284.48412810707845</v>
      </c>
      <c r="BH38" s="62">
        <f t="shared" si="8"/>
        <v>577.81746144041176</v>
      </c>
      <c r="BI38" s="62">
        <f ca="1">AVERAGE(OFFSET($BH$3,0,0,'Données projet'!$E$11+1,1))-AVERAGE(OFFSET($H$3,0,0,'Données projet'!$E$11+1,1))</f>
        <v>216.94426559495264</v>
      </c>
      <c r="BJ38" s="62">
        <f t="shared" si="38"/>
        <v>225.33715877618704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11.185933623003592</v>
      </c>
      <c r="BR38" s="23">
        <f>EXP(-LN(2)/2)*BR37+(1-EXP(-LN(2)/2))/(LN(2)/2)*BL38*BO38*VLOOKUP('Données projet'!$B$11,Paramètres!$A$1:$I$89,3,0)*0.475*44/12</f>
        <v>4.194797819998338</v>
      </c>
      <c r="BS38" s="24">
        <f t="shared" si="9"/>
        <v>15.380731443001931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8.1999999999999993</v>
      </c>
      <c r="N39" s="14">
        <f>IF('Données projet'!$A$36&gt;35,N38+M39-V38,IF(A39&lt;'Données projet'!$A$36,$K$205^A39,IF(A39='Données projet'!$A$36,'Données projet'!$B$36,N38+M39-V38)))</f>
        <v>125.19999999999999</v>
      </c>
      <c r="O39" s="14">
        <f>N39*VLOOKUP('Données projet'!$B$9,Paramètres!$A$1:$I$89,3,0)*VLOOKUP('Données projet'!$B$9,Paramètres!$A$1:$I$89,5,0)</f>
        <v>113.28095999999998</v>
      </c>
      <c r="P39" s="14">
        <f t="shared" si="33"/>
        <v>30.102677097724456</v>
      </c>
      <c r="Q39" s="22">
        <f t="shared" si="53"/>
        <v>249.72650127853672</v>
      </c>
      <c r="R39" s="62">
        <f t="shared" si="0"/>
        <v>543.05983461186997</v>
      </c>
      <c r="S39" s="62">
        <f ca="1">AVERAGE(OFFSET($R$3,0,0,'Données projet'!$E$9+1,1))-AVERAGE(OFFSET($H$3,0,0,'Données projet'!$E$9+1,1))</f>
        <v>237.22177246688199</v>
      </c>
      <c r="T39" s="62">
        <f t="shared" si="34"/>
        <v>149.27472147904302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2.6299385880436645</v>
      </c>
      <c r="AB39" s="23">
        <f>EXP(-LN(2)/2)*AB38+(1-EXP(-LN(2)/2))/(LN(2)/2)*V39*Y39*VLOOKUP('Données projet'!$B$9,Paramètres!$A$1:$I$89,3,0)*0.475*44/12</f>
        <v>0.77366848180355341</v>
      </c>
      <c r="AC39" s="24">
        <f t="shared" si="3"/>
        <v>3.4036070698472178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10.1</v>
      </c>
      <c r="AI39" s="14">
        <f>IF('Données projet'!$A$62&gt;35,AI38+AH39-AQ38,IF(A39&lt;'Données projet'!$A$62,$AF$205^A39,IF(A39='Données projet'!$A$62,'Données projet'!$B$62,AI38+AH39-AQ38)))</f>
        <v>186.60000000000005</v>
      </c>
      <c r="AJ39" s="14">
        <f>AI39*VLOOKUP('Données projet'!$B$10,Paramètres!$A$1:$I$89,3,0)*VLOOKUP('Données projet'!$B$10,Paramètres!$A$1:$I$89,5,0)</f>
        <v>163.01376000000008</v>
      </c>
      <c r="AK39" s="14">
        <f t="shared" si="35"/>
        <v>41.5215373664754</v>
      </c>
      <c r="AL39" s="22">
        <f t="shared" si="4"/>
        <v>356.23230957994474</v>
      </c>
      <c r="AM39" s="62">
        <f t="shared" si="5"/>
        <v>649.565642913278</v>
      </c>
      <c r="AN39" s="62">
        <f ca="1">AVERAGE(OFFSET($AM$3,0,0,'Données projet'!$E$10+1,1))-AVERAGE(OFFSET($H$3,0,0,'Données projet'!$E$10+1,1))</f>
        <v>223.81948236065614</v>
      </c>
      <c r="AO39" s="62">
        <f t="shared" si="36"/>
        <v>320.1204011431372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2.7286935790836897</v>
      </c>
      <c r="AV39" s="23">
        <f>EXP(-LN(2)/25)*AV38+(1-EXP(-LN(2)/25))/(LN(2)/25)*Calculateur!AQ39*Calculateur!AS39*VLOOKUP('Données projet'!$B$10,Paramètres!$A$1:$I$89,3,0)*0.475*44/12</f>
        <v>14.980960759488198</v>
      </c>
      <c r="AW39" s="23">
        <f>EXP(-LN(2)/2)*AW38+(1-EXP(-LN(2)/2))/(LN(2)/2)*AQ39*AT39*VLOOKUP('Données projet'!$B$10,Paramètres!$A$1:$I$89,3,0)*0.475*44/12</f>
        <v>3.4712508511455873</v>
      </c>
      <c r="AX39" s="23">
        <f t="shared" si="6"/>
        <v>21.180905189717475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13.7</v>
      </c>
      <c r="BD39" s="13">
        <f>IF('Données projet'!$A$88&gt;35,BD38+BC39-BL38,IF(A39&lt;'Données projet'!$A$88,$BA$205^A39,IF(A39='Données projet'!$A$88,'Données projet'!$B$88,BD38+BC39-BL38)))</f>
        <v>230.19999999999993</v>
      </c>
      <c r="BE39" s="14">
        <f>BD39*VLOOKUP('Données projet'!$B$11,Paramètres!$A$1:$I$89,3,0)*VLOOKUP('Données projet'!$B$11,Paramètres!$A$1:$I$89,5,0)</f>
        <v>137.65959999999995</v>
      </c>
      <c r="BF39" s="14">
        <f t="shared" si="37"/>
        <v>35.760327802577585</v>
      </c>
      <c r="BG39" s="22">
        <f t="shared" si="7"/>
        <v>302.03970758948918</v>
      </c>
      <c r="BH39" s="62">
        <f t="shared" si="8"/>
        <v>595.3730409228225</v>
      </c>
      <c r="BI39" s="62">
        <f ca="1">AVERAGE(OFFSET($BH$3,0,0,'Données projet'!$E$11+1,1))-AVERAGE(OFFSET($H$3,0,0,'Données projet'!$E$11+1,1))</f>
        <v>216.94426559495264</v>
      </c>
      <c r="BJ39" s="62">
        <f t="shared" si="38"/>
        <v>225.33715877618704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10.880053679839875</v>
      </c>
      <c r="BR39" s="23">
        <f>EXP(-LN(2)/2)*BR38+(1-EXP(-LN(2)/2))/(LN(2)/2)*BL39*BO39*VLOOKUP('Données projet'!$B$11,Paramètres!$A$1:$I$89,3,0)*0.475*44/12</f>
        <v>2.9661699842273714</v>
      </c>
      <c r="BS39" s="24">
        <f t="shared" si="9"/>
        <v>13.846223664067246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8.1999999999999993</v>
      </c>
      <c r="N40" s="14">
        <f>IF('Données projet'!$A$36&gt;35,N39+M40-V39,IF(A40&lt;'Données projet'!$A$36,$K$205^A40,IF(A40='Données projet'!$A$36,'Données projet'!$B$36,N39+M40-V39)))</f>
        <v>133.39999999999998</v>
      </c>
      <c r="O40" s="14">
        <f>N40*VLOOKUP('Données projet'!$B$9,Paramètres!$A$1:$I$89,3,0)*VLOOKUP('Données projet'!$B$9,Paramètres!$A$1:$I$89,5,0)</f>
        <v>120.70031999999998</v>
      </c>
      <c r="P40" s="14">
        <f t="shared" si="33"/>
        <v>31.838282075030818</v>
      </c>
      <c r="Q40" s="22">
        <f t="shared" si="53"/>
        <v>265.67139861401193</v>
      </c>
      <c r="R40" s="62">
        <f t="shared" si="0"/>
        <v>559.00473194734525</v>
      </c>
      <c r="S40" s="62">
        <f ca="1">AVERAGE(OFFSET($R$3,0,0,'Données projet'!$E$9+1,1))-AVERAGE(OFFSET($H$3,0,0,'Données projet'!$E$9+1,1))</f>
        <v>237.22177246688199</v>
      </c>
      <c r="T40" s="62">
        <f t="shared" si="34"/>
        <v>149.27472147904302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2.5580227790511509</v>
      </c>
      <c r="AB40" s="23">
        <f>EXP(-LN(2)/2)*AB39+(1-EXP(-LN(2)/2))/(LN(2)/2)*V40*Y40*VLOOKUP('Données projet'!$B$9,Paramètres!$A$1:$I$89,3,0)*0.475*44/12</f>
        <v>0.54706622987359366</v>
      </c>
      <c r="AC40" s="24">
        <f t="shared" si="3"/>
        <v>3.1050890089247445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10.1</v>
      </c>
      <c r="AI40" s="14">
        <f>IF('Données projet'!$A$62&gt;35,AI39+AH40-AQ39,IF(A40&lt;'Données projet'!$A$62,$AF$205^A40,IF(A40='Données projet'!$A$62,'Données projet'!$B$62,AI39+AH40-AQ39)))</f>
        <v>196.70000000000005</v>
      </c>
      <c r="AJ40" s="14">
        <f>AI40*VLOOKUP('Données projet'!$B$10,Paramètres!$A$1:$I$89,3,0)*VLOOKUP('Données projet'!$B$10,Paramètres!$A$1:$I$89,5,0)</f>
        <v>171.83712000000006</v>
      </c>
      <c r="AK40" s="14">
        <f t="shared" si="35"/>
        <v>43.501219605956322</v>
      </c>
      <c r="AL40" s="22">
        <f t="shared" si="4"/>
        <v>375.04760814704065</v>
      </c>
      <c r="AM40" s="62">
        <f t="shared" si="5"/>
        <v>668.38094148037396</v>
      </c>
      <c r="AN40" s="62">
        <f ca="1">AVERAGE(OFFSET($AM$3,0,0,'Données projet'!$E$10+1,1))-AVERAGE(OFFSET($H$3,0,0,'Données projet'!$E$10+1,1))</f>
        <v>223.81948236065614</v>
      </c>
      <c r="AO40" s="62">
        <f t="shared" si="36"/>
        <v>320.1204011431372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2.6751855623366021</v>
      </c>
      <c r="AV40" s="23">
        <f>EXP(-LN(2)/25)*AV39+(1-EXP(-LN(2)/25))/(LN(2)/25)*Calculateur!AQ40*Calculateur!AS40*VLOOKUP('Données projet'!$B$10,Paramètres!$A$1:$I$89,3,0)*0.475*44/12</f>
        <v>14.571305599705507</v>
      </c>
      <c r="AW40" s="23">
        <f>EXP(-LN(2)/2)*AW39+(1-EXP(-LN(2)/2))/(LN(2)/2)*AQ40*AT40*VLOOKUP('Données projet'!$B$10,Paramètres!$A$1:$I$89,3,0)*0.475*44/12</f>
        <v>2.4545450160446198</v>
      </c>
      <c r="AX40" s="23">
        <f t="shared" si="6"/>
        <v>19.701036178086728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13.7</v>
      </c>
      <c r="BD40" s="13">
        <f>IF('Données projet'!$A$88&gt;35,BD39+BC40-BL39,IF(A40&lt;'Données projet'!$A$88,$BA$205^A40,IF(A40='Données projet'!$A$88,'Données projet'!$B$88,BD39+BC40-BL39)))</f>
        <v>243.89999999999992</v>
      </c>
      <c r="BE40" s="14">
        <f>BD40*VLOOKUP('Données projet'!$B$11,Paramètres!$A$1:$I$89,3,0)*VLOOKUP('Données projet'!$B$11,Paramètres!$A$1:$I$89,5,0)</f>
        <v>145.85219999999998</v>
      </c>
      <c r="BF40" s="14">
        <f t="shared" si="37"/>
        <v>37.634450370795903</v>
      </c>
      <c r="BG40" s="22">
        <f t="shared" si="7"/>
        <v>319.57258272913612</v>
      </c>
      <c r="BH40" s="62">
        <f t="shared" si="8"/>
        <v>612.90591606246949</v>
      </c>
      <c r="BI40" s="62">
        <f ca="1">AVERAGE(OFFSET($BH$3,0,0,'Données projet'!$E$11+1,1))-AVERAGE(OFFSET($H$3,0,0,'Données projet'!$E$11+1,1))</f>
        <v>216.94426559495264</v>
      </c>
      <c r="BJ40" s="62">
        <f t="shared" si="38"/>
        <v>225.33715877618704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10.582538039807497</v>
      </c>
      <c r="BR40" s="23">
        <f>EXP(-LN(2)/2)*BR39+(1-EXP(-LN(2)/2))/(LN(2)/2)*BL40*BO40*VLOOKUP('Données projet'!$B$11,Paramètres!$A$1:$I$89,3,0)*0.475*44/12</f>
        <v>2.097398909999169</v>
      </c>
      <c r="BS40" s="24">
        <f t="shared" si="9"/>
        <v>12.679936949806667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8.1999999999999993</v>
      </c>
      <c r="N41" s="14">
        <f>IF('Données projet'!$A$36&gt;35,N40+M41-V40,IF(A41&lt;'Données projet'!$A$36,$K$205^A41,IF(A41='Données projet'!$A$36,'Données projet'!$B$36,N40+M41-V40)))</f>
        <v>141.59999999999997</v>
      </c>
      <c r="O41" s="14">
        <f>N41*VLOOKUP('Données projet'!$B$9,Paramètres!$A$1:$I$89,3,0)*VLOOKUP('Données projet'!$B$9,Paramètres!$A$1:$I$89,5,0)</f>
        <v>128.11967999999996</v>
      </c>
      <c r="P41" s="14">
        <f t="shared" si="33"/>
        <v>33.561504850994297</v>
      </c>
      <c r="Q41" s="22">
        <f t="shared" si="53"/>
        <v>281.5947302821483</v>
      </c>
      <c r="R41" s="62">
        <f t="shared" si="0"/>
        <v>574.92806361548162</v>
      </c>
      <c r="S41" s="62">
        <f ca="1">AVERAGE(OFFSET($R$3,0,0,'Données projet'!$E$9+1,1))-AVERAGE(OFFSET($H$3,0,0,'Données projet'!$E$9+1,1))</f>
        <v>237.22177246688199</v>
      </c>
      <c r="T41" s="62">
        <f t="shared" si="34"/>
        <v>149.27472147904302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2.4880735116374257</v>
      </c>
      <c r="AB41" s="23">
        <f>EXP(-LN(2)/2)*AB40+(1-EXP(-LN(2)/2))/(LN(2)/2)*V41*Y41*VLOOKUP('Données projet'!$B$9,Paramètres!$A$1:$I$89,3,0)*0.475*44/12</f>
        <v>0.3868342409017767</v>
      </c>
      <c r="AC41" s="24">
        <f t="shared" si="3"/>
        <v>2.8749077525392024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10.1</v>
      </c>
      <c r="AI41" s="14">
        <f>IF('Données projet'!$A$62&gt;35,AI40+AH41-AQ40,IF(A41&lt;'Données projet'!$A$62,$AF$205^A41,IF(A41='Données projet'!$A$62,'Données projet'!$B$62,AI40+AH41-AQ40)))</f>
        <v>206.80000000000004</v>
      </c>
      <c r="AJ41" s="14">
        <f>AI41*VLOOKUP('Données projet'!$B$10,Paramètres!$A$1:$I$89,3,0)*VLOOKUP('Données projet'!$B$10,Paramètres!$A$1:$I$89,5,0)</f>
        <v>180.66048000000006</v>
      </c>
      <c r="AK41" s="14">
        <f t="shared" si="35"/>
        <v>45.469099459918802</v>
      </c>
      <c r="AL41" s="22">
        <f t="shared" si="4"/>
        <v>393.84235089269197</v>
      </c>
      <c r="AM41" s="62">
        <f t="shared" si="5"/>
        <v>687.17568422602528</v>
      </c>
      <c r="AN41" s="62">
        <f ca="1">AVERAGE(OFFSET($AM$3,0,0,'Données projet'!$E$10+1,1))-AVERAGE(OFFSET($H$3,0,0,'Données projet'!$E$10+1,1))</f>
        <v>223.81948236065614</v>
      </c>
      <c r="AO41" s="62">
        <f t="shared" si="36"/>
        <v>320.1204011431372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2.6227268051612573</v>
      </c>
      <c r="AV41" s="23">
        <f>EXP(-LN(2)/25)*AV40+(1-EXP(-LN(2)/25))/(LN(2)/25)*Calculateur!AQ41*Calculateur!AS41*VLOOKUP('Données projet'!$B$10,Paramètres!$A$1:$I$89,3,0)*0.475*44/12</f>
        <v>14.172852481809901</v>
      </c>
      <c r="AW41" s="23">
        <f>EXP(-LN(2)/2)*AW40+(1-EXP(-LN(2)/2))/(LN(2)/2)*AQ41*AT41*VLOOKUP('Données projet'!$B$10,Paramètres!$A$1:$I$89,3,0)*0.475*44/12</f>
        <v>1.7356254255727939</v>
      </c>
      <c r="AX41" s="23">
        <f t="shared" si="6"/>
        <v>18.531204712543953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13.7</v>
      </c>
      <c r="BD41" s="13">
        <f>IF('Données projet'!$A$88&gt;35,BD40+BC41-BL40,IF(A41&lt;'Données projet'!$A$88,$BA$205^A41,IF(A41='Données projet'!$A$88,'Données projet'!$B$88,BD40+BC41-BL40)))</f>
        <v>257.59999999999991</v>
      </c>
      <c r="BE41" s="14">
        <f>BD41*VLOOKUP('Données projet'!$B$11,Paramètres!$A$1:$I$89,3,0)*VLOOKUP('Données projet'!$B$11,Paramètres!$A$1:$I$89,5,0)</f>
        <v>154.04479999999995</v>
      </c>
      <c r="BF41" s="14">
        <f t="shared" si="37"/>
        <v>39.496352638742984</v>
      </c>
      <c r="BG41" s="22">
        <f t="shared" si="7"/>
        <v>337.08417417914399</v>
      </c>
      <c r="BH41" s="62">
        <f t="shared" si="8"/>
        <v>630.4175075124773</v>
      </c>
      <c r="BI41" s="62">
        <f ca="1">AVERAGE(OFFSET($BH$3,0,0,'Données projet'!$E$11+1,1))-AVERAGE(OFFSET($H$3,0,0,'Données projet'!$E$11+1,1))</f>
        <v>216.94426559495264</v>
      </c>
      <c r="BJ41" s="62">
        <f t="shared" si="38"/>
        <v>225.33715877618704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10.293157980597472</v>
      </c>
      <c r="BR41" s="23">
        <f>EXP(-LN(2)/2)*BR40+(1-EXP(-LN(2)/2))/(LN(2)/2)*BL41*BO41*VLOOKUP('Données projet'!$B$11,Paramètres!$A$1:$I$89,3,0)*0.475*44/12</f>
        <v>1.4830849921136857</v>
      </c>
      <c r="BS41" s="24">
        <f t="shared" si="9"/>
        <v>11.776242972711158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8.1999999999999993</v>
      </c>
      <c r="N42" s="14">
        <f>IF('Données projet'!$A$36&gt;35,N41+M42-V41,IF(A42&lt;'Données projet'!$A$36,$K$205^A42,IF(A42='Données projet'!$A$36,'Données projet'!$B$36,N41+M42-V41)))</f>
        <v>149.79999999999995</v>
      </c>
      <c r="O42" s="14">
        <f>N42*VLOOKUP('Données projet'!$B$9,Paramètres!$A$1:$I$89,3,0)*VLOOKUP('Données projet'!$B$9,Paramètres!$A$1:$I$89,5,0)</f>
        <v>135.53903999999997</v>
      </c>
      <c r="P42" s="14">
        <f t="shared" si="33"/>
        <v>35.273144164630104</v>
      </c>
      <c r="Q42" s="22">
        <f t="shared" si="53"/>
        <v>297.49788742006405</v>
      </c>
      <c r="R42" s="62">
        <f t="shared" si="0"/>
        <v>590.83122075339736</v>
      </c>
      <c r="S42" s="62">
        <f ca="1">AVERAGE(OFFSET($R$3,0,0,'Données projet'!$E$9+1,1))-AVERAGE(OFFSET($H$3,0,0,'Données projet'!$E$9+1,1))</f>
        <v>237.22177246688199</v>
      </c>
      <c r="T42" s="62">
        <f t="shared" si="34"/>
        <v>149.27472147904302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2.420037010619601</v>
      </c>
      <c r="AB42" s="23">
        <f>EXP(-LN(2)/2)*AB41+(1-EXP(-LN(2)/2))/(LN(2)/2)*V42*Y42*VLOOKUP('Données projet'!$B$9,Paramètres!$A$1:$I$89,3,0)*0.475*44/12</f>
        <v>0.27353311493679683</v>
      </c>
      <c r="AC42" s="24">
        <f t="shared" si="3"/>
        <v>2.693570125556398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10.1</v>
      </c>
      <c r="AI42" s="14">
        <f>IF('Données projet'!$A$62&gt;35,AI41+AH42-AQ41,IF(A42&lt;'Données projet'!$A$62,$AF$205^A42,IF(A42='Données projet'!$A$62,'Données projet'!$B$62,AI41+AH42-AQ41)))</f>
        <v>216.90000000000003</v>
      </c>
      <c r="AJ42" s="14">
        <f>AI42*VLOOKUP('Données projet'!$B$10,Paramètres!$A$1:$I$89,3,0)*VLOOKUP('Données projet'!$B$10,Paramètres!$A$1:$I$89,5,0)</f>
        <v>189.48384000000004</v>
      </c>
      <c r="AK42" s="14">
        <f t="shared" si="35"/>
        <v>47.425819142919799</v>
      </c>
      <c r="AL42" s="22">
        <f t="shared" si="4"/>
        <v>412.61765634058537</v>
      </c>
      <c r="AM42" s="62">
        <f t="shared" si="5"/>
        <v>705.95098967391868</v>
      </c>
      <c r="AN42" s="62">
        <f ca="1">AVERAGE(OFFSET($AM$3,0,0,'Données projet'!$E$10+1,1))-AVERAGE(OFFSET($H$3,0,0,'Données projet'!$E$10+1,1))</f>
        <v>223.81948236065614</v>
      </c>
      <c r="AO42" s="62">
        <f t="shared" si="36"/>
        <v>320.1204011431372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2.5712967322174385</v>
      </c>
      <c r="AV42" s="23">
        <f>EXP(-LN(2)/25)*AV41+(1-EXP(-LN(2)/25))/(LN(2)/25)*Calculateur!AQ42*Calculateur!AS42*VLOOKUP('Données projet'!$B$10,Paramètres!$A$1:$I$89,3,0)*0.475*44/12</f>
        <v>13.785295085376889</v>
      </c>
      <c r="AW42" s="23">
        <f>EXP(-LN(2)/2)*AW41+(1-EXP(-LN(2)/2))/(LN(2)/2)*AQ42*AT42*VLOOKUP('Données projet'!$B$10,Paramètres!$A$1:$I$89,3,0)*0.475*44/12</f>
        <v>1.2272725080223101</v>
      </c>
      <c r="AX42" s="23">
        <f t="shared" si="6"/>
        <v>17.583864325616638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13.7</v>
      </c>
      <c r="BD42" s="13">
        <f>IF('Données projet'!$A$88&gt;35,BD41+BC42-BL41,IF(A42&lt;'Données projet'!$A$88,$BA$205^A42,IF(A42='Données projet'!$A$88,'Données projet'!$B$88,BD41+BC42-BL41)))</f>
        <v>271.2999999999999</v>
      </c>
      <c r="BE42" s="14">
        <f>BD42*VLOOKUP('Données projet'!$B$11,Paramètres!$A$1:$I$89,3,0)*VLOOKUP('Données projet'!$B$11,Paramètres!$A$1:$I$89,5,0)</f>
        <v>162.23739999999995</v>
      </c>
      <c r="BF42" s="14">
        <f t="shared" si="37"/>
        <v>41.346758630600348</v>
      </c>
      <c r="BG42" s="22">
        <f t="shared" si="7"/>
        <v>354.57574294829556</v>
      </c>
      <c r="BH42" s="62">
        <f t="shared" si="8"/>
        <v>647.90907628162881</v>
      </c>
      <c r="BI42" s="62">
        <f ca="1">AVERAGE(OFFSET($BH$3,0,0,'Données projet'!$E$11+1,1))-AVERAGE(OFFSET($H$3,0,0,'Données projet'!$E$11+1,1))</f>
        <v>216.94426559495264</v>
      </c>
      <c r="BJ42" s="62">
        <f t="shared" si="38"/>
        <v>225.33715877618704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10.011691034324382</v>
      </c>
      <c r="BR42" s="23">
        <f>EXP(-LN(2)/2)*BR41+(1-EXP(-LN(2)/2))/(LN(2)/2)*BL42*BO42*VLOOKUP('Données projet'!$B$11,Paramètres!$A$1:$I$89,3,0)*0.475*44/12</f>
        <v>1.0486994549995845</v>
      </c>
      <c r="BS42" s="24">
        <f t="shared" si="9"/>
        <v>11.060390489323966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8.1999999999999993</v>
      </c>
      <c r="M43" s="13">
        <f t="array" ref="M43">INDEX(L:L,MIN(IF(ISNUMBER(L43:L239),ROW(L43:L239),"")))</f>
        <v>8.1999999999999993</v>
      </c>
      <c r="N43" s="14">
        <f>IF('Données projet'!$A$36&gt;35,N42+M43-V42,IF(A43&lt;'Données projet'!$A$36,$K$205^A43,IF(A43='Données projet'!$A$36,'Données projet'!$B$36,N42+M43-V42)))</f>
        <v>157.99999999999994</v>
      </c>
      <c r="O43" s="14">
        <f>N43*VLOOKUP('Données projet'!$B$9,Paramètres!$A$1:$I$89,3,0)*VLOOKUP('Données projet'!$B$9,Paramètres!$A$1:$I$89,5,0)</f>
        <v>142.95839999999993</v>
      </c>
      <c r="P43" s="14">
        <f t="shared" si="33"/>
        <v>36.973906370811264</v>
      </c>
      <c r="Q43" s="22">
        <f t="shared" si="53"/>
        <v>313.38210026249618</v>
      </c>
      <c r="R43" s="62">
        <f t="shared" si="0"/>
        <v>606.7154335958295</v>
      </c>
      <c r="S43" s="62">
        <f ca="1">AVERAGE(OFFSET($R$3,0,0,'Données projet'!$E$9+1,1))-AVERAGE(OFFSET($H$3,0,0,'Données projet'!$E$9+1,1))</f>
        <v>237.22177246688199</v>
      </c>
      <c r="T43" s="62">
        <f t="shared" si="34"/>
        <v>149.27472147904302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2.3538609712999925</v>
      </c>
      <c r="AB43" s="23">
        <f>EXP(-LN(2)/2)*AB42+(1-EXP(-LN(2)/2))/(LN(2)/2)*V43*Y43*VLOOKUP('Données projet'!$B$9,Paramètres!$A$1:$I$89,3,0)*0.475*44/12</f>
        <v>0.19341712045088835</v>
      </c>
      <c r="AC43" s="24">
        <f t="shared" si="3"/>
        <v>2.547278091750881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227</v>
      </c>
      <c r="AG43" s="13">
        <f>VLOOKUP(A43,'Données projet'!$A$61:$I$81,9,0)</f>
        <v>10.1</v>
      </c>
      <c r="AH43" s="13">
        <f t="array" ref="AH43">INDEX(AG:AG,MIN(IF(ISNUMBER(AG43:AG239),ROW(AG43:AG239),"")))</f>
        <v>10.1</v>
      </c>
      <c r="AI43" s="14">
        <f>IF('Données projet'!$A$62&gt;35,AI42+AH43-AQ42,IF(A43&lt;'Données projet'!$A$62,$AF$205^A43,IF(A43='Données projet'!$A$62,'Données projet'!$B$62,AI42+AH43-AQ42)))</f>
        <v>227.00000000000003</v>
      </c>
      <c r="AJ43" s="14">
        <f>AI43*VLOOKUP('Données projet'!$B$10,Paramètres!$A$1:$I$89,3,0)*VLOOKUP('Données projet'!$B$10,Paramètres!$A$1:$I$89,5,0)</f>
        <v>198.30720000000005</v>
      </c>
      <c r="AK43" s="14">
        <f t="shared" si="35"/>
        <v>49.371957679623371</v>
      </c>
      <c r="AL43" s="22">
        <f t="shared" si="4"/>
        <v>431.37453295867743</v>
      </c>
      <c r="AM43" s="62">
        <f t="shared" si="5"/>
        <v>724.70786629201075</v>
      </c>
      <c r="AN43" s="62">
        <f ca="1">AVERAGE(OFFSET($AM$3,0,0,'Données projet'!$E$10+1,1))-AVERAGE(OFFSET($H$3,0,0,'Données projet'!$E$10+1,1))</f>
        <v>223.81948236065614</v>
      </c>
      <c r="AO43" s="62">
        <f t="shared" si="36"/>
        <v>320.1204011431372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69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2.5208751716348008</v>
      </c>
      <c r="AV43" s="23">
        <f>EXP(-LN(2)/25)*AV42+(1-EXP(-LN(2)/25))/(LN(2)/25)*Calculateur!AQ43*Calculateur!AS43*VLOOKUP('Données projet'!$B$10,Paramètres!$A$1:$I$89,3,0)*0.475*44/12</f>
        <v>13.408335466330096</v>
      </c>
      <c r="AW43" s="23">
        <f>EXP(-LN(2)/2)*AW42+(1-EXP(-LN(2)/2))/(LN(2)/2)*AQ43*AT43*VLOOKUP('Données projet'!$B$10,Paramètres!$A$1:$I$89,3,0)*0.475*44/12</f>
        <v>0.86781271278639716</v>
      </c>
      <c r="AX43" s="23">
        <f t="shared" si="6"/>
        <v>16.797023350751292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285</v>
      </c>
      <c r="BB43" s="13">
        <f>VLOOKUP(A43,'Données projet'!$A$87:$I$107,9,0)</f>
        <v>13.7</v>
      </c>
      <c r="BC43" s="13">
        <f t="array" ref="BC43">INDEX(BB:BB,MIN(IF(ISNUMBER(BB43:BB239),ROW(BB43:BB239),"")))</f>
        <v>13.7</v>
      </c>
      <c r="BD43" s="13">
        <f>IF('Données projet'!$A$88&gt;35,BD42+BC43-BL42,IF(A43&lt;'Données projet'!$A$88,$BA$205^A43,IF(A43='Données projet'!$A$88,'Données projet'!$B$88,BD42+BC43-BL42)))</f>
        <v>284.99999999999989</v>
      </c>
      <c r="BE43" s="14">
        <f>BD43*VLOOKUP('Données projet'!$B$11,Paramètres!$A$1:$I$89,3,0)*VLOOKUP('Données projet'!$B$11,Paramètres!$A$1:$I$89,5,0)</f>
        <v>170.42999999999995</v>
      </c>
      <c r="BF43" s="14">
        <f t="shared" si="37"/>
        <v>43.186315117079396</v>
      </c>
      <c r="BG43" s="22">
        <f t="shared" si="7"/>
        <v>372.04841549557983</v>
      </c>
      <c r="BH43" s="62">
        <f t="shared" si="8"/>
        <v>665.38174882891315</v>
      </c>
      <c r="BI43" s="62">
        <f ca="1">AVERAGE(OFFSET($BH$3,0,0,'Données projet'!$E$11+1,1))-AVERAGE(OFFSET($H$3,0,0,'Données projet'!$E$11+1,1))</f>
        <v>216.94426559495264</v>
      </c>
      <c r="BJ43" s="62">
        <f t="shared" si="38"/>
        <v>225.33715877618704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70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9.737920816498832</v>
      </c>
      <c r="BR43" s="23">
        <f>EXP(-LN(2)/2)*BR42+(1-EXP(-LN(2)/2))/(LN(2)/2)*BL43*BO43*VLOOKUP('Données projet'!$B$11,Paramètres!$A$1:$I$89,3,0)*0.475*44/12</f>
        <v>0.74154249605684286</v>
      </c>
      <c r="BS43" s="24">
        <f t="shared" si="9"/>
        <v>10.479463312555675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8.3000000000000007</v>
      </c>
      <c r="N44" s="14">
        <f>IF('Données projet'!$A$36&gt;35,N43+M44-V43,IF(A44&lt;'Données projet'!$A$36,$K$205^A44,IF(A44='Données projet'!$A$36,'Données projet'!$B$36,N43+M44-V43)))</f>
        <v>124.29999999999995</v>
      </c>
      <c r="O44" s="14">
        <f>N44*VLOOKUP('Données projet'!$B$9,Paramètres!$A$1:$I$89,3,0)*VLOOKUP('Données projet'!$B$9,Paramètres!$A$1:$I$89,5,0)</f>
        <v>112.46663999999996</v>
      </c>
      <c r="P44" s="14">
        <f t="shared" si="33"/>
        <v>29.911391992758421</v>
      </c>
      <c r="Q44" s="22">
        <f t="shared" si="53"/>
        <v>247.97507238738748</v>
      </c>
      <c r="R44" s="62">
        <f t="shared" si="0"/>
        <v>541.30840572072077</v>
      </c>
      <c r="S44" s="62">
        <f ca="1">AVERAGE(OFFSET($R$3,0,0,'Données projet'!$E$9+1,1))-AVERAGE(OFFSET($H$3,0,0,'Données projet'!$E$9+1,1))</f>
        <v>237.22177246688199</v>
      </c>
      <c r="T44" s="62">
        <f t="shared" si="34"/>
        <v>149.27472147904302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2.2894945192556255</v>
      </c>
      <c r="AB44" s="23">
        <f>EXP(-LN(2)/2)*AB43+(1-EXP(-LN(2)/2))/(LN(2)/2)*V44*Y44*VLOOKUP('Données projet'!$B$9,Paramètres!$A$1:$I$89,3,0)*0.475*44/12</f>
        <v>0.13676655746839841</v>
      </c>
      <c r="AC44" s="24">
        <f t="shared" si="3"/>
        <v>2.4262610767240238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8.1999999999999993</v>
      </c>
      <c r="AI44" s="14">
        <f>IF('Données projet'!$A$62&gt;35,AI43+AH44-AQ43,IF(A44&lt;'Données projet'!$A$62,$AF$205^A44,IF(A44='Données projet'!$A$62,'Données projet'!$B$62,AI43+AH44-AQ43)))</f>
        <v>166.20000000000002</v>
      </c>
      <c r="AJ44" s="14">
        <f>AI44*VLOOKUP('Données projet'!$B$10,Paramètres!$A$1:$I$89,3,0)*VLOOKUP('Données projet'!$B$10,Paramètres!$A$1:$I$89,5,0)</f>
        <v>145.19232000000002</v>
      </c>
      <c r="AK44" s="14">
        <f t="shared" si="35"/>
        <v>37.48396031597408</v>
      </c>
      <c r="AL44" s="22">
        <f t="shared" si="4"/>
        <v>318.16118821698825</v>
      </c>
      <c r="AM44" s="62">
        <f t="shared" si="5"/>
        <v>611.49452155032156</v>
      </c>
      <c r="AN44" s="62">
        <f ca="1">AVERAGE(OFFSET($AM$3,0,0,'Données projet'!$E$10+1,1))-AVERAGE(OFFSET($H$3,0,0,'Données projet'!$E$10+1,1))</f>
        <v>223.81948236065614</v>
      </c>
      <c r="AO44" s="62">
        <f t="shared" si="36"/>
        <v>320.1204011431372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2.4714423471010734</v>
      </c>
      <c r="AV44" s="23">
        <f>EXP(-LN(2)/25)*AV43+(1-EXP(-LN(2)/25))/(LN(2)/25)*Calculateur!AQ44*Calculateur!AS44*VLOOKUP('Données projet'!$B$10,Paramètres!$A$1:$I$89,3,0)*0.475*44/12</f>
        <v>13.041683827889582</v>
      </c>
      <c r="AW44" s="23">
        <f>EXP(-LN(2)/2)*AW43+(1-EXP(-LN(2)/2))/(LN(2)/2)*AQ44*AT44*VLOOKUP('Données projet'!$B$10,Paramètres!$A$1:$I$89,3,0)*0.475*44/12</f>
        <v>0.61363625401115518</v>
      </c>
      <c r="AX44" s="23">
        <f t="shared" si="6"/>
        <v>16.126762429001811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12.8</v>
      </c>
      <c r="BD44" s="13">
        <f>IF('Données projet'!$A$88&gt;35,BD43+BC44-BL43,IF(A44&lt;'Données projet'!$A$88,$BA$205^A44,IF(A44='Données projet'!$A$88,'Données projet'!$B$88,BD43+BC44-BL43)))</f>
        <v>227.7999999999999</v>
      </c>
      <c r="BE44" s="14">
        <f>BD44*VLOOKUP('Données projet'!$B$11,Paramètres!$A$1:$I$89,3,0)*VLOOKUP('Données projet'!$B$11,Paramètres!$A$1:$I$89,5,0)</f>
        <v>136.22439999999995</v>
      </c>
      <c r="BF44" s="14">
        <f t="shared" si="37"/>
        <v>35.430697151629076</v>
      </c>
      <c r="BG44" s="22">
        <f t="shared" si="7"/>
        <v>298.96596087242057</v>
      </c>
      <c r="BH44" s="62">
        <f t="shared" si="8"/>
        <v>592.29929420575388</v>
      </c>
      <c r="BI44" s="62">
        <f ca="1">AVERAGE(OFFSET($BH$3,0,0,'Données projet'!$E$11+1,1))-AVERAGE(OFFSET($H$3,0,0,'Données projet'!$E$11+1,1))</f>
        <v>216.94426559495264</v>
      </c>
      <c r="BJ44" s="62">
        <f t="shared" si="38"/>
        <v>225.33715877618704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9.4716368596766713</v>
      </c>
      <c r="BR44" s="23">
        <f>EXP(-LN(2)/2)*BR43+(1-EXP(-LN(2)/2))/(LN(2)/2)*BL44*BO44*VLOOKUP('Données projet'!$B$11,Paramètres!$A$1:$I$89,3,0)*0.475*44/12</f>
        <v>0.52434972749979225</v>
      </c>
      <c r="BS44" s="24">
        <f t="shared" si="9"/>
        <v>9.9959865871764642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8.3000000000000007</v>
      </c>
      <c r="N45" s="14">
        <f>IF('Données projet'!$A$36&gt;35,N44+M45-V44,IF(A45&lt;'Données projet'!$A$36,$K$205^A45,IF(A45='Données projet'!$A$36,'Données projet'!$B$36,N44+M45-V44)))</f>
        <v>132.59999999999997</v>
      </c>
      <c r="O45" s="14">
        <f>N45*VLOOKUP('Données projet'!$B$9,Paramètres!$A$1:$I$89,3,0)*VLOOKUP('Données projet'!$B$9,Paramètres!$A$1:$I$89,5,0)</f>
        <v>119.97647999999997</v>
      </c>
      <c r="P45" s="14">
        <f t="shared" si="33"/>
        <v>31.669513577784763</v>
      </c>
      <c r="Q45" s="22">
        <f t="shared" si="53"/>
        <v>264.11677214797504</v>
      </c>
      <c r="R45" s="62">
        <f t="shared" si="0"/>
        <v>557.45010548130836</v>
      </c>
      <c r="S45" s="62">
        <f ca="1">AVERAGE(OFFSET($R$3,0,0,'Données projet'!$E$9+1,1))-AVERAGE(OFFSET($H$3,0,0,'Données projet'!$E$9+1,1))</f>
        <v>237.22177246688199</v>
      </c>
      <c r="T45" s="62">
        <f t="shared" si="34"/>
        <v>149.27472147904302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2.2268881712272965</v>
      </c>
      <c r="AB45" s="23">
        <f>EXP(-LN(2)/2)*AB44+(1-EXP(-LN(2)/2))/(LN(2)/2)*V45*Y45*VLOOKUP('Données projet'!$B$9,Paramètres!$A$1:$I$89,3,0)*0.475*44/12</f>
        <v>9.6708560225444176E-2</v>
      </c>
      <c r="AC45" s="24">
        <f t="shared" si="3"/>
        <v>2.3235967314527408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8.1999999999999993</v>
      </c>
      <c r="AI45" s="14">
        <f>IF('Données projet'!$A$62&gt;35,AI44+AH45-AQ44,IF(A45&lt;'Données projet'!$A$62,$AF$205^A45,IF(A45='Données projet'!$A$62,'Données projet'!$B$62,AI44+AH45-AQ44)))</f>
        <v>174.4</v>
      </c>
      <c r="AJ45" s="14">
        <f>AI45*VLOOKUP('Données projet'!$B$10,Paramètres!$A$1:$I$89,3,0)*VLOOKUP('Données projet'!$B$10,Paramètres!$A$1:$I$89,5,0)</f>
        <v>152.35584000000003</v>
      </c>
      <c r="AK45" s="14">
        <f t="shared" si="35"/>
        <v>39.11347218476763</v>
      </c>
      <c r="AL45" s="22">
        <f t="shared" si="4"/>
        <v>333.47571872180367</v>
      </c>
      <c r="AM45" s="62">
        <f t="shared" si="5"/>
        <v>626.80905205513704</v>
      </c>
      <c r="AN45" s="62">
        <f ca="1">AVERAGE(OFFSET($AM$3,0,0,'Données projet'!$E$10+1,1))-AVERAGE(OFFSET($H$3,0,0,'Données projet'!$E$10+1,1))</f>
        <v>223.81948236065614</v>
      </c>
      <c r="AO45" s="62">
        <f t="shared" si="36"/>
        <v>320.1204011431372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2.4229788701054065</v>
      </c>
      <c r="AV45" s="23">
        <f>EXP(-LN(2)/25)*AV44+(1-EXP(-LN(2)/25))/(LN(2)/25)*Calculateur!AQ45*Calculateur!AS45*VLOOKUP('Données projet'!$B$10,Paramètres!$A$1:$I$89,3,0)*0.475*44/12</f>
        <v>12.685058297783597</v>
      </c>
      <c r="AW45" s="23">
        <f>EXP(-LN(2)/2)*AW44+(1-EXP(-LN(2)/2))/(LN(2)/2)*AQ45*AT45*VLOOKUP('Données projet'!$B$10,Paramètres!$A$1:$I$89,3,0)*0.475*44/12</f>
        <v>0.43390635639319863</v>
      </c>
      <c r="AX45" s="23">
        <f t="shared" si="6"/>
        <v>15.541943524282201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12.8</v>
      </c>
      <c r="BD45" s="13">
        <f>IF('Données projet'!$A$88&gt;35,BD44+BC45-BL44,IF(A45&lt;'Données projet'!$A$88,$BA$205^A45,IF(A45='Données projet'!$A$88,'Données projet'!$B$88,BD44+BC45-BL44)))</f>
        <v>240.59999999999991</v>
      </c>
      <c r="BE45" s="14">
        <f>BD45*VLOOKUP('Données projet'!$B$11,Paramètres!$A$1:$I$89,3,0)*VLOOKUP('Données projet'!$B$11,Paramètres!$A$1:$I$89,5,0)</f>
        <v>143.87879999999996</v>
      </c>
      <c r="BF45" s="14">
        <f t="shared" si="37"/>
        <v>37.184165858158067</v>
      </c>
      <c r="BG45" s="22">
        <f t="shared" si="7"/>
        <v>315.35133220295853</v>
      </c>
      <c r="BH45" s="62">
        <f t="shared" si="8"/>
        <v>608.68466553629185</v>
      </c>
      <c r="BI45" s="62">
        <f ca="1">AVERAGE(OFFSET($BH$3,0,0,'Données projet'!$E$11+1,1))-AVERAGE(OFFSET($H$3,0,0,'Données projet'!$E$11+1,1))</f>
        <v>216.94426559495264</v>
      </c>
      <c r="BJ45" s="62">
        <f t="shared" si="38"/>
        <v>225.33715877618704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9.2126344516570775</v>
      </c>
      <c r="BR45" s="23">
        <f>EXP(-LN(2)/2)*BR44+(1-EXP(-LN(2)/2))/(LN(2)/2)*BL45*BO45*VLOOKUP('Données projet'!$B$11,Paramètres!$A$1:$I$89,3,0)*0.475*44/12</f>
        <v>0.37077124802842143</v>
      </c>
      <c r="BS45" s="24">
        <f t="shared" si="9"/>
        <v>9.5834056996854997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8.3000000000000007</v>
      </c>
      <c r="N46" s="14">
        <f>IF('Données projet'!$A$36&gt;35,N45+M46-V45,IF(A46&lt;'Données projet'!$A$36,$K$205^A46,IF(A46='Données projet'!$A$36,'Données projet'!$B$36,N45+M46-V45)))</f>
        <v>140.89999999999998</v>
      </c>
      <c r="O46" s="14">
        <f>N46*VLOOKUP('Données projet'!$B$9,Paramètres!$A$1:$I$89,3,0)*VLOOKUP('Données projet'!$B$9,Paramètres!$A$1:$I$89,5,0)</f>
        <v>127.48631999999998</v>
      </c>
      <c r="P46" s="14">
        <f t="shared" si="33"/>
        <v>33.414863287066048</v>
      </c>
      <c r="Q46" s="22">
        <f t="shared" si="53"/>
        <v>280.23622755830667</v>
      </c>
      <c r="R46" s="62">
        <f t="shared" si="0"/>
        <v>573.56956089163998</v>
      </c>
      <c r="S46" s="62">
        <f ca="1">AVERAGE(OFFSET($R$3,0,0,'Données projet'!$E$9+1,1))-AVERAGE(OFFSET($H$3,0,0,'Données projet'!$E$9+1,1))</f>
        <v>237.22177246688199</v>
      </c>
      <c r="T46" s="62">
        <f t="shared" si="34"/>
        <v>149.27472147904302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2.1659937970781269</v>
      </c>
      <c r="AB46" s="23">
        <f>EXP(-LN(2)/2)*AB45+(1-EXP(-LN(2)/2))/(LN(2)/2)*V46*Y46*VLOOKUP('Données projet'!$B$9,Paramètres!$A$1:$I$89,3,0)*0.475*44/12</f>
        <v>6.8383278734199207E-2</v>
      </c>
      <c r="AC46" s="24">
        <f t="shared" si="3"/>
        <v>2.234377075812326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8.1999999999999993</v>
      </c>
      <c r="AI46" s="14">
        <f>IF('Données projet'!$A$62&gt;35,AI45+AH46-AQ45,IF(A46&lt;'Données projet'!$A$62,$AF$205^A46,IF(A46='Données projet'!$A$62,'Données projet'!$B$62,AI45+AH46-AQ45)))</f>
        <v>182.6</v>
      </c>
      <c r="AJ46" s="14">
        <f>AI46*VLOOKUP('Données projet'!$B$10,Paramètres!$A$1:$I$89,3,0)*VLOOKUP('Données projet'!$B$10,Paramètres!$A$1:$I$89,5,0)</f>
        <v>159.51936000000001</v>
      </c>
      <c r="AK46" s="14">
        <f t="shared" si="35"/>
        <v>40.734086738277284</v>
      </c>
      <c r="AL46" s="22">
        <f t="shared" si="4"/>
        <v>348.77475306916625</v>
      </c>
      <c r="AM46" s="62">
        <f t="shared" si="5"/>
        <v>642.10808640249957</v>
      </c>
      <c r="AN46" s="62">
        <f ca="1">AVERAGE(OFFSET($AM$3,0,0,'Données projet'!$E$10+1,1))-AVERAGE(OFFSET($H$3,0,0,'Données projet'!$E$10+1,1))</f>
        <v>223.81948236065614</v>
      </c>
      <c r="AO46" s="62">
        <f t="shared" si="36"/>
        <v>320.1204011431372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2.3754657323338226</v>
      </c>
      <c r="AV46" s="23">
        <f>EXP(-LN(2)/25)*AV45+(1-EXP(-LN(2)/25))/(LN(2)/25)*Calculateur!AQ46*Calculateur!AS46*VLOOKUP('Données projet'!$B$10,Paramètres!$A$1:$I$89,3,0)*0.475*44/12</f>
        <v>12.338184711552481</v>
      </c>
      <c r="AW46" s="23">
        <f>EXP(-LN(2)/2)*AW45+(1-EXP(-LN(2)/2))/(LN(2)/2)*AQ46*AT46*VLOOKUP('Données projet'!$B$10,Paramètres!$A$1:$I$89,3,0)*0.475*44/12</f>
        <v>0.30681812700557765</v>
      </c>
      <c r="AX46" s="23">
        <f t="shared" si="6"/>
        <v>15.020468570891881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12.8</v>
      </c>
      <c r="BD46" s="13">
        <f>IF('Données projet'!$A$88&gt;35,BD45+BC46-BL45,IF(A46&lt;'Données projet'!$A$88,$BA$205^A46,IF(A46='Données projet'!$A$88,'Données projet'!$B$88,BD45+BC46-BL45)))</f>
        <v>253.39999999999992</v>
      </c>
      <c r="BE46" s="14">
        <f>BD46*VLOOKUP('Données projet'!$B$11,Paramètres!$A$1:$I$89,3,0)*VLOOKUP('Données projet'!$B$11,Paramètres!$A$1:$I$89,5,0)</f>
        <v>151.53319999999997</v>
      </c>
      <c r="BF46" s="14">
        <f t="shared" si="37"/>
        <v>38.926804334954284</v>
      </c>
      <c r="BG46" s="22">
        <f t="shared" si="7"/>
        <v>331.71784088337864</v>
      </c>
      <c r="BH46" s="62">
        <f t="shared" si="8"/>
        <v>625.05117421671196</v>
      </c>
      <c r="BI46" s="62">
        <f ca="1">AVERAGE(OFFSET($BH$3,0,0,'Données projet'!$E$11+1,1))-AVERAGE(OFFSET($H$3,0,0,'Données projet'!$E$11+1,1))</f>
        <v>216.94426559495264</v>
      </c>
      <c r="BJ46" s="62">
        <f t="shared" si="38"/>
        <v>225.33715877618704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8.9607144781051247</v>
      </c>
      <c r="BR46" s="23">
        <f>EXP(-LN(2)/2)*BR45+(1-EXP(-LN(2)/2))/(LN(2)/2)*BL46*BO46*VLOOKUP('Données projet'!$B$11,Paramètres!$A$1:$I$89,3,0)*0.475*44/12</f>
        <v>0.26217486374989613</v>
      </c>
      <c r="BS46" s="24">
        <f t="shared" si="9"/>
        <v>9.2228893418550211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8.3000000000000007</v>
      </c>
      <c r="N47" s="14">
        <f>IF('Données projet'!$A$36&gt;35,N46+M47-V46,IF(A47&lt;'Données projet'!$A$36,$K$205^A47,IF(A47='Données projet'!$A$36,'Données projet'!$B$36,N46+M47-V46)))</f>
        <v>149.19999999999999</v>
      </c>
      <c r="O47" s="14">
        <f>N47*VLOOKUP('Données projet'!$B$9,Paramètres!$A$1:$I$89,3,0)*VLOOKUP('Données projet'!$B$9,Paramètres!$A$1:$I$89,5,0)</f>
        <v>134.99615999999997</v>
      </c>
      <c r="P47" s="14">
        <f t="shared" si="33"/>
        <v>35.148279172043118</v>
      </c>
      <c r="Q47" s="22">
        <f t="shared" si="53"/>
        <v>296.33489822464168</v>
      </c>
      <c r="R47" s="62">
        <f t="shared" si="0"/>
        <v>589.66823155797499</v>
      </c>
      <c r="S47" s="62">
        <f ca="1">AVERAGE(OFFSET($R$3,0,0,'Données projet'!$E$9+1,1))-AVERAGE(OFFSET($H$3,0,0,'Données projet'!$E$9+1,1))</f>
        <v>237.22177246688199</v>
      </c>
      <c r="T47" s="62">
        <f t="shared" si="34"/>
        <v>149.27472147904302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2.106764582792362</v>
      </c>
      <c r="AB47" s="23">
        <f>EXP(-LN(2)/2)*AB46+(1-EXP(-LN(2)/2))/(LN(2)/2)*V47*Y47*VLOOKUP('Données projet'!$B$9,Paramètres!$A$1:$I$89,3,0)*0.475*44/12</f>
        <v>4.8354280112722088E-2</v>
      </c>
      <c r="AC47" s="24">
        <f t="shared" si="3"/>
        <v>2.1551188629050841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8.1999999999999993</v>
      </c>
      <c r="AI47" s="14">
        <f>IF('Données projet'!$A$62&gt;35,AI46+AH47-AQ46,IF(A47&lt;'Données projet'!$A$62,$AF$205^A47,IF(A47='Données projet'!$A$62,'Données projet'!$B$62,AI46+AH47-AQ46)))</f>
        <v>190.79999999999998</v>
      </c>
      <c r="AJ47" s="14">
        <f>AI47*VLOOKUP('Données projet'!$B$10,Paramètres!$A$1:$I$89,3,0)*VLOOKUP('Données projet'!$B$10,Paramètres!$A$1:$I$89,5,0)</f>
        <v>166.68288000000001</v>
      </c>
      <c r="AK47" s="14">
        <f t="shared" si="35"/>
        <v>42.346249176975</v>
      </c>
      <c r="AL47" s="22">
        <f t="shared" si="4"/>
        <v>364.05906664989811</v>
      </c>
      <c r="AM47" s="62">
        <f t="shared" si="5"/>
        <v>657.39239998323137</v>
      </c>
      <c r="AN47" s="62">
        <f ca="1">AVERAGE(OFFSET($AM$3,0,0,'Données projet'!$E$10+1,1))-AVERAGE(OFFSET($H$3,0,0,'Données projet'!$E$10+1,1))</f>
        <v>223.81948236065614</v>
      </c>
      <c r="AO47" s="62">
        <f t="shared" si="36"/>
        <v>320.1204011431372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2.328884298213787</v>
      </c>
      <c r="AV47" s="23">
        <f>EXP(-LN(2)/25)*AV46+(1-EXP(-LN(2)/25))/(LN(2)/25)*Calculateur!AQ47*Calculateur!AS47*VLOOKUP('Données projet'!$B$10,Paramètres!$A$1:$I$89,3,0)*0.475*44/12</f>
        <v>12.000796401778144</v>
      </c>
      <c r="AW47" s="23">
        <f>EXP(-LN(2)/2)*AW46+(1-EXP(-LN(2)/2))/(LN(2)/2)*AQ47*AT47*VLOOKUP('Données projet'!$B$10,Paramètres!$A$1:$I$89,3,0)*0.475*44/12</f>
        <v>0.21695317819659934</v>
      </c>
      <c r="AX47" s="23">
        <f t="shared" si="6"/>
        <v>14.54663387818853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12.8</v>
      </c>
      <c r="BD47" s="13">
        <f>IF('Données projet'!$A$88&gt;35,BD46+BC47-BL46,IF(A47&lt;'Données projet'!$A$88,$BA$205^A47,IF(A47='Données projet'!$A$88,'Données projet'!$B$88,BD46+BC47-BL46)))</f>
        <v>266.19999999999993</v>
      </c>
      <c r="BE47" s="14">
        <f>BD47*VLOOKUP('Données projet'!$B$11,Paramètres!$A$1:$I$89,3,0)*VLOOKUP('Données projet'!$B$11,Paramètres!$A$1:$I$89,5,0)</f>
        <v>159.18759999999997</v>
      </c>
      <c r="BF47" s="14">
        <f t="shared" si="37"/>
        <v>40.659222067351315</v>
      </c>
      <c r="BG47" s="22">
        <f t="shared" si="7"/>
        <v>348.06654843397018</v>
      </c>
      <c r="BH47" s="62">
        <f t="shared" si="8"/>
        <v>641.39988176730344</v>
      </c>
      <c r="BI47" s="62">
        <f ca="1">AVERAGE(OFFSET($BH$3,0,0,'Données projet'!$E$11+1,1))-AVERAGE(OFFSET($H$3,0,0,'Données projet'!$E$11+1,1))</f>
        <v>216.94426559495264</v>
      </c>
      <c r="BJ47" s="62">
        <f t="shared" si="38"/>
        <v>225.33715877618704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8.7156832694778448</v>
      </c>
      <c r="BR47" s="23">
        <f>EXP(-LN(2)/2)*BR46+(1-EXP(-LN(2)/2))/(LN(2)/2)*BL47*BO47*VLOOKUP('Données projet'!$B$11,Paramètres!$A$1:$I$89,3,0)*0.475*44/12</f>
        <v>0.18538562401421071</v>
      </c>
      <c r="BS47" s="24">
        <f t="shared" si="9"/>
        <v>8.9010688934920559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8.3000000000000007</v>
      </c>
      <c r="N48" s="14">
        <f>IF('Données projet'!$A$36&gt;35,N47+M48-V47,IF(A48&lt;'Données projet'!$A$36,$K$205^A48,IF(A48='Données projet'!$A$36,'Données projet'!$B$36,N47+M48-V47)))</f>
        <v>157.5</v>
      </c>
      <c r="O48" s="14">
        <f>N48*VLOOKUP('Données projet'!$B$9,Paramètres!$A$1:$I$89,3,0)*VLOOKUP('Données projet'!$B$9,Paramètres!$A$1:$I$89,5,0)</f>
        <v>142.506</v>
      </c>
      <c r="P48" s="14">
        <f t="shared" si="33"/>
        <v>36.870500776307537</v>
      </c>
      <c r="Q48" s="22">
        <f t="shared" si="53"/>
        <v>312.41407218540223</v>
      </c>
      <c r="R48" s="62">
        <f t="shared" si="0"/>
        <v>605.7474055187356</v>
      </c>
      <c r="S48" s="62">
        <f ca="1">AVERAGE(OFFSET($R$3,0,0,'Données projet'!$E$9+1,1))-AVERAGE(OFFSET($H$3,0,0,'Données projet'!$E$9+1,1))</f>
        <v>237.22177246688199</v>
      </c>
      <c r="T48" s="62">
        <f t="shared" si="34"/>
        <v>149.27472147904302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2.0491549944859706</v>
      </c>
      <c r="AB48" s="23">
        <f>EXP(-LN(2)/2)*AB47+(1-EXP(-LN(2)/2))/(LN(2)/2)*V48*Y48*VLOOKUP('Données projet'!$B$9,Paramètres!$A$1:$I$89,3,0)*0.475*44/12</f>
        <v>3.4191639367099604E-2</v>
      </c>
      <c r="AC48" s="24">
        <f t="shared" si="3"/>
        <v>2.0833466338530702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8.1999999999999993</v>
      </c>
      <c r="AI48" s="14">
        <f>IF('Données projet'!$A$62&gt;35,AI47+AH48-AQ47,IF(A48&lt;'Données projet'!$A$62,$AF$205^A48,IF(A48='Données projet'!$A$62,'Données projet'!$B$62,AI47+AH48-AQ47)))</f>
        <v>198.99999999999997</v>
      </c>
      <c r="AJ48" s="14">
        <f>AI48*VLOOKUP('Données projet'!$B$10,Paramètres!$A$1:$I$89,3,0)*VLOOKUP('Données projet'!$B$10,Paramètres!$A$1:$I$89,5,0)</f>
        <v>173.84639999999999</v>
      </c>
      <c r="AK48" s="14">
        <f t="shared" si="35"/>
        <v>43.950364270382295</v>
      </c>
      <c r="AL48" s="22">
        <f t="shared" si="4"/>
        <v>379.32936443758246</v>
      </c>
      <c r="AM48" s="62">
        <f t="shared" si="5"/>
        <v>672.66269777091577</v>
      </c>
      <c r="AN48" s="62">
        <f ca="1">AVERAGE(OFFSET($AM$3,0,0,'Données projet'!$E$10+1,1))-AVERAGE(OFFSET($H$3,0,0,'Données projet'!$E$10+1,1))</f>
        <v>223.81948236065614</v>
      </c>
      <c r="AO48" s="62">
        <f t="shared" si="36"/>
        <v>320.1204011431372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2.2832162976049757</v>
      </c>
      <c r="AV48" s="23">
        <f>EXP(-LN(2)/25)*AV47+(1-EXP(-LN(2)/25))/(LN(2)/25)*Calculateur!AQ48*Calculateur!AS48*VLOOKUP('Données projet'!$B$10,Paramètres!$A$1:$I$89,3,0)*0.475*44/12</f>
        <v>11.672633993077067</v>
      </c>
      <c r="AW48" s="23">
        <f>EXP(-LN(2)/2)*AW47+(1-EXP(-LN(2)/2))/(LN(2)/2)*AQ48*AT48*VLOOKUP('Données projet'!$B$10,Paramètres!$A$1:$I$89,3,0)*0.475*44/12</f>
        <v>0.15340906350278882</v>
      </c>
      <c r="AX48" s="23">
        <f t="shared" si="6"/>
        <v>14.109259354184832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12.8</v>
      </c>
      <c r="BD48" s="13">
        <f>IF('Données projet'!$A$88&gt;35,BD47+BC48-BL47,IF(A48&lt;'Données projet'!$A$88,$BA$205^A48,IF(A48='Données projet'!$A$88,'Données projet'!$B$88,BD47+BC48-BL47)))</f>
        <v>278.99999999999994</v>
      </c>
      <c r="BE48" s="14">
        <f>BD48*VLOOKUP('Données projet'!$B$11,Paramètres!$A$1:$I$89,3,0)*VLOOKUP('Données projet'!$B$11,Paramètres!$A$1:$I$89,5,0)</f>
        <v>166.84199999999998</v>
      </c>
      <c r="BF48" s="14">
        <f t="shared" si="37"/>
        <v>42.381966615760334</v>
      </c>
      <c r="BG48" s="22">
        <f t="shared" si="7"/>
        <v>364.39840852244924</v>
      </c>
      <c r="BH48" s="62">
        <f t="shared" si="8"/>
        <v>657.7317418557825</v>
      </c>
      <c r="BI48" s="62">
        <f ca="1">AVERAGE(OFFSET($BH$3,0,0,'Données projet'!$E$11+1,1))-AVERAGE(OFFSET($H$3,0,0,'Données projet'!$E$11+1,1))</f>
        <v>216.94426559495264</v>
      </c>
      <c r="BJ48" s="62">
        <f t="shared" si="38"/>
        <v>225.33715877618704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8.4773524521361097</v>
      </c>
      <c r="BR48" s="23">
        <f>EXP(-LN(2)/2)*BR47+(1-EXP(-LN(2)/2))/(LN(2)/2)*BL48*BO48*VLOOKUP('Données projet'!$B$11,Paramètres!$A$1:$I$89,3,0)*0.475*44/12</f>
        <v>0.13108743187494806</v>
      </c>
      <c r="BS48" s="24">
        <f t="shared" si="9"/>
        <v>8.608439884011057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8.3000000000000007</v>
      </c>
      <c r="N49" s="14">
        <f>IF('Données projet'!$A$36&gt;35,N48+M49-V48,IF(A49&lt;'Données projet'!$A$36,$K$205^A49,IF(A49='Données projet'!$A$36,'Données projet'!$B$36,N48+M49-V48)))</f>
        <v>165.8</v>
      </c>
      <c r="O49" s="14">
        <f>N49*VLOOKUP('Données projet'!$B$9,Paramètres!$A$1:$I$89,3,0)*VLOOKUP('Données projet'!$B$9,Paramètres!$A$1:$I$89,5,0)</f>
        <v>150.01584</v>
      </c>
      <c r="P49" s="14">
        <f t="shared" si="33"/>
        <v>38.582185295570788</v>
      </c>
      <c r="Q49" s="22">
        <f t="shared" si="53"/>
        <v>328.47489405645246</v>
      </c>
      <c r="R49" s="62">
        <f t="shared" si="0"/>
        <v>621.80822738978577</v>
      </c>
      <c r="S49" s="62">
        <f ca="1">AVERAGE(OFFSET($R$3,0,0,'Données projet'!$E$9+1,1))-AVERAGE(OFFSET($H$3,0,0,'Données projet'!$E$9+1,1))</f>
        <v>237.22177246688199</v>
      </c>
      <c r="T49" s="62">
        <f t="shared" si="34"/>
        <v>149.27472147904302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1.993120743401374</v>
      </c>
      <c r="AB49" s="23">
        <f>EXP(-LN(2)/2)*AB48+(1-EXP(-LN(2)/2))/(LN(2)/2)*V49*Y49*VLOOKUP('Données projet'!$B$9,Paramètres!$A$1:$I$89,3,0)*0.475*44/12</f>
        <v>2.4177140056361044E-2</v>
      </c>
      <c r="AC49" s="24">
        <f t="shared" si="3"/>
        <v>2.0172978834577351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207.19999999999996</v>
      </c>
      <c r="AJ49" s="14">
        <f>AI49*VLOOKUP('Données projet'!$B$10,Paramètres!$A$1:$I$89,3,0)*VLOOKUP('Données projet'!$B$10,Paramètres!$A$1:$I$89,5,0)</f>
        <v>181.00991999999997</v>
      </c>
      <c r="AK49" s="14">
        <f t="shared" si="35"/>
        <v>45.546801542636274</v>
      </c>
      <c r="AL49" s="22">
        <f t="shared" si="4"/>
        <v>394.58629002009144</v>
      </c>
      <c r="AM49" s="62">
        <f t="shared" si="5"/>
        <v>687.91962335342475</v>
      </c>
      <c r="AN49" s="62">
        <f ca="1">AVERAGE(OFFSET($AM$3,0,0,'Données projet'!$E$10+1,1))-AVERAGE(OFFSET($H$3,0,0,'Données projet'!$E$10+1,1))</f>
        <v>223.81948236065614</v>
      </c>
      <c r="AO49" s="62">
        <f t="shared" si="36"/>
        <v>320.1204011431372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2.2384438186333733</v>
      </c>
      <c r="AV49" s="23">
        <f>EXP(-LN(2)/25)*AV48+(1-EXP(-LN(2)/25))/(LN(2)/25)*Calculateur!AQ49*Calculateur!AS49*VLOOKUP('Données projet'!$B$10,Paramètres!$A$1:$I$89,3,0)*0.475*44/12</f>
        <v>11.353445202699231</v>
      </c>
      <c r="AW49" s="23">
        <f>EXP(-LN(2)/2)*AW48+(1-EXP(-LN(2)/2))/(LN(2)/2)*AQ49*AT49*VLOOKUP('Données projet'!$B$10,Paramètres!$A$1:$I$89,3,0)*0.475*44/12</f>
        <v>0.10847658909829967</v>
      </c>
      <c r="AX49" s="23">
        <f t="shared" si="6"/>
        <v>13.700365610430904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12.8</v>
      </c>
      <c r="BD49" s="13">
        <f>IF('Données projet'!$A$88&gt;35,BD48+BC49-BL48,IF(A49&lt;'Données projet'!$A$88,$BA$205^A49,IF(A49='Données projet'!$A$88,'Données projet'!$B$88,BD48+BC49-BL48)))</f>
        <v>291.79999999999995</v>
      </c>
      <c r="BE49" s="14">
        <f>BD49*VLOOKUP('Données projet'!$B$11,Paramètres!$A$1:$I$89,3,0)*VLOOKUP('Données projet'!$B$11,Paramètres!$A$1:$I$89,5,0)</f>
        <v>174.49639999999999</v>
      </c>
      <c r="BF49" s="14">
        <f t="shared" si="37"/>
        <v>44.095532458716939</v>
      </c>
      <c r="BG49" s="22">
        <f t="shared" si="7"/>
        <v>380.71428236559865</v>
      </c>
      <c r="BH49" s="62">
        <f t="shared" si="8"/>
        <v>674.04761569893196</v>
      </c>
      <c r="BI49" s="62">
        <f ca="1">AVERAGE(OFFSET($BH$3,0,0,'Données projet'!$E$11+1,1))-AVERAGE(OFFSET($H$3,0,0,'Données projet'!$E$11+1,1))</f>
        <v>216.94426559495264</v>
      </c>
      <c r="BJ49" s="62">
        <f t="shared" si="38"/>
        <v>225.33715877618704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8.2455388035278574</v>
      </c>
      <c r="BR49" s="23">
        <f>EXP(-LN(2)/2)*BR48+(1-EXP(-LN(2)/2))/(LN(2)/2)*BL49*BO49*VLOOKUP('Données projet'!$B$11,Paramètres!$A$1:$I$89,3,0)*0.475*44/12</f>
        <v>9.2692812007105357E-2</v>
      </c>
      <c r="BS49" s="24">
        <f t="shared" si="9"/>
        <v>8.3382316155349621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8.3000000000000007</v>
      </c>
      <c r="N50" s="14">
        <f>IF('Données projet'!$A$36&gt;35,N49+M50-V49,IF(A50&lt;'Données projet'!$A$36,$K$205^A50,IF(A50='Données projet'!$A$36,'Données projet'!$B$36,N49+M50-V49)))</f>
        <v>174.10000000000002</v>
      </c>
      <c r="O50" s="14">
        <f>N50*VLOOKUP('Données projet'!$B$9,Paramètres!$A$1:$I$89,3,0)*VLOOKUP('Données projet'!$B$9,Paramètres!$A$1:$I$89,5,0)</f>
        <v>157.52568000000002</v>
      </c>
      <c r="P50" s="14">
        <f t="shared" si="33"/>
        <v>40.283920409774808</v>
      </c>
      <c r="Q50" s="22">
        <f t="shared" si="53"/>
        <v>344.51838738035781</v>
      </c>
      <c r="R50" s="62">
        <f t="shared" si="0"/>
        <v>637.85172071369107</v>
      </c>
      <c r="S50" s="62">
        <f ca="1">AVERAGE(OFFSET($R$3,0,0,'Données projet'!$E$9+1,1))-AVERAGE(OFFSET($H$3,0,0,'Données projet'!$E$9+1,1))</f>
        <v>237.22177246688199</v>
      </c>
      <c r="T50" s="62">
        <f t="shared" si="34"/>
        <v>149.27472147904302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1.9386187518593989</v>
      </c>
      <c r="AB50" s="23">
        <f>EXP(-LN(2)/2)*AB49+(1-EXP(-LN(2)/2))/(LN(2)/2)*V50*Y50*VLOOKUP('Données projet'!$B$9,Paramètres!$A$1:$I$89,3,0)*0.475*44/12</f>
        <v>1.7095819683549802E-2</v>
      </c>
      <c r="AC50" s="24">
        <f t="shared" si="3"/>
        <v>1.9557145715429487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215.39999999999995</v>
      </c>
      <c r="AJ50" s="14">
        <f>AI50*VLOOKUP('Données projet'!$B$10,Paramètres!$A$1:$I$89,3,0)*VLOOKUP('Données projet'!$B$10,Paramètres!$A$1:$I$89,5,0)</f>
        <v>188.17343999999997</v>
      </c>
      <c r="AK50" s="14">
        <f t="shared" si="35"/>
        <v>47.135899614073118</v>
      </c>
      <c r="AL50" s="22">
        <f t="shared" si="4"/>
        <v>409.83043316117727</v>
      </c>
      <c r="AM50" s="62">
        <f t="shared" si="5"/>
        <v>703.16376649451058</v>
      </c>
      <c r="AN50" s="62">
        <f ca="1">AVERAGE(OFFSET($AM$3,0,0,'Données projet'!$E$10+1,1))-AVERAGE(OFFSET($H$3,0,0,'Données projet'!$E$10+1,1))</f>
        <v>223.81948236065614</v>
      </c>
      <c r="AO50" s="62">
        <f t="shared" si="36"/>
        <v>320.1204011431372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2.1945493006658885</v>
      </c>
      <c r="AV50" s="23">
        <f>EXP(-LN(2)/25)*AV49+(1-EXP(-LN(2)/25))/(LN(2)/25)*Calculateur!AQ50*Calculateur!AS50*VLOOKUP('Données projet'!$B$10,Paramètres!$A$1:$I$89,3,0)*0.475*44/12</f>
        <v>11.042984646579686</v>
      </c>
      <c r="AW50" s="23">
        <f>EXP(-LN(2)/2)*AW49+(1-EXP(-LN(2)/2))/(LN(2)/2)*AQ50*AT50*VLOOKUP('Données projet'!$B$10,Paramètres!$A$1:$I$89,3,0)*0.475*44/12</f>
        <v>7.6704531751394411E-2</v>
      </c>
      <c r="AX50" s="23">
        <f t="shared" si="6"/>
        <v>13.31423847899697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12.8</v>
      </c>
      <c r="BD50" s="13">
        <f>IF('Données projet'!$A$88&gt;35,BD49+BC50-BL49,IF(A50&lt;'Données projet'!$A$88,$BA$205^A50,IF(A50='Données projet'!$A$88,'Données projet'!$B$88,BD49+BC50-BL49)))</f>
        <v>304.59999999999997</v>
      </c>
      <c r="BE50" s="14">
        <f>BD50*VLOOKUP('Données projet'!$B$11,Paramètres!$A$1:$I$89,3,0)*VLOOKUP('Données projet'!$B$11,Paramètres!$A$1:$I$89,5,0)</f>
        <v>182.15079999999998</v>
      </c>
      <c r="BF50" s="14">
        <f t="shared" si="37"/>
        <v>45.800368240506849</v>
      </c>
      <c r="BG50" s="22">
        <f t="shared" si="7"/>
        <v>397.01495135221603</v>
      </c>
      <c r="BH50" s="62">
        <f t="shared" si="8"/>
        <v>690.34828468554929</v>
      </c>
      <c r="BI50" s="62">
        <f ca="1">AVERAGE(OFFSET($BH$3,0,0,'Données projet'!$E$11+1,1))-AVERAGE(OFFSET($H$3,0,0,'Données projet'!$E$11+1,1))</f>
        <v>216.94426559495264</v>
      </c>
      <c r="BJ50" s="62">
        <f t="shared" si="38"/>
        <v>225.33715877618704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8.0200641113313473</v>
      </c>
      <c r="BR50" s="23">
        <f>EXP(-LN(2)/2)*BR49+(1-EXP(-LN(2)/2))/(LN(2)/2)*BL50*BO50*VLOOKUP('Données projet'!$B$11,Paramètres!$A$1:$I$89,3,0)*0.475*44/12</f>
        <v>6.5543715937474031E-2</v>
      </c>
      <c r="BS50" s="24">
        <f t="shared" si="9"/>
        <v>8.0856078272688219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8.3000000000000007</v>
      </c>
      <c r="N51" s="14">
        <f>IF('Données projet'!$A$36&gt;35,N50+M51-V50,IF(A51&lt;'Données projet'!$A$36,$K$205^A51,IF(A51='Données projet'!$A$36,'Données projet'!$B$36,N50+M51-V50)))</f>
        <v>182.40000000000003</v>
      </c>
      <c r="O51" s="14">
        <f>N51*VLOOKUP('Données projet'!$B$9,Paramètres!$A$1:$I$89,3,0)*VLOOKUP('Données projet'!$B$9,Paramètres!$A$1:$I$89,5,0)</f>
        <v>165.03552000000002</v>
      </c>
      <c r="P51" s="14">
        <f t="shared" si="33"/>
        <v>41.976234598846517</v>
      </c>
      <c r="Q51" s="22">
        <f t="shared" si="53"/>
        <v>360.54547259299108</v>
      </c>
      <c r="R51" s="62">
        <f t="shared" si="0"/>
        <v>653.87880592632439</v>
      </c>
      <c r="S51" s="62">
        <f ca="1">AVERAGE(OFFSET($R$3,0,0,'Données projet'!$E$9+1,1))-AVERAGE(OFFSET($H$3,0,0,'Données projet'!$E$9+1,1))</f>
        <v>237.22177246688199</v>
      </c>
      <c r="T51" s="62">
        <f t="shared" si="34"/>
        <v>149.27472147904302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1.8856071201422742</v>
      </c>
      <c r="AB51" s="23">
        <f>EXP(-LN(2)/2)*AB50+(1-EXP(-LN(2)/2))/(LN(2)/2)*V51*Y51*VLOOKUP('Données projet'!$B$9,Paramètres!$A$1:$I$89,3,0)*0.475*44/12</f>
        <v>1.2088570028180522E-2</v>
      </c>
      <c r="AC51" s="24">
        <f t="shared" si="3"/>
        <v>1.8976956901704547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223.59999999999994</v>
      </c>
      <c r="AJ51" s="14">
        <f>AI51*VLOOKUP('Données projet'!$B$10,Paramètres!$A$1:$I$89,3,0)*VLOOKUP('Données projet'!$B$10,Paramètres!$A$1:$I$89,5,0)</f>
        <v>195.33695999999998</v>
      </c>
      <c r="AK51" s="14">
        <f t="shared" si="35"/>
        <v>48.717969863105445</v>
      </c>
      <c r="AL51" s="22">
        <f t="shared" si="4"/>
        <v>425.06233617824199</v>
      </c>
      <c r="AM51" s="62">
        <f t="shared" si="5"/>
        <v>718.39566951157531</v>
      </c>
      <c r="AN51" s="62">
        <f ca="1">AVERAGE(OFFSET($AM$3,0,0,'Données projet'!$E$10+1,1))-AVERAGE(OFFSET($H$3,0,0,'Données projet'!$E$10+1,1))</f>
        <v>223.81948236065614</v>
      </c>
      <c r="AO51" s="62">
        <f t="shared" si="36"/>
        <v>320.1204011431372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2.1515155274227338</v>
      </c>
      <c r="AV51" s="23">
        <f>EXP(-LN(2)/25)*AV50+(1-EXP(-LN(2)/25))/(LN(2)/25)*Calculateur!AQ51*Calculateur!AS51*VLOOKUP('Données projet'!$B$10,Paramètres!$A$1:$I$89,3,0)*0.475*44/12</f>
        <v>10.741013650693642</v>
      </c>
      <c r="AW51" s="23">
        <f>EXP(-LN(2)/2)*AW50+(1-EXP(-LN(2)/2))/(LN(2)/2)*AQ51*AT51*VLOOKUP('Données projet'!$B$10,Paramètres!$A$1:$I$89,3,0)*0.475*44/12</f>
        <v>5.4238294549149836E-2</v>
      </c>
      <c r="AX51" s="23">
        <f t="shared" si="6"/>
        <v>12.946767472665526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12.8</v>
      </c>
      <c r="BD51" s="13">
        <f>IF('Données projet'!$A$88&gt;35,BD50+BC51-BL50,IF(A51&lt;'Données projet'!$A$88,$BA$205^A51,IF(A51='Données projet'!$A$88,'Données projet'!$B$88,BD50+BC51-BL50)))</f>
        <v>317.39999999999998</v>
      </c>
      <c r="BE51" s="14">
        <f>BD51*VLOOKUP('Données projet'!$B$11,Paramètres!$A$1:$I$89,3,0)*VLOOKUP('Données projet'!$B$11,Paramètres!$A$1:$I$89,5,0)</f>
        <v>189.80519999999999</v>
      </c>
      <c r="BF51" s="14">
        <f t="shared" si="37"/>
        <v>47.496882766206909</v>
      </c>
      <c r="BG51" s="22">
        <f t="shared" si="7"/>
        <v>413.30112748447704</v>
      </c>
      <c r="BH51" s="62">
        <f t="shared" si="8"/>
        <v>706.63446081781035</v>
      </c>
      <c r="BI51" s="62">
        <f ca="1">AVERAGE(OFFSET($BH$3,0,0,'Données projet'!$E$11+1,1))-AVERAGE(OFFSET($H$3,0,0,'Données projet'!$E$11+1,1))</f>
        <v>216.94426559495264</v>
      </c>
      <c r="BJ51" s="62">
        <f t="shared" si="38"/>
        <v>225.33715877618704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7.8007550364501501</v>
      </c>
      <c r="BR51" s="23">
        <f>EXP(-LN(2)/2)*BR50+(1-EXP(-LN(2)/2))/(LN(2)/2)*BL51*BO51*VLOOKUP('Données projet'!$B$11,Paramètres!$A$1:$I$89,3,0)*0.475*44/12</f>
        <v>4.6346406003552679E-2</v>
      </c>
      <c r="BS51" s="24">
        <f t="shared" si="9"/>
        <v>7.8471014424537024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8.3000000000000007</v>
      </c>
      <c r="N52" s="14">
        <f>IF('Données projet'!$A$36&gt;35,N51+M52-V51,IF(A52&lt;'Données projet'!$A$36,$K$205^A52,IF(A52='Données projet'!$A$36,'Données projet'!$B$36,N51+M52-V51)))</f>
        <v>190.70000000000005</v>
      </c>
      <c r="O52" s="14">
        <f>N52*VLOOKUP('Données projet'!$B$9,Paramètres!$A$1:$I$89,3,0)*VLOOKUP('Données projet'!$B$9,Paramètres!$A$1:$I$89,5,0)</f>
        <v>172.54536000000004</v>
      </c>
      <c r="P52" s="14">
        <f t="shared" si="33"/>
        <v>43.65960552772448</v>
      </c>
      <c r="Q52" s="22">
        <f t="shared" si="53"/>
        <v>376.55698162745358</v>
      </c>
      <c r="R52" s="62">
        <f t="shared" si="0"/>
        <v>669.8903149607869</v>
      </c>
      <c r="S52" s="62">
        <f ca="1">AVERAGE(OFFSET($R$3,0,0,'Données projet'!$E$9+1,1))-AVERAGE(OFFSET($H$3,0,0,'Données projet'!$E$9+1,1))</f>
        <v>237.22177246688199</v>
      </c>
      <c r="T52" s="62">
        <f t="shared" si="34"/>
        <v>149.27472147904302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1.8340450942822148</v>
      </c>
      <c r="AB52" s="23">
        <f>EXP(-LN(2)/2)*AB51+(1-EXP(-LN(2)/2))/(LN(2)/2)*V52*Y52*VLOOKUP('Données projet'!$B$9,Paramètres!$A$1:$I$89,3,0)*0.475*44/12</f>
        <v>8.5479098417749009E-3</v>
      </c>
      <c r="AC52" s="24">
        <f t="shared" si="3"/>
        <v>1.8425930041239897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231.79999999999993</v>
      </c>
      <c r="AJ52" s="14">
        <f>AI52*VLOOKUP('Données projet'!$B$10,Paramètres!$A$1:$I$89,3,0)*VLOOKUP('Données projet'!$B$10,Paramètres!$A$1:$I$89,5,0)</f>
        <v>202.50047999999995</v>
      </c>
      <c r="AK52" s="14">
        <f t="shared" si="35"/>
        <v>50.293299535837903</v>
      </c>
      <c r="AL52" s="22">
        <f t="shared" si="4"/>
        <v>440.28249935825096</v>
      </c>
      <c r="AM52" s="62">
        <f t="shared" si="5"/>
        <v>733.61583269158427</v>
      </c>
      <c r="AN52" s="62">
        <f ca="1">AVERAGE(OFFSET($AM$3,0,0,'Données projet'!$E$10+1,1))-AVERAGE(OFFSET($H$3,0,0,'Données projet'!$E$10+1,1))</f>
        <v>223.81948236065614</v>
      </c>
      <c r="AO52" s="62">
        <f t="shared" si="36"/>
        <v>320.1204011431372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2.1093256202248671</v>
      </c>
      <c r="AV52" s="23">
        <f>EXP(-LN(2)/25)*AV51+(1-EXP(-LN(2)/25))/(LN(2)/25)*Calculateur!AQ52*Calculateur!AS52*VLOOKUP('Données projet'!$B$10,Paramètres!$A$1:$I$89,3,0)*0.475*44/12</f>
        <v>10.447300067570065</v>
      </c>
      <c r="AW52" s="23">
        <f>EXP(-LN(2)/2)*AW51+(1-EXP(-LN(2)/2))/(LN(2)/2)*AQ52*AT52*VLOOKUP('Données projet'!$B$10,Paramètres!$A$1:$I$89,3,0)*0.475*44/12</f>
        <v>3.8352265875697206E-2</v>
      </c>
      <c r="AX52" s="23">
        <f t="shared" si="6"/>
        <v>12.594977953670631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12.8</v>
      </c>
      <c r="BD52" s="13">
        <f>IF('Données projet'!$A$88&gt;35,BD51+BC52-BL51,IF(A52&lt;'Données projet'!$A$88,$BA$205^A52,IF(A52='Données projet'!$A$88,'Données projet'!$B$88,BD51+BC52-BL51)))</f>
        <v>330.2</v>
      </c>
      <c r="BE52" s="14">
        <f>BD52*VLOOKUP('Données projet'!$B$11,Paramètres!$A$1:$I$89,3,0)*VLOOKUP('Données projet'!$B$11,Paramètres!$A$1:$I$89,5,0)</f>
        <v>197.45959999999999</v>
      </c>
      <c r="BF52" s="14">
        <f t="shared" si="37"/>
        <v>49.185450002435452</v>
      </c>
      <c r="BG52" s="22">
        <f t="shared" si="7"/>
        <v>429.57346208757502</v>
      </c>
      <c r="BH52" s="62">
        <f t="shared" si="8"/>
        <v>722.90679542090834</v>
      </c>
      <c r="BI52" s="62">
        <f ca="1">AVERAGE(OFFSET($BH$3,0,0,'Données projet'!$E$11+1,1))-AVERAGE(OFFSET($H$3,0,0,'Données projet'!$E$11+1,1))</f>
        <v>216.94426559495264</v>
      </c>
      <c r="BJ52" s="62">
        <f t="shared" si="38"/>
        <v>225.33715877618704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7.5874429797545426</v>
      </c>
      <c r="BR52" s="23">
        <f>EXP(-LN(2)/2)*BR51+(1-EXP(-LN(2)/2))/(LN(2)/2)*BL52*BO52*VLOOKUP('Données projet'!$B$11,Paramètres!$A$1:$I$89,3,0)*0.475*44/12</f>
        <v>3.2771857968737016E-2</v>
      </c>
      <c r="BS52" s="24">
        <f t="shared" si="9"/>
        <v>7.6202148377232799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8.3000000000000007</v>
      </c>
      <c r="M53" s="13">
        <f t="array" ref="M53">INDEX(L:L,MIN(IF(ISNUMBER(L53:L249),ROW(L53:L249),"")))</f>
        <v>8.3000000000000007</v>
      </c>
      <c r="N53" s="14">
        <f>IF('Données projet'!$A$36&gt;35,N52+M53-V52,IF(A53&lt;'Données projet'!$A$36,$K$205^A53,IF(A53='Données projet'!$A$36,'Données projet'!$B$36,N52+M53-V52)))</f>
        <v>199.00000000000006</v>
      </c>
      <c r="O53" s="14">
        <f>N53*VLOOKUP('Données projet'!$B$9,Paramètres!$A$1:$I$89,3,0)*VLOOKUP('Données projet'!$B$9,Paramètres!$A$1:$I$89,5,0)</f>
        <v>180.05520000000004</v>
      </c>
      <c r="P53" s="14">
        <f t="shared" si="33"/>
        <v>45.334466930398399</v>
      </c>
      <c r="Q53" s="22">
        <f t="shared" si="53"/>
        <v>392.55366990377729</v>
      </c>
      <c r="R53" s="62">
        <f t="shared" si="0"/>
        <v>685.88700323711055</v>
      </c>
      <c r="S53" s="62">
        <f ca="1">AVERAGE(OFFSET($R$3,0,0,'Données projet'!$E$9+1,1))-AVERAGE(OFFSET($H$3,0,0,'Données projet'!$E$9+1,1))</f>
        <v>237.22177246688199</v>
      </c>
      <c r="T53" s="62">
        <f t="shared" si="34"/>
        <v>149.27472147904302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1.7838930347308279</v>
      </c>
      <c r="AB53" s="23">
        <f>EXP(-LN(2)/2)*AB52+(1-EXP(-LN(2)/2))/(LN(2)/2)*V53*Y53*VLOOKUP('Données projet'!$B$9,Paramètres!$A$1:$I$89,3,0)*0.475*44/12</f>
        <v>6.044285014090261E-3</v>
      </c>
      <c r="AC53" s="24">
        <f t="shared" si="3"/>
        <v>1.7899373197449182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240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239.99999999999991</v>
      </c>
      <c r="AJ53" s="14">
        <f>AI53*VLOOKUP('Données projet'!$B$10,Paramètres!$A$1:$I$89,3,0)*VLOOKUP('Données projet'!$B$10,Paramètres!$A$1:$I$89,5,0)</f>
        <v>209.66399999999996</v>
      </c>
      <c r="AK53" s="14">
        <f t="shared" si="35"/>
        <v>51.862154403304487</v>
      </c>
      <c r="AL53" s="22">
        <f t="shared" si="4"/>
        <v>455.49138558575515</v>
      </c>
      <c r="AM53" s="62">
        <f t="shared" si="5"/>
        <v>748.82471891908847</v>
      </c>
      <c r="AN53" s="62">
        <f ca="1">AVERAGE(OFFSET($AM$3,0,0,'Données projet'!$E$10+1,1))-AVERAGE(OFFSET($H$3,0,0,'Données projet'!$E$10+1,1))</f>
        <v>223.81948236065614</v>
      </c>
      <c r="AO53" s="62">
        <f t="shared" si="36"/>
        <v>320.1204011431372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59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2.0679630313738486</v>
      </c>
      <c r="AV53" s="23">
        <f>EXP(-LN(2)/25)*AV52+(1-EXP(-LN(2)/25))/(LN(2)/25)*Calculateur!AQ53*Calculateur!AS53*VLOOKUP('Données projet'!$B$10,Paramètres!$A$1:$I$89,3,0)*0.475*44/12</f>
        <v>10.161618097822728</v>
      </c>
      <c r="AW53" s="23">
        <f>EXP(-LN(2)/2)*AW52+(1-EXP(-LN(2)/2))/(LN(2)/2)*AQ53*AT53*VLOOKUP('Données projet'!$B$10,Paramètres!$A$1:$I$89,3,0)*0.475*44/12</f>
        <v>2.7119147274574918E-2</v>
      </c>
      <c r="AX53" s="23">
        <f t="shared" si="6"/>
        <v>12.256700276471152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343</v>
      </c>
      <c r="BB53" s="13">
        <f>VLOOKUP(A53,'Données projet'!$A$87:$I$107,9,0)</f>
        <v>12.8</v>
      </c>
      <c r="BC53" s="13">
        <f t="array" ref="BC53">INDEX(BB:BB,MIN(IF(ISNUMBER(BB53:BB249),ROW(BB53:BB249),"")))</f>
        <v>12.8</v>
      </c>
      <c r="BD53" s="13">
        <f>IF('Données projet'!$A$88&gt;35,BD52+BC53-BL52,IF(A53&lt;'Données projet'!$A$88,$BA$205^A53,IF(A53='Données projet'!$A$88,'Données projet'!$B$88,BD52+BC53-BL52)))</f>
        <v>343</v>
      </c>
      <c r="BE53" s="14">
        <f>BD53*VLOOKUP('Données projet'!$B$11,Paramètres!$A$1:$I$89,3,0)*VLOOKUP('Données projet'!$B$11,Paramètres!$A$1:$I$89,5,0)</f>
        <v>205.114</v>
      </c>
      <c r="BF53" s="14">
        <f t="shared" si="37"/>
        <v>50.86641328088507</v>
      </c>
      <c r="BG53" s="22">
        <f t="shared" si="7"/>
        <v>445.83255313087483</v>
      </c>
      <c r="BH53" s="62">
        <f t="shared" si="8"/>
        <v>739.16588646420814</v>
      </c>
      <c r="BI53" s="62">
        <f ca="1">AVERAGE(OFFSET($BH$3,0,0,'Données projet'!$E$11+1,1))-AVERAGE(OFFSET($H$3,0,0,'Données projet'!$E$11+1,1))</f>
        <v>216.94426559495264</v>
      </c>
      <c r="BJ53" s="62">
        <f t="shared" si="38"/>
        <v>225.33715877618704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70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7.3799639524668699</v>
      </c>
      <c r="BR53" s="23">
        <f>EXP(-LN(2)/2)*BR52+(1-EXP(-LN(2)/2))/(LN(2)/2)*BL53*BO53*VLOOKUP('Données projet'!$B$11,Paramètres!$A$1:$I$89,3,0)*0.475*44/12</f>
        <v>2.3173203001776339E-2</v>
      </c>
      <c r="BS53" s="24">
        <f t="shared" si="9"/>
        <v>7.403137155468646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</v>
      </c>
      <c r="N54" s="14">
        <f>IF('Données projet'!$A$36&gt;35,N53+M54-V53,IF(A54&lt;'Données projet'!$A$36,$K$205^A54,IF(A54='Données projet'!$A$36,'Données projet'!$B$36,N53+M54-V53)))</f>
        <v>164.80000000000007</v>
      </c>
      <c r="O54" s="14">
        <f>N54*VLOOKUP('Données projet'!$B$9,Paramètres!$A$1:$I$89,3,0)*VLOOKUP('Données projet'!$B$9,Paramètres!$A$1:$I$89,5,0)</f>
        <v>149.11104000000006</v>
      </c>
      <c r="P54" s="14">
        <f t="shared" si="33"/>
        <v>38.376496436982386</v>
      </c>
      <c r="Q54" s="22">
        <f t="shared" si="53"/>
        <v>326.54079262774445</v>
      </c>
      <c r="R54" s="62">
        <f t="shared" si="0"/>
        <v>619.87412596107777</v>
      </c>
      <c r="S54" s="62">
        <f ca="1">AVERAGE(OFFSET($R$3,0,0,'Données projet'!$E$9+1,1))-AVERAGE(OFFSET($H$3,0,0,'Données projet'!$E$9+1,1))</f>
        <v>237.22177246688199</v>
      </c>
      <c r="T54" s="62">
        <f t="shared" si="34"/>
        <v>149.27472147904302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1.735112385885256</v>
      </c>
      <c r="AB54" s="23">
        <f>EXP(-LN(2)/2)*AB53+(1-EXP(-LN(2)/2))/(LN(2)/2)*V54*Y54*VLOOKUP('Données projet'!$B$9,Paramètres!$A$1:$I$89,3,0)*0.475*44/12</f>
        <v>4.2739549208874504E-3</v>
      </c>
      <c r="AC54" s="24">
        <f t="shared" si="3"/>
        <v>1.7393863408061434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6.4</v>
      </c>
      <c r="AI54" s="14">
        <f>IF('Données projet'!$A$62&gt;35,AI53+AH54-AQ53,IF(A54&lt;'Données projet'!$A$62,$AF$205^A54,IF(A54='Données projet'!$A$62,'Données projet'!$B$62,AI53+AH54-AQ53)))</f>
        <v>187.39999999999992</v>
      </c>
      <c r="AJ54" s="14">
        <f>AI54*VLOOKUP('Données projet'!$B$10,Paramètres!$A$1:$I$89,3,0)*VLOOKUP('Données projet'!$B$10,Paramètres!$A$1:$I$89,5,0)</f>
        <v>163.71263999999994</v>
      </c>
      <c r="AK54" s="14">
        <f t="shared" si="35"/>
        <v>41.67879048791994</v>
      </c>
      <c r="AL54" s="22">
        <f t="shared" si="4"/>
        <v>357.72340809979374</v>
      </c>
      <c r="AM54" s="62">
        <f t="shared" si="5"/>
        <v>651.05674143312706</v>
      </c>
      <c r="AN54" s="62">
        <f ca="1">AVERAGE(OFFSET($AM$3,0,0,'Données projet'!$E$10+1,1))-AVERAGE(OFFSET($H$3,0,0,'Données projet'!$E$10+1,1))</f>
        <v>223.81948236065614</v>
      </c>
      <c r="AO54" s="62">
        <f t="shared" si="36"/>
        <v>320.1204011431372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2.0274115376615103</v>
      </c>
      <c r="AV54" s="23">
        <f>EXP(-LN(2)/25)*AV53+(1-EXP(-LN(2)/25))/(LN(2)/25)*Calculateur!AQ54*Calculateur!AS54*VLOOKUP('Données projet'!$B$10,Paramètres!$A$1:$I$89,3,0)*0.475*44/12</f>
        <v>9.8837481165614953</v>
      </c>
      <c r="AW54" s="23">
        <f>EXP(-LN(2)/2)*AW53+(1-EXP(-LN(2)/2))/(LN(2)/2)*AQ54*AT54*VLOOKUP('Données projet'!$B$10,Paramètres!$A$1:$I$89,3,0)*0.475*44/12</f>
        <v>1.9176132937848603E-2</v>
      </c>
      <c r="AX54" s="23">
        <f t="shared" si="6"/>
        <v>11.930335787160855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11.4</v>
      </c>
      <c r="BD54" s="13">
        <f>IF('Données projet'!$A$88&gt;35,BD53+BC54-BL53,IF(A54&lt;'Données projet'!$A$88,$BA$205^A54,IF(A54='Données projet'!$A$88,'Données projet'!$B$88,BD53+BC54-BL53)))</f>
        <v>284.39999999999998</v>
      </c>
      <c r="BE54" s="14">
        <f>BD54*VLOOKUP('Données projet'!$B$11,Paramètres!$A$1:$I$89,3,0)*VLOOKUP('Données projet'!$B$11,Paramètres!$A$1:$I$89,5,0)</f>
        <v>170.07119999999998</v>
      </c>
      <c r="BF54" s="14">
        <f t="shared" si="37"/>
        <v>43.105969628155904</v>
      </c>
      <c r="BG54" s="22">
        <f t="shared" si="7"/>
        <v>371.2835704357048</v>
      </c>
      <c r="BH54" s="62">
        <f t="shared" si="8"/>
        <v>664.61690376903812</v>
      </c>
      <c r="BI54" s="62">
        <f ca="1">AVERAGE(OFFSET($BH$3,0,0,'Données projet'!$E$11+1,1))-AVERAGE(OFFSET($H$3,0,0,'Données projet'!$E$11+1,1))</f>
        <v>216.94426559495264</v>
      </c>
      <c r="BJ54" s="62">
        <f t="shared" si="38"/>
        <v>225.33715877618704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7.1781584500912263</v>
      </c>
      <c r="BR54" s="23">
        <f>EXP(-LN(2)/2)*BR53+(1-EXP(-LN(2)/2))/(LN(2)/2)*BL54*BO54*VLOOKUP('Données projet'!$B$11,Paramètres!$A$1:$I$89,3,0)*0.475*44/12</f>
        <v>1.6385928984368508E-2</v>
      </c>
      <c r="BS54" s="24">
        <f t="shared" si="9"/>
        <v>7.1945443790755945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</v>
      </c>
      <c r="N55" s="14">
        <f>IF('Données projet'!$A$36&gt;35,N54+M55-V54,IF(A55&lt;'Données projet'!$A$36,$K$205^A55,IF(A55='Données projet'!$A$36,'Données projet'!$B$36,N54+M55-V54)))</f>
        <v>172.60000000000008</v>
      </c>
      <c r="O55" s="14">
        <f>N55*VLOOKUP('Données projet'!$B$9,Paramètres!$A$1:$I$89,3,0)*VLOOKUP('Données projet'!$B$9,Paramètres!$A$1:$I$89,5,0)</f>
        <v>156.16848000000005</v>
      </c>
      <c r="P55" s="14">
        <f t="shared" si="33"/>
        <v>39.977090041212335</v>
      </c>
      <c r="Q55" s="22">
        <f t="shared" si="53"/>
        <v>341.62020115511154</v>
      </c>
      <c r="R55" s="62">
        <f t="shared" si="0"/>
        <v>634.9535344884448</v>
      </c>
      <c r="S55" s="62">
        <f ca="1">AVERAGE(OFFSET($R$3,0,0,'Données projet'!$E$9+1,1))-AVERAGE(OFFSET($H$3,0,0,'Données projet'!$E$9+1,1))</f>
        <v>237.22177246688199</v>
      </c>
      <c r="T55" s="62">
        <f t="shared" si="34"/>
        <v>149.27472147904302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1.687665646447629</v>
      </c>
      <c r="AB55" s="23">
        <f>EXP(-LN(2)/2)*AB54+(1-EXP(-LN(2)/2))/(LN(2)/2)*V55*Y55*VLOOKUP('Données projet'!$B$9,Paramètres!$A$1:$I$89,3,0)*0.475*44/12</f>
        <v>3.0221425070451305E-3</v>
      </c>
      <c r="AC55" s="24">
        <f t="shared" si="3"/>
        <v>1.6906877889546741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6.4</v>
      </c>
      <c r="AI55" s="14">
        <f>IF('Données projet'!$A$62&gt;35,AI54+AH55-AQ54,IF(A55&lt;'Données projet'!$A$62,$AF$205^A55,IF(A55='Données projet'!$A$62,'Données projet'!$B$62,AI54+AH55-AQ54)))</f>
        <v>193.79999999999993</v>
      </c>
      <c r="AJ55" s="14">
        <f>AI55*VLOOKUP('Données projet'!$B$10,Paramètres!$A$1:$I$89,3,0)*VLOOKUP('Données projet'!$B$10,Paramètres!$A$1:$I$89,5,0)</f>
        <v>169.30367999999996</v>
      </c>
      <c r="AK55" s="14">
        <f t="shared" si="35"/>
        <v>42.934033834973214</v>
      </c>
      <c r="AL55" s="22">
        <f t="shared" si="4"/>
        <v>369.64735159591163</v>
      </c>
      <c r="AM55" s="62">
        <f t="shared" si="5"/>
        <v>662.98068492924494</v>
      </c>
      <c r="AN55" s="62">
        <f ca="1">AVERAGE(OFFSET($AM$3,0,0,'Données projet'!$E$10+1,1))-AVERAGE(OFFSET($H$3,0,0,'Données projet'!$E$10+1,1))</f>
        <v>223.81948236065614</v>
      </c>
      <c r="AO55" s="62">
        <f t="shared" si="36"/>
        <v>320.1204011431372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1.987655234006902</v>
      </c>
      <c r="AV55" s="23">
        <f>EXP(-LN(2)/25)*AV54+(1-EXP(-LN(2)/25))/(LN(2)/25)*Calculateur!AQ55*Calculateur!AS55*VLOOKUP('Données projet'!$B$10,Paramètres!$A$1:$I$89,3,0)*0.475*44/12</f>
        <v>9.6134765045503983</v>
      </c>
      <c r="AW55" s="23">
        <f>EXP(-LN(2)/2)*AW54+(1-EXP(-LN(2)/2))/(LN(2)/2)*AQ55*AT55*VLOOKUP('Données projet'!$B$10,Paramètres!$A$1:$I$89,3,0)*0.475*44/12</f>
        <v>1.3559573637287459E-2</v>
      </c>
      <c r="AX55" s="23">
        <f t="shared" si="6"/>
        <v>11.614691312194587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11.4</v>
      </c>
      <c r="BD55" s="13">
        <f>IF('Données projet'!$A$88&gt;35,BD54+BC55-BL54,IF(A55&lt;'Données projet'!$A$88,$BA$205^A55,IF(A55='Données projet'!$A$88,'Données projet'!$B$88,BD54+BC55-BL54)))</f>
        <v>295.79999999999995</v>
      </c>
      <c r="BE55" s="14">
        <f>BD55*VLOOKUP('Données projet'!$B$11,Paramètres!$A$1:$I$89,3,0)*VLOOKUP('Données projet'!$B$11,Paramètres!$A$1:$I$89,5,0)</f>
        <v>176.88839999999999</v>
      </c>
      <c r="BF55" s="14">
        <f t="shared" si="37"/>
        <v>44.629211487047861</v>
      </c>
      <c r="BG55" s="22">
        <f t="shared" si="7"/>
        <v>385.80984000660828</v>
      </c>
      <c r="BH55" s="62">
        <f t="shared" si="8"/>
        <v>679.14317333994154</v>
      </c>
      <c r="BI55" s="62">
        <f ca="1">AVERAGE(OFFSET($BH$3,0,0,'Données projet'!$E$11+1,1))-AVERAGE(OFFSET($H$3,0,0,'Données projet'!$E$11+1,1))</f>
        <v>216.94426559495264</v>
      </c>
      <c r="BJ55" s="62">
        <f t="shared" si="38"/>
        <v>225.33715877618704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6.9818713297905344</v>
      </c>
      <c r="BR55" s="23">
        <f>EXP(-LN(2)/2)*BR54+(1-EXP(-LN(2)/2))/(LN(2)/2)*BL55*BO55*VLOOKUP('Données projet'!$B$11,Paramètres!$A$1:$I$89,3,0)*0.475*44/12</f>
        <v>1.158660150088817E-2</v>
      </c>
      <c r="BS55" s="24">
        <f t="shared" si="9"/>
        <v>6.9934579312914229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</v>
      </c>
      <c r="N56" s="14">
        <f>IF('Données projet'!$A$36&gt;35,N55+M56-V55,IF(A56&lt;'Données projet'!$A$36,$K$205^A56,IF(A56='Données projet'!$A$36,'Données projet'!$B$36,N55+M56-V55)))</f>
        <v>180.40000000000009</v>
      </c>
      <c r="O56" s="14">
        <f>N56*VLOOKUP('Données projet'!$B$9,Paramètres!$A$1:$I$89,3,0)*VLOOKUP('Données projet'!$B$9,Paramètres!$A$1:$I$89,5,0)</f>
        <v>163.22592000000009</v>
      </c>
      <c r="P56" s="14">
        <f t="shared" si="33"/>
        <v>41.569283201466128</v>
      </c>
      <c r="Q56" s="22">
        <f t="shared" si="53"/>
        <v>356.68497890922026</v>
      </c>
      <c r="R56" s="62">
        <f t="shared" si="0"/>
        <v>650.01831224255352</v>
      </c>
      <c r="S56" s="62">
        <f ca="1">AVERAGE(OFFSET($R$3,0,0,'Données projet'!$E$9+1,1))-AVERAGE(OFFSET($H$3,0,0,'Données projet'!$E$9+1,1))</f>
        <v>237.22177246688199</v>
      </c>
      <c r="T56" s="62">
        <f t="shared" si="34"/>
        <v>149.27472147904302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1.6415163405950395</v>
      </c>
      <c r="AB56" s="23">
        <f>EXP(-LN(2)/2)*AB55+(1-EXP(-LN(2)/2))/(LN(2)/2)*V56*Y56*VLOOKUP('Données projet'!$B$9,Paramètres!$A$1:$I$89,3,0)*0.475*44/12</f>
        <v>2.1369774604437252E-3</v>
      </c>
      <c r="AC56" s="24">
        <f t="shared" si="3"/>
        <v>1.6436533180554833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6.4</v>
      </c>
      <c r="AI56" s="14">
        <f>IF('Données projet'!$A$62&gt;35,AI55+AH56-AQ55,IF(A56&lt;'Données projet'!$A$62,$AF$205^A56,IF(A56='Données projet'!$A$62,'Données projet'!$B$62,AI55+AH56-AQ55)))</f>
        <v>200.19999999999993</v>
      </c>
      <c r="AJ56" s="14">
        <f>AI56*VLOOKUP('Données projet'!$B$10,Paramètres!$A$1:$I$89,3,0)*VLOOKUP('Données projet'!$B$10,Paramètres!$A$1:$I$89,5,0)</f>
        <v>174.89471999999995</v>
      </c>
      <c r="AK56" s="14">
        <f t="shared" si="35"/>
        <v>44.184460410211564</v>
      </c>
      <c r="AL56" s="22">
        <f t="shared" si="4"/>
        <v>381.56290588111841</v>
      </c>
      <c r="AM56" s="62">
        <f t="shared" si="5"/>
        <v>674.89623921445173</v>
      </c>
      <c r="AN56" s="62">
        <f ca="1">AVERAGE(OFFSET($AM$3,0,0,'Données projet'!$E$10+1,1))-AVERAGE(OFFSET($H$3,0,0,'Données projet'!$E$10+1,1))</f>
        <v>223.81948236065614</v>
      </c>
      <c r="AO56" s="62">
        <f t="shared" si="36"/>
        <v>320.1204011431372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1.9486785272180098</v>
      </c>
      <c r="AV56" s="23">
        <f>EXP(-LN(2)/25)*AV55+(1-EXP(-LN(2)/25))/(LN(2)/25)*Calculateur!AQ56*Calculateur!AS56*VLOOKUP('Données projet'!$B$10,Paramètres!$A$1:$I$89,3,0)*0.475*44/12</f>
        <v>9.3505954839827101</v>
      </c>
      <c r="AW56" s="23">
        <f>EXP(-LN(2)/2)*AW55+(1-EXP(-LN(2)/2))/(LN(2)/2)*AQ56*AT56*VLOOKUP('Données projet'!$B$10,Paramètres!$A$1:$I$89,3,0)*0.475*44/12</f>
        <v>9.5880664689243014E-3</v>
      </c>
      <c r="AX56" s="23">
        <f t="shared" si="6"/>
        <v>11.308862077669643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11.4</v>
      </c>
      <c r="BD56" s="13">
        <f>IF('Données projet'!$A$88&gt;35,BD55+BC56-BL55,IF(A56&lt;'Données projet'!$A$88,$BA$205^A56,IF(A56='Données projet'!$A$88,'Données projet'!$B$88,BD55+BC56-BL55)))</f>
        <v>307.19999999999993</v>
      </c>
      <c r="BE56" s="14">
        <f>BD56*VLOOKUP('Données projet'!$B$11,Paramètres!$A$1:$I$89,3,0)*VLOOKUP('Données projet'!$B$11,Paramètres!$A$1:$I$89,5,0)</f>
        <v>183.70559999999998</v>
      </c>
      <c r="BF56" s="14">
        <f t="shared" si="37"/>
        <v>46.145633597806309</v>
      </c>
      <c r="BG56" s="22">
        <f t="shared" si="7"/>
        <v>400.32423184951267</v>
      </c>
      <c r="BH56" s="62">
        <f t="shared" si="8"/>
        <v>693.65756518284593</v>
      </c>
      <c r="BI56" s="62">
        <f ca="1">AVERAGE(OFFSET($BH$3,0,0,'Données projet'!$E$11+1,1))-AVERAGE(OFFSET($H$3,0,0,'Données projet'!$E$11+1,1))</f>
        <v>216.94426559495264</v>
      </c>
      <c r="BJ56" s="62">
        <f t="shared" si="38"/>
        <v>225.33715877618704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6.7909516911167565</v>
      </c>
      <c r="BR56" s="23">
        <f>EXP(-LN(2)/2)*BR55+(1-EXP(-LN(2)/2))/(LN(2)/2)*BL56*BO56*VLOOKUP('Données projet'!$B$11,Paramètres!$A$1:$I$89,3,0)*0.475*44/12</f>
        <v>8.1929644921842539E-3</v>
      </c>
      <c r="BS56" s="24">
        <f t="shared" si="9"/>
        <v>6.7991446556089405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7.8</v>
      </c>
      <c r="N57" s="14">
        <f>IF('Données projet'!$A$36&gt;35,N56+M57-V56,IF(A57&lt;'Données projet'!$A$36,$K$205^A57,IF(A57='Données projet'!$A$36,'Données projet'!$B$36,N56+M57-V56)))</f>
        <v>188.2000000000001</v>
      </c>
      <c r="O57" s="14">
        <f>N57*VLOOKUP('Données projet'!$B$9,Paramètres!$A$1:$I$89,3,0)*VLOOKUP('Données projet'!$B$9,Paramètres!$A$1:$I$89,5,0)</f>
        <v>170.28336000000007</v>
      </c>
      <c r="P57" s="14">
        <f t="shared" si="33"/>
        <v>43.153480646462619</v>
      </c>
      <c r="Q57" s="22">
        <f t="shared" si="53"/>
        <v>371.73583079258918</v>
      </c>
      <c r="R57" s="62">
        <f t="shared" si="0"/>
        <v>665.0691641259225</v>
      </c>
      <c r="S57" s="62">
        <f ca="1">AVERAGE(OFFSET($R$3,0,0,'Données projet'!$E$9+1,1))-AVERAGE(OFFSET($H$3,0,0,'Données projet'!$E$9+1,1))</f>
        <v>237.22177246688199</v>
      </c>
      <c r="T57" s="62">
        <f t="shared" si="34"/>
        <v>149.27472147904302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1.5966289899378756</v>
      </c>
      <c r="AB57" s="23">
        <f>EXP(-LN(2)/2)*AB56+(1-EXP(-LN(2)/2))/(LN(2)/2)*V57*Y57*VLOOKUP('Données projet'!$B$9,Paramètres!$A$1:$I$89,3,0)*0.475*44/12</f>
        <v>1.5110712535225653E-3</v>
      </c>
      <c r="AC57" s="24">
        <f t="shared" si="3"/>
        <v>1.5981400611913981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6.4</v>
      </c>
      <c r="AI57" s="14">
        <f>IF('Données projet'!$A$62&gt;35,AI56+AH57-AQ56,IF(A57&lt;'Données projet'!$A$62,$AF$205^A57,IF(A57='Données projet'!$A$62,'Données projet'!$B$62,AI56+AH57-AQ56)))</f>
        <v>206.59999999999994</v>
      </c>
      <c r="AJ57" s="14">
        <f>AI57*VLOOKUP('Données projet'!$B$10,Paramètres!$A$1:$I$89,3,0)*VLOOKUP('Données projet'!$B$10,Paramètres!$A$1:$I$89,5,0)</f>
        <v>180.48575999999997</v>
      </c>
      <c r="AK57" s="14">
        <f t="shared" si="35"/>
        <v>45.430241859839398</v>
      </c>
      <c r="AL57" s="22">
        <f t="shared" si="4"/>
        <v>393.47036990588686</v>
      </c>
      <c r="AM57" s="62">
        <f t="shared" si="5"/>
        <v>686.80370323922011</v>
      </c>
      <c r="AN57" s="62">
        <f ca="1">AVERAGE(OFFSET($AM$3,0,0,'Données projet'!$E$10+1,1))-AVERAGE(OFFSET($H$3,0,0,'Données projet'!$E$10+1,1))</f>
        <v>223.81948236065614</v>
      </c>
      <c r="AO57" s="62">
        <f t="shared" si="36"/>
        <v>320.1204011431372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1.9104661298758041</v>
      </c>
      <c r="AV57" s="23">
        <f>EXP(-LN(2)/25)*AV56+(1-EXP(-LN(2)/25))/(LN(2)/25)*Calculateur!AQ57*Calculateur!AS57*VLOOKUP('Données projet'!$B$10,Paramètres!$A$1:$I$89,3,0)*0.475*44/12</f>
        <v>9.0949029587467578</v>
      </c>
      <c r="AW57" s="23">
        <f>EXP(-LN(2)/2)*AW56+(1-EXP(-LN(2)/2))/(LN(2)/2)*AQ57*AT57*VLOOKUP('Données projet'!$B$10,Paramètres!$A$1:$I$89,3,0)*0.475*44/12</f>
        <v>6.7797868186437295E-3</v>
      </c>
      <c r="AX57" s="23">
        <f t="shared" si="6"/>
        <v>11.012148875441206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11.4</v>
      </c>
      <c r="BD57" s="13">
        <f>IF('Données projet'!$A$88&gt;35,BD56+BC57-BL56,IF(A57&lt;'Données projet'!$A$88,$BA$205^A57,IF(A57='Données projet'!$A$88,'Données projet'!$B$88,BD56+BC57-BL56)))</f>
        <v>318.59999999999991</v>
      </c>
      <c r="BE57" s="14">
        <f>BD57*VLOOKUP('Données projet'!$B$11,Paramètres!$A$1:$I$89,3,0)*VLOOKUP('Données projet'!$B$11,Paramètres!$A$1:$I$89,5,0)</f>
        <v>190.52279999999996</v>
      </c>
      <c r="BF57" s="14">
        <f t="shared" si="37"/>
        <v>47.655518017541539</v>
      </c>
      <c r="BG57" s="22">
        <f t="shared" si="7"/>
        <v>414.82723721388476</v>
      </c>
      <c r="BH57" s="62">
        <f t="shared" si="8"/>
        <v>708.16057054721807</v>
      </c>
      <c r="BI57" s="62">
        <f ca="1">AVERAGE(OFFSET($BH$3,0,0,'Données projet'!$E$11+1,1))-AVERAGE(OFFSET($H$3,0,0,'Données projet'!$E$11+1,1))</f>
        <v>216.94426559495264</v>
      </c>
      <c r="BJ57" s="62">
        <f t="shared" si="38"/>
        <v>225.33715877618704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6.6052527600025401</v>
      </c>
      <c r="BR57" s="23">
        <f>EXP(-LN(2)/2)*BR56+(1-EXP(-LN(2)/2))/(LN(2)/2)*BL57*BO57*VLOOKUP('Données projet'!$B$11,Paramètres!$A$1:$I$89,3,0)*0.475*44/12</f>
        <v>5.7933007504440848E-3</v>
      </c>
      <c r="BS57" s="24">
        <f t="shared" si="9"/>
        <v>6.611046060752984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7.8</v>
      </c>
      <c r="N58" s="14">
        <f>IF('Données projet'!$A$36&gt;35,N57+M58-V57,IF(A58&lt;'Données projet'!$A$36,$K$205^A58,IF(A58='Données projet'!$A$36,'Données projet'!$B$36,N57+M58-V57)))</f>
        <v>196.00000000000011</v>
      </c>
      <c r="O58" s="14">
        <f>N58*VLOOKUP('Données projet'!$B$9,Paramètres!$A$1:$I$89,3,0)*VLOOKUP('Données projet'!$B$9,Paramètres!$A$1:$I$89,5,0)</f>
        <v>177.34080000000012</v>
      </c>
      <c r="P58" s="14">
        <f t="shared" si="33"/>
        <v>44.730051658603102</v>
      </c>
      <c r="Q58" s="22">
        <f t="shared" si="53"/>
        <v>386.77339997206718</v>
      </c>
      <c r="R58" s="62">
        <f t="shared" si="0"/>
        <v>680.10673330540044</v>
      </c>
      <c r="S58" s="62">
        <f ca="1">AVERAGE(OFFSET($R$3,0,0,'Données projet'!$E$9+1,1))-AVERAGE(OFFSET($H$3,0,0,'Données projet'!$E$9+1,1))</f>
        <v>237.22177246688199</v>
      </c>
      <c r="T58" s="62">
        <f t="shared" si="34"/>
        <v>149.27472147904302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1.552969086244955</v>
      </c>
      <c r="AB58" s="23">
        <f>EXP(-LN(2)/2)*AB57+(1-EXP(-LN(2)/2))/(LN(2)/2)*V58*Y58*VLOOKUP('Données projet'!$B$9,Paramètres!$A$1:$I$89,3,0)*0.475*44/12</f>
        <v>1.0684887302218626E-3</v>
      </c>
      <c r="AC58" s="24">
        <f t="shared" si="3"/>
        <v>1.5540375749751769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6.4</v>
      </c>
      <c r="AI58" s="14">
        <f>IF('Données projet'!$A$62&gt;35,AI57+AH58-AQ57,IF(A58&lt;'Données projet'!$A$62,$AF$205^A58,IF(A58='Données projet'!$A$62,'Données projet'!$B$62,AI57+AH58-AQ57)))</f>
        <v>212.99999999999994</v>
      </c>
      <c r="AJ58" s="14">
        <f>AI58*VLOOKUP('Données projet'!$B$10,Paramètres!$A$1:$I$89,3,0)*VLOOKUP('Données projet'!$B$10,Paramètres!$A$1:$I$89,5,0)</f>
        <v>186.07679999999996</v>
      </c>
      <c r="AK58" s="14">
        <f t="shared" si="35"/>
        <v>46.671538591528673</v>
      </c>
      <c r="AL58" s="22">
        <f t="shared" si="4"/>
        <v>405.37002304691237</v>
      </c>
      <c r="AM58" s="62">
        <f t="shared" si="5"/>
        <v>698.70335638024562</v>
      </c>
      <c r="AN58" s="62">
        <f ca="1">AVERAGE(OFFSET($AM$3,0,0,'Données projet'!$E$10+1,1))-AVERAGE(OFFSET($H$3,0,0,'Données projet'!$E$10+1,1))</f>
        <v>223.81948236065614</v>
      </c>
      <c r="AO58" s="62">
        <f t="shared" si="36"/>
        <v>320.1204011431372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1.8730030543382181</v>
      </c>
      <c r="AV58" s="23">
        <f>EXP(-LN(2)/25)*AV57+(1-EXP(-LN(2)/25))/(LN(2)/25)*Calculateur!AQ58*Calculateur!AS58*VLOOKUP('Données projet'!$B$10,Paramètres!$A$1:$I$89,3,0)*0.475*44/12</f>
        <v>8.8462023590596672</v>
      </c>
      <c r="AW58" s="23">
        <f>EXP(-LN(2)/2)*AW57+(1-EXP(-LN(2)/2))/(LN(2)/2)*AQ58*AT58*VLOOKUP('Données projet'!$B$10,Paramètres!$A$1:$I$89,3,0)*0.475*44/12</f>
        <v>4.7940332344621507E-3</v>
      </c>
      <c r="AX58" s="23">
        <f t="shared" si="6"/>
        <v>10.723999446632348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11.4</v>
      </c>
      <c r="BD58" s="13">
        <f>IF('Données projet'!$A$88&gt;35,BD57+BC58-BL57,IF(A58&lt;'Données projet'!$A$88,$BA$205^A58,IF(A58='Données projet'!$A$88,'Données projet'!$B$88,BD57+BC58-BL57)))</f>
        <v>329.99999999999989</v>
      </c>
      <c r="BE58" s="14">
        <f>BD58*VLOOKUP('Données projet'!$B$11,Paramètres!$A$1:$I$89,3,0)*VLOOKUP('Données projet'!$B$11,Paramètres!$A$1:$I$89,5,0)</f>
        <v>197.33999999999995</v>
      </c>
      <c r="BF58" s="14">
        <f t="shared" si="37"/>
        <v>49.159125474269977</v>
      </c>
      <c r="BG58" s="22">
        <f t="shared" si="7"/>
        <v>429.31931020102019</v>
      </c>
      <c r="BH58" s="62">
        <f t="shared" si="8"/>
        <v>722.6526435343535</v>
      </c>
      <c r="BI58" s="62">
        <f ca="1">AVERAGE(OFFSET($BH$3,0,0,'Données projet'!$E$11+1,1))-AVERAGE(OFFSET($H$3,0,0,'Données projet'!$E$11+1,1))</f>
        <v>216.94426559495264</v>
      </c>
      <c r="BJ58" s="62">
        <f t="shared" si="38"/>
        <v>225.33715877618704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6.4246317759251248</v>
      </c>
      <c r="BR58" s="23">
        <f>EXP(-LN(2)/2)*BR57+(1-EXP(-LN(2)/2))/(LN(2)/2)*BL58*BO58*VLOOKUP('Données projet'!$B$11,Paramètres!$A$1:$I$89,3,0)*0.475*44/12</f>
        <v>4.096482246092127E-3</v>
      </c>
      <c r="BS58" s="24">
        <f t="shared" si="9"/>
        <v>6.4287282581712173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7.8</v>
      </c>
      <c r="N59" s="14">
        <f>IF('Données projet'!$A$36&gt;35,N58+M59-V58,IF(A59&lt;'Données projet'!$A$36,$K$205^A59,IF(A59='Données projet'!$A$36,'Données projet'!$B$36,N58+M59-V58)))</f>
        <v>203.80000000000013</v>
      </c>
      <c r="O59" s="14">
        <f>N59*VLOOKUP('Données projet'!$B$9,Paramètres!$A$1:$I$89,3,0)*VLOOKUP('Données projet'!$B$9,Paramètres!$A$1:$I$89,5,0)</f>
        <v>184.3982400000001</v>
      </c>
      <c r="P59" s="14">
        <f t="shared" si="33"/>
        <v>46.299334464645959</v>
      </c>
      <c r="Q59" s="22">
        <f t="shared" si="53"/>
        <v>401.79827552592519</v>
      </c>
      <c r="R59" s="62">
        <f t="shared" si="0"/>
        <v>695.13160885925845</v>
      </c>
      <c r="S59" s="62">
        <f ca="1">AVERAGE(OFFSET($R$3,0,0,'Données projet'!$E$9+1,1))-AVERAGE(OFFSET($H$3,0,0,'Données projet'!$E$9+1,1))</f>
        <v>237.22177246688199</v>
      </c>
      <c r="T59" s="62">
        <f t="shared" si="34"/>
        <v>149.27472147904302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1.5105030649144917</v>
      </c>
      <c r="AB59" s="23">
        <f>EXP(-LN(2)/2)*AB58+(1-EXP(-LN(2)/2))/(LN(2)/2)*V59*Y59*VLOOKUP('Données projet'!$B$9,Paramètres!$A$1:$I$89,3,0)*0.475*44/12</f>
        <v>7.5553562676128263E-4</v>
      </c>
      <c r="AC59" s="24">
        <f t="shared" si="3"/>
        <v>1.5112586005412529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6.4</v>
      </c>
      <c r="AI59" s="14">
        <f>IF('Données projet'!$A$62&gt;35,AI58+AH59-AQ58,IF(A59&lt;'Données projet'!$A$62,$AF$205^A59,IF(A59='Données projet'!$A$62,'Données projet'!$B$62,AI58+AH59-AQ58)))</f>
        <v>219.39999999999995</v>
      </c>
      <c r="AJ59" s="14">
        <f>AI59*VLOOKUP('Données projet'!$B$10,Paramètres!$A$1:$I$89,3,0)*VLOOKUP('Données projet'!$B$10,Paramètres!$A$1:$I$89,5,0)</f>
        <v>191.66783999999998</v>
      </c>
      <c r="AK59" s="14">
        <f t="shared" si="35"/>
        <v>47.908500825580958</v>
      </c>
      <c r="AL59" s="22">
        <f t="shared" si="4"/>
        <v>417.26212693788676</v>
      </c>
      <c r="AM59" s="62">
        <f t="shared" si="5"/>
        <v>710.59546027122008</v>
      </c>
      <c r="AN59" s="62">
        <f ca="1">AVERAGE(OFFSET($AM$3,0,0,'Données projet'!$E$10+1,1))-AVERAGE(OFFSET($H$3,0,0,'Données projet'!$E$10+1,1))</f>
        <v>223.81948236065614</v>
      </c>
      <c r="AO59" s="62">
        <f t="shared" si="36"/>
        <v>320.1204011431372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1.8362746068617044</v>
      </c>
      <c r="AV59" s="23">
        <f>EXP(-LN(2)/25)*AV58+(1-EXP(-LN(2)/25))/(LN(2)/25)*Calculateur!AQ59*Calculateur!AS59*VLOOKUP('Données projet'!$B$10,Paramètres!$A$1:$I$89,3,0)*0.475*44/12</f>
        <v>8.6043024903496175</v>
      </c>
      <c r="AW59" s="23">
        <f>EXP(-LN(2)/2)*AW58+(1-EXP(-LN(2)/2))/(LN(2)/2)*AQ59*AT59*VLOOKUP('Données projet'!$B$10,Paramètres!$A$1:$I$89,3,0)*0.475*44/12</f>
        <v>3.3898934093218648E-3</v>
      </c>
      <c r="AX59" s="23">
        <f t="shared" si="6"/>
        <v>10.443966990620643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11.4</v>
      </c>
      <c r="BD59" s="13">
        <f>IF('Données projet'!$A$88&gt;35,BD58+BC59-BL58,IF(A59&lt;'Données projet'!$A$88,$BA$205^A59,IF(A59='Données projet'!$A$88,'Données projet'!$B$88,BD58+BC59-BL58)))</f>
        <v>341.39999999999986</v>
      </c>
      <c r="BE59" s="14">
        <f>BD59*VLOOKUP('Données projet'!$B$11,Paramètres!$A$1:$I$89,3,0)*VLOOKUP('Données projet'!$B$11,Paramètres!$A$1:$I$89,5,0)</f>
        <v>204.15719999999996</v>
      </c>
      <c r="BF59" s="14">
        <f t="shared" si="37"/>
        <v>50.656697660408256</v>
      </c>
      <c r="BG59" s="22">
        <f t="shared" si="7"/>
        <v>443.80087175854425</v>
      </c>
      <c r="BH59" s="62">
        <f t="shared" si="8"/>
        <v>737.13420509187756</v>
      </c>
      <c r="BI59" s="62">
        <f ca="1">AVERAGE(OFFSET($BH$3,0,0,'Données projet'!$E$11+1,1))-AVERAGE(OFFSET($H$3,0,0,'Données projet'!$E$11+1,1))</f>
        <v>216.94426559495264</v>
      </c>
      <c r="BJ59" s="62">
        <f t="shared" si="38"/>
        <v>225.33715877618704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6.2489498821557508</v>
      </c>
      <c r="BR59" s="23">
        <f>EXP(-LN(2)/2)*BR58+(1-EXP(-LN(2)/2))/(LN(2)/2)*BL59*BO59*VLOOKUP('Données projet'!$B$11,Paramètres!$A$1:$I$89,3,0)*0.475*44/12</f>
        <v>2.8966503752220424E-3</v>
      </c>
      <c r="BS59" s="24">
        <f t="shared" si="9"/>
        <v>6.2518465325309727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7.8</v>
      </c>
      <c r="N60" s="14">
        <f>IF('Données projet'!$A$36&gt;35,N59+M60-V59,IF(A60&lt;'Données projet'!$A$36,$K$205^A60,IF(A60='Données projet'!$A$36,'Données projet'!$B$36,N59+M60-V59)))</f>
        <v>211.60000000000014</v>
      </c>
      <c r="O60" s="14">
        <f>N60*VLOOKUP('Données projet'!$B$9,Paramètres!$A$1:$I$89,3,0)*VLOOKUP('Données projet'!$B$9,Paramètres!$A$1:$I$89,5,0)</f>
        <v>191.45568000000011</v>
      </c>
      <c r="P60" s="14">
        <f t="shared" si="33"/>
        <v>47.861639935303188</v>
      </c>
      <c r="Q60" s="22">
        <f t="shared" si="53"/>
        <v>416.81099888731995</v>
      </c>
      <c r="R60" s="62">
        <f t="shared" si="0"/>
        <v>710.14433222065327</v>
      </c>
      <c r="S60" s="62">
        <f ca="1">AVERAGE(OFFSET($R$3,0,0,'Données projet'!$E$9+1,1))-AVERAGE(OFFSET($H$3,0,0,'Données projet'!$E$9+1,1))</f>
        <v>237.22177246688199</v>
      </c>
      <c r="T60" s="62">
        <f t="shared" si="34"/>
        <v>149.27472147904302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1.4691982791705009</v>
      </c>
      <c r="AB60" s="23">
        <f>EXP(-LN(2)/2)*AB59+(1-EXP(-LN(2)/2))/(LN(2)/2)*V60*Y60*VLOOKUP('Données projet'!$B$9,Paramètres!$A$1:$I$89,3,0)*0.475*44/12</f>
        <v>5.3424436511093131E-4</v>
      </c>
      <c r="AC60" s="24">
        <f t="shared" si="3"/>
        <v>1.4697325235356118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6.4</v>
      </c>
      <c r="AI60" s="14">
        <f>IF('Données projet'!$A$62&gt;35,AI59+AH60-AQ59,IF(A60&lt;'Données projet'!$A$62,$AF$205^A60,IF(A60='Données projet'!$A$62,'Données projet'!$B$62,AI59+AH60-AQ59)))</f>
        <v>225.79999999999995</v>
      </c>
      <c r="AJ60" s="14">
        <f>AI60*VLOOKUP('Données projet'!$B$10,Paramètres!$A$1:$I$89,3,0)*VLOOKUP('Données projet'!$B$10,Paramètres!$A$1:$I$89,5,0)</f>
        <v>197.25888</v>
      </c>
      <c r="AK60" s="14">
        <f t="shared" si="35"/>
        <v>49.141269519991567</v>
      </c>
      <c r="AL60" s="22">
        <f t="shared" si="4"/>
        <v>429.14692708065195</v>
      </c>
      <c r="AM60" s="62">
        <f t="shared" si="5"/>
        <v>722.48026041398521</v>
      </c>
      <c r="AN60" s="62">
        <f ca="1">AVERAGE(OFFSET($AM$3,0,0,'Données projet'!$E$10+1,1))-AVERAGE(OFFSET($H$3,0,0,'Données projet'!$E$10+1,1))</f>
        <v>223.81948236065614</v>
      </c>
      <c r="AO60" s="62">
        <f t="shared" si="36"/>
        <v>320.1204011431372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1.800266381838064</v>
      </c>
      <c r="AV60" s="23">
        <f>EXP(-LN(2)/25)*AV59+(1-EXP(-LN(2)/25))/(LN(2)/25)*Calculateur!AQ60*Calculateur!AS60*VLOOKUP('Données projet'!$B$10,Paramètres!$A$1:$I$89,3,0)*0.475*44/12</f>
        <v>8.3690173862704054</v>
      </c>
      <c r="AW60" s="23">
        <f>EXP(-LN(2)/2)*AW59+(1-EXP(-LN(2)/2))/(LN(2)/2)*AQ60*AT60*VLOOKUP('Données projet'!$B$10,Paramètres!$A$1:$I$89,3,0)*0.475*44/12</f>
        <v>2.3970166172310754E-3</v>
      </c>
      <c r="AX60" s="23">
        <f t="shared" si="6"/>
        <v>10.1716807847257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11.4</v>
      </c>
      <c r="BD60" s="13">
        <f>IF('Données projet'!$A$88&gt;35,BD59+BC60-BL59,IF(A60&lt;'Données projet'!$A$88,$BA$205^A60,IF(A60='Données projet'!$A$88,'Données projet'!$B$88,BD59+BC60-BL59)))</f>
        <v>352.79999999999984</v>
      </c>
      <c r="BE60" s="14">
        <f>BD60*VLOOKUP('Données projet'!$B$11,Paramètres!$A$1:$I$89,3,0)*VLOOKUP('Données projet'!$B$11,Paramètres!$A$1:$I$89,5,0)</f>
        <v>210.97439999999992</v>
      </c>
      <c r="BF60" s="14">
        <f t="shared" si="37"/>
        <v>52.148459211324706</v>
      </c>
      <c r="BG60" s="22">
        <f t="shared" si="7"/>
        <v>458.27231312639037</v>
      </c>
      <c r="BH60" s="62">
        <f t="shared" si="8"/>
        <v>751.60564645972363</v>
      </c>
      <c r="BI60" s="62">
        <f ca="1">AVERAGE(OFFSET($BH$3,0,0,'Données projet'!$E$11+1,1))-AVERAGE(OFFSET($H$3,0,0,'Données projet'!$E$11+1,1))</f>
        <v>216.94426559495264</v>
      </c>
      <c r="BJ60" s="62">
        <f t="shared" si="38"/>
        <v>225.33715877618704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6.07807201901021</v>
      </c>
      <c r="BR60" s="23">
        <f>EXP(-LN(2)/2)*BR59+(1-EXP(-LN(2)/2))/(LN(2)/2)*BL60*BO60*VLOOKUP('Données projet'!$B$11,Paramètres!$A$1:$I$89,3,0)*0.475*44/12</f>
        <v>2.0482411230460635E-3</v>
      </c>
      <c r="BS60" s="24">
        <f t="shared" si="9"/>
        <v>6.0801202601332562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7.8</v>
      </c>
      <c r="N61" s="14">
        <f>IF('Données projet'!$A$36&gt;35,N60+M61-V60,IF(A61&lt;'Données projet'!$A$36,$K$205^A61,IF(A61='Données projet'!$A$36,'Données projet'!$B$36,N60+M61-V60)))</f>
        <v>219.40000000000015</v>
      </c>
      <c r="O61" s="14">
        <f>N61*VLOOKUP('Données projet'!$B$9,Paramètres!$A$1:$I$89,3,0)*VLOOKUP('Données projet'!$B$9,Paramètres!$A$1:$I$89,5,0)</f>
        <v>198.51312000000013</v>
      </c>
      <c r="P61" s="14">
        <f t="shared" si="33"/>
        <v>49.417254724004458</v>
      </c>
      <c r="Q61" s="22">
        <f t="shared" si="53"/>
        <v>431.81206931097466</v>
      </c>
      <c r="R61" s="62">
        <f t="shared" si="0"/>
        <v>725.14540264430798</v>
      </c>
      <c r="S61" s="62">
        <f ca="1">AVERAGE(OFFSET($R$3,0,0,'Données projet'!$E$9+1,1))-AVERAGE(OFFSET($H$3,0,0,'Données projet'!$E$9+1,1))</f>
        <v>237.22177246688199</v>
      </c>
      <c r="T61" s="62">
        <f t="shared" si="34"/>
        <v>149.27472147904302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1.429022974964804</v>
      </c>
      <c r="AB61" s="23">
        <f>EXP(-LN(2)/2)*AB60+(1-EXP(-LN(2)/2))/(LN(2)/2)*V61*Y61*VLOOKUP('Données projet'!$B$9,Paramètres!$A$1:$I$89,3,0)*0.475*44/12</f>
        <v>3.7776781338064131E-4</v>
      </c>
      <c r="AC61" s="24">
        <f t="shared" si="3"/>
        <v>1.4294007427781847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6.4</v>
      </c>
      <c r="AI61" s="14">
        <f>IF('Données projet'!$A$62&gt;35,AI60+AH61-AQ60,IF(A61&lt;'Données projet'!$A$62,$AF$205^A61,IF(A61='Données projet'!$A$62,'Données projet'!$B$62,AI60+AH61-AQ60)))</f>
        <v>232.19999999999996</v>
      </c>
      <c r="AJ61" s="14">
        <f>AI61*VLOOKUP('Données projet'!$B$10,Paramètres!$A$1:$I$89,3,0)*VLOOKUP('Données projet'!$B$10,Paramètres!$A$1:$I$89,5,0)</f>
        <v>202.84991999999997</v>
      </c>
      <c r="AK61" s="14">
        <f t="shared" si="35"/>
        <v>50.369977187686075</v>
      </c>
      <c r="AL61" s="22">
        <f t="shared" si="4"/>
        <v>441.02465426855321</v>
      </c>
      <c r="AM61" s="62">
        <f t="shared" si="5"/>
        <v>734.35798760188652</v>
      </c>
      <c r="AN61" s="62">
        <f ca="1">AVERAGE(OFFSET($AM$3,0,0,'Données projet'!$E$10+1,1))-AVERAGE(OFFSET($H$3,0,0,'Données projet'!$E$10+1,1))</f>
        <v>223.81948236065614</v>
      </c>
      <c r="AO61" s="62">
        <f t="shared" si="36"/>
        <v>320.1204011431372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1.7649642561442886</v>
      </c>
      <c r="AV61" s="23">
        <f>EXP(-LN(2)/25)*AV60+(1-EXP(-LN(2)/25))/(LN(2)/25)*Calculateur!AQ61*Calculateur!AS61*VLOOKUP('Données projet'!$B$10,Paramètres!$A$1:$I$89,3,0)*0.475*44/12</f>
        <v>8.1401661657353444</v>
      </c>
      <c r="AW61" s="23">
        <f>EXP(-LN(2)/2)*AW60+(1-EXP(-LN(2)/2))/(LN(2)/2)*AQ61*AT61*VLOOKUP('Données projet'!$B$10,Paramètres!$A$1:$I$89,3,0)*0.475*44/12</f>
        <v>1.6949467046609324E-3</v>
      </c>
      <c r="AX61" s="23">
        <f t="shared" si="6"/>
        <v>9.9068253685842933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11.4</v>
      </c>
      <c r="BD61" s="13">
        <f>IF('Données projet'!$A$88&gt;35,BD60+BC61-BL60,IF(A61&lt;'Données projet'!$A$88,$BA$205^A61,IF(A61='Données projet'!$A$88,'Données projet'!$B$88,BD60+BC61-BL60)))</f>
        <v>364.19999999999982</v>
      </c>
      <c r="BE61" s="14">
        <f>BD61*VLOOKUP('Données projet'!$B$11,Paramètres!$A$1:$I$89,3,0)*VLOOKUP('Données projet'!$B$11,Paramètres!$A$1:$I$89,5,0)</f>
        <v>217.7915999999999</v>
      </c>
      <c r="BF61" s="14">
        <f t="shared" si="37"/>
        <v>53.634619420976641</v>
      </c>
      <c r="BG61" s="22">
        <f t="shared" si="7"/>
        <v>472.73399882486751</v>
      </c>
      <c r="BH61" s="62">
        <f t="shared" si="8"/>
        <v>766.06733215820077</v>
      </c>
      <c r="BI61" s="62">
        <f ca="1">AVERAGE(OFFSET($BH$3,0,0,'Données projet'!$E$11+1,1))-AVERAGE(OFFSET($H$3,0,0,'Données projet'!$E$11+1,1))</f>
        <v>216.94426559495264</v>
      </c>
      <c r="BJ61" s="62">
        <f t="shared" si="38"/>
        <v>225.33715877618704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5.9118668200184601</v>
      </c>
      <c r="BR61" s="23">
        <f>EXP(-LN(2)/2)*BR60+(1-EXP(-LN(2)/2))/(LN(2)/2)*BL61*BO61*VLOOKUP('Données projet'!$B$11,Paramètres!$A$1:$I$89,3,0)*0.475*44/12</f>
        <v>1.4483251876110212E-3</v>
      </c>
      <c r="BS61" s="24">
        <f t="shared" si="9"/>
        <v>5.913315145206071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7.8</v>
      </c>
      <c r="N62" s="14">
        <f>IF('Données projet'!$A$36&gt;35,N61+M62-V61,IF(A62&lt;'Données projet'!$A$36,$K$205^A62,IF(A62='Données projet'!$A$36,'Données projet'!$B$36,N61+M62-V61)))</f>
        <v>227.20000000000016</v>
      </c>
      <c r="O62" s="14">
        <f>N62*VLOOKUP('Données projet'!$B$9,Paramètres!$A$1:$I$89,3,0)*VLOOKUP('Données projet'!$B$9,Paramètres!$A$1:$I$89,5,0)</f>
        <v>205.57056000000014</v>
      </c>
      <c r="P62" s="14">
        <f t="shared" si="33"/>
        <v>50.966443946767434</v>
      </c>
      <c r="Q62" s="22">
        <f t="shared" si="53"/>
        <v>446.80194854062023</v>
      </c>
      <c r="R62" s="62">
        <f t="shared" si="0"/>
        <v>740.13528187395355</v>
      </c>
      <c r="S62" s="62">
        <f ca="1">AVERAGE(OFFSET($R$3,0,0,'Données projet'!$E$9+1,1))-AVERAGE(OFFSET($H$3,0,0,'Données projet'!$E$9+1,1))</f>
        <v>237.22177246688199</v>
      </c>
      <c r="T62" s="62">
        <f t="shared" si="34"/>
        <v>149.27472147904302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1.3899462665653393</v>
      </c>
      <c r="AB62" s="23">
        <f>EXP(-LN(2)/2)*AB61+(1-EXP(-LN(2)/2))/(LN(2)/2)*V62*Y62*VLOOKUP('Données projet'!$B$9,Paramètres!$A$1:$I$89,3,0)*0.475*44/12</f>
        <v>2.6712218255546565E-4</v>
      </c>
      <c r="AC62" s="24">
        <f t="shared" si="3"/>
        <v>1.3902133887478947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6.4</v>
      </c>
      <c r="AI62" s="14">
        <f>IF('Données projet'!$A$62&gt;35,AI61+AH62-AQ61,IF(A62&lt;'Données projet'!$A$62,$AF$205^A62,IF(A62='Données projet'!$A$62,'Données projet'!$B$62,AI61+AH62-AQ61)))</f>
        <v>238.59999999999997</v>
      </c>
      <c r="AJ62" s="14">
        <f>AI62*VLOOKUP('Données projet'!$B$10,Paramètres!$A$1:$I$89,3,0)*VLOOKUP('Données projet'!$B$10,Paramètres!$A$1:$I$89,5,0)</f>
        <v>208.44095999999999</v>
      </c>
      <c r="AK62" s="14">
        <f t="shared" si="35"/>
        <v>51.594748621124211</v>
      </c>
      <c r="AL62" s="22">
        <f t="shared" si="4"/>
        <v>452.89552584845791</v>
      </c>
      <c r="AM62" s="62">
        <f t="shared" si="5"/>
        <v>746.22885918179122</v>
      </c>
      <c r="AN62" s="62">
        <f ca="1">AVERAGE(OFFSET($AM$3,0,0,'Données projet'!$E$10+1,1))-AVERAGE(OFFSET($H$3,0,0,'Données projet'!$E$10+1,1))</f>
        <v>223.81948236065614</v>
      </c>
      <c r="AO62" s="62">
        <f t="shared" si="36"/>
        <v>320.1204011431372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1.7303543836031976</v>
      </c>
      <c r="AV62" s="23">
        <f>EXP(-LN(2)/25)*AV61+(1-EXP(-LN(2)/25))/(LN(2)/25)*Calculateur!AQ62*Calculateur!AS62*VLOOKUP('Données projet'!$B$10,Paramètres!$A$1:$I$89,3,0)*0.475*44/12</f>
        <v>7.9175728938605774</v>
      </c>
      <c r="AW62" s="23">
        <f>EXP(-LN(2)/2)*AW61+(1-EXP(-LN(2)/2))/(LN(2)/2)*AQ62*AT62*VLOOKUP('Données projet'!$B$10,Paramètres!$A$1:$I$89,3,0)*0.475*44/12</f>
        <v>1.1985083086155377E-3</v>
      </c>
      <c r="AX62" s="23">
        <f t="shared" si="6"/>
        <v>9.6491257857723909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11.4</v>
      </c>
      <c r="BD62" s="13">
        <f>IF('Données projet'!$A$88&gt;35,BD61+BC62-BL61,IF(A62&lt;'Données projet'!$A$88,$BA$205^A62,IF(A62='Données projet'!$A$88,'Données projet'!$B$88,BD61+BC62-BL61)))</f>
        <v>375.5999999999998</v>
      </c>
      <c r="BE62" s="14">
        <f>BD62*VLOOKUP('Données projet'!$B$11,Paramètres!$A$1:$I$89,3,0)*VLOOKUP('Données projet'!$B$11,Paramètres!$A$1:$I$89,5,0)</f>
        <v>224.60879999999992</v>
      </c>
      <c r="BF62" s="14">
        <f t="shared" si="37"/>
        <v>55.11537373670501</v>
      </c>
      <c r="BG62" s="22">
        <f t="shared" si="7"/>
        <v>487.1862692580944</v>
      </c>
      <c r="BH62" s="62">
        <f t="shared" si="8"/>
        <v>780.51960259142766</v>
      </c>
      <c r="BI62" s="62">
        <f ca="1">AVERAGE(OFFSET($BH$3,0,0,'Données projet'!$E$11+1,1))-AVERAGE(OFFSET($H$3,0,0,'Données projet'!$E$11+1,1))</f>
        <v>216.94426559495264</v>
      </c>
      <c r="BJ62" s="62">
        <f t="shared" si="38"/>
        <v>225.33715877618704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5.7502065109334906</v>
      </c>
      <c r="BR62" s="23">
        <f>EXP(-LN(2)/2)*BR61+(1-EXP(-LN(2)/2))/(LN(2)/2)*BL62*BO62*VLOOKUP('Données projet'!$B$11,Paramètres!$A$1:$I$89,3,0)*0.475*44/12</f>
        <v>1.0241205615230317E-3</v>
      </c>
      <c r="BS62" s="24">
        <f t="shared" si="9"/>
        <v>5.7512306314950132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7.8</v>
      </c>
      <c r="M63" s="13">
        <f t="array" ref="M63">INDEX(L:L,MIN(IF(ISNUMBER(L63:L259),ROW(L63:L259),"")))</f>
        <v>7.8</v>
      </c>
      <c r="N63" s="14">
        <f>IF('Données projet'!$A$36&gt;35,N62+M63-V62,IF(A63&lt;'Données projet'!$A$36,$K$205^A63,IF(A63='Données projet'!$A$36,'Données projet'!$B$36,N62+M63-V62)))</f>
        <v>235.00000000000017</v>
      </c>
      <c r="O63" s="14">
        <f>N63*VLOOKUP('Données projet'!$B$9,Paramètres!$A$1:$I$89,3,0)*VLOOKUP('Données projet'!$B$9,Paramètres!$A$1:$I$89,5,0)</f>
        <v>212.62800000000016</v>
      </c>
      <c r="P63" s="14">
        <f t="shared" si="33"/>
        <v>52.509453483719085</v>
      </c>
      <c r="Q63" s="22">
        <f t="shared" si="53"/>
        <v>461.78106481747767</v>
      </c>
      <c r="R63" s="62">
        <f t="shared" si="0"/>
        <v>755.11439815081098</v>
      </c>
      <c r="S63" s="62">
        <f ca="1">AVERAGE(OFFSET($R$3,0,0,'Données projet'!$E$9+1,1))-AVERAGE(OFFSET($H$3,0,0,'Données projet'!$E$9+1,1))</f>
        <v>237.22177246688199</v>
      </c>
      <c r="T63" s="62">
        <f t="shared" si="34"/>
        <v>149.27472147904302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1.3519381128120127</v>
      </c>
      <c r="AB63" s="23">
        <f>EXP(-LN(2)/2)*AB62+(1-EXP(-LN(2)/2))/(LN(2)/2)*V63*Y63*VLOOKUP('Données projet'!$B$9,Paramètres!$A$1:$I$89,3,0)*0.475*44/12</f>
        <v>1.8888390669032066E-4</v>
      </c>
      <c r="AC63" s="24">
        <f t="shared" si="3"/>
        <v>1.3521269967187031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245</v>
      </c>
      <c r="AG63" s="13">
        <f>VLOOKUP(A63,'Données projet'!$A$61:$I$81,9,0)</f>
        <v>6.4</v>
      </c>
      <c r="AH63" s="13">
        <f t="array" ref="AH63">INDEX(AG:AG,MIN(IF(ISNUMBER(AG63:AG259),ROW(AG63:AG259),"")))</f>
        <v>6.4</v>
      </c>
      <c r="AI63" s="14">
        <f>IF('Données projet'!$A$62&gt;35,AI62+AH63-AQ62,IF(A63&lt;'Données projet'!$A$62,$AF$205^A63,IF(A63='Données projet'!$A$62,'Données projet'!$B$62,AI62+AH63-AQ62)))</f>
        <v>244.99999999999997</v>
      </c>
      <c r="AJ63" s="14">
        <f>AI63*VLOOKUP('Données projet'!$B$10,Paramètres!$A$1:$I$89,3,0)*VLOOKUP('Données projet'!$B$10,Paramètres!$A$1:$I$89,5,0)</f>
        <v>214.03199999999998</v>
      </c>
      <c r="AK63" s="14">
        <f t="shared" si="35"/>
        <v>52.815701536972242</v>
      </c>
      <c r="AL63" s="22">
        <f t="shared" si="4"/>
        <v>464.75974684355998</v>
      </c>
      <c r="AM63" s="62">
        <f t="shared" si="5"/>
        <v>758.0930801768933</v>
      </c>
      <c r="AN63" s="62">
        <f ca="1">AVERAGE(OFFSET($AM$3,0,0,'Données projet'!$E$10+1,1))-AVERAGE(OFFSET($H$3,0,0,'Données projet'!$E$10+1,1))</f>
        <v>223.81948236065614</v>
      </c>
      <c r="AO63" s="62">
        <f t="shared" si="36"/>
        <v>320.1204011431372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47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1.6964231895526996</v>
      </c>
      <c r="AV63" s="23">
        <f>EXP(-LN(2)/25)*AV62+(1-EXP(-LN(2)/25))/(LN(2)/25)*Calculateur!AQ63*Calculateur!AS63*VLOOKUP('Données projet'!$B$10,Paramètres!$A$1:$I$89,3,0)*0.475*44/12</f>
        <v>7.7010664467108976</v>
      </c>
      <c r="AW63" s="23">
        <f>EXP(-LN(2)/2)*AW62+(1-EXP(-LN(2)/2))/(LN(2)/2)*AQ63*AT63*VLOOKUP('Données projet'!$B$10,Paramètres!$A$1:$I$89,3,0)*0.475*44/12</f>
        <v>8.4747335233046619E-4</v>
      </c>
      <c r="AX63" s="23">
        <f t="shared" si="6"/>
        <v>9.3983371096159267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387</v>
      </c>
      <c r="BB63" s="13">
        <f>VLOOKUP(A63,'Données projet'!$A$87:$I$107,9,0)</f>
        <v>11.4</v>
      </c>
      <c r="BC63" s="13">
        <f t="array" ref="BC63">INDEX(BB:BB,MIN(IF(ISNUMBER(BB63:BB259),ROW(BB63:BB259),"")))</f>
        <v>11.4</v>
      </c>
      <c r="BD63" s="13">
        <f>IF('Données projet'!$A$88&gt;35,BD62+BC63-BL62,IF(A63&lt;'Données projet'!$A$88,$BA$205^A63,IF(A63='Données projet'!$A$88,'Données projet'!$B$88,BD62+BC63-BL62)))</f>
        <v>386.99999999999977</v>
      </c>
      <c r="BE63" s="14">
        <f>BD63*VLOOKUP('Données projet'!$B$11,Paramètres!$A$1:$I$89,3,0)*VLOOKUP('Données projet'!$B$11,Paramètres!$A$1:$I$89,5,0)</f>
        <v>231.42599999999987</v>
      </c>
      <c r="BF63" s="14">
        <f t="shared" si="37"/>
        <v>56.590905067453171</v>
      </c>
      <c r="BG63" s="22">
        <f t="shared" si="7"/>
        <v>501.62944299248062</v>
      </c>
      <c r="BH63" s="62">
        <f t="shared" si="8"/>
        <v>794.96277632581393</v>
      </c>
      <c r="BI63" s="62">
        <f ca="1">AVERAGE(OFFSET($BH$3,0,0,'Données projet'!$E$11+1,1))-AVERAGE(OFFSET($H$3,0,0,'Données projet'!$E$11+1,1))</f>
        <v>216.94426559495264</v>
      </c>
      <c r="BJ63" s="62">
        <f t="shared" si="38"/>
        <v>225.33715877618704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57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5.5929668115017961</v>
      </c>
      <c r="BR63" s="23">
        <f>EXP(-LN(2)/2)*BR62+(1-EXP(-LN(2)/2))/(LN(2)/2)*BL63*BO63*VLOOKUP('Données projet'!$B$11,Paramètres!$A$1:$I$89,3,0)*0.475*44/12</f>
        <v>7.241625938055106E-4</v>
      </c>
      <c r="BS63" s="24">
        <f t="shared" si="9"/>
        <v>5.593690974095602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</v>
      </c>
      <c r="N64" s="14">
        <f>IF('Données projet'!$A$36&gt;35,N63+M64-V63,IF(A64&lt;'Données projet'!$A$36,$K$205^A64,IF(A64='Données projet'!$A$36,'Données projet'!$B$36,N63+M64-V63)))</f>
        <v>200.00000000000017</v>
      </c>
      <c r="O64" s="14">
        <f>N64*VLOOKUP('Données projet'!$B$9,Paramètres!$A$1:$I$89,3,0)*VLOOKUP('Données projet'!$B$9,Paramètres!$A$1:$I$89,5,0)</f>
        <v>180.96000000000015</v>
      </c>
      <c r="P64" s="14">
        <f t="shared" si="33"/>
        <v>45.535702314871806</v>
      </c>
      <c r="Q64" s="22">
        <f t="shared" si="53"/>
        <v>394.48001486506865</v>
      </c>
      <c r="R64" s="62">
        <f t="shared" si="0"/>
        <v>687.81334819840197</v>
      </c>
      <c r="S64" s="62">
        <f ca="1">AVERAGE(OFFSET($R$3,0,0,'Données projet'!$E$9+1,1))-AVERAGE(OFFSET($H$3,0,0,'Données projet'!$E$9+1,1))</f>
        <v>237.22177246688199</v>
      </c>
      <c r="T64" s="62">
        <f t="shared" si="34"/>
        <v>149.27472147904302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1.3149692940218327</v>
      </c>
      <c r="AB64" s="23">
        <f>EXP(-LN(2)/2)*AB63+(1-EXP(-LN(2)/2))/(LN(2)/2)*V64*Y64*VLOOKUP('Données projet'!$B$9,Paramètres!$A$1:$I$89,3,0)*0.475*44/12</f>
        <v>1.3356109127773283E-4</v>
      </c>
      <c r="AC64" s="24">
        <f t="shared" si="3"/>
        <v>1.3151028551131105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4.9000000000000004</v>
      </c>
      <c r="AI64" s="14">
        <f>IF('Données projet'!$A$62&gt;35,AI63+AH64-AQ63,IF(A64&lt;'Données projet'!$A$62,$AF$205^A64,IF(A64='Données projet'!$A$62,'Données projet'!$B$62,AI63+AH64-AQ63)))</f>
        <v>202.89999999999998</v>
      </c>
      <c r="AJ64" s="14">
        <f>AI64*VLOOKUP('Données projet'!$B$10,Paramètres!$A$1:$I$89,3,0)*VLOOKUP('Données projet'!$B$10,Paramètres!$A$1:$I$89,5,0)</f>
        <v>177.25344000000001</v>
      </c>
      <c r="AK64" s="14">
        <f t="shared" si="35"/>
        <v>44.710581408854637</v>
      </c>
      <c r="AL64" s="22">
        <f t="shared" si="4"/>
        <v>386.58733728708853</v>
      </c>
      <c r="AM64" s="62">
        <f t="shared" si="5"/>
        <v>679.92067062042179</v>
      </c>
      <c r="AN64" s="62">
        <f ca="1">AVERAGE(OFFSET($AM$3,0,0,'Données projet'!$E$10+1,1))-AVERAGE(OFFSET($H$3,0,0,'Données projet'!$E$10+1,1))</f>
        <v>223.81948236065614</v>
      </c>
      <c r="AO64" s="62">
        <f t="shared" si="36"/>
        <v>320.1204011431372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1.663157365521547</v>
      </c>
      <c r="AV64" s="23">
        <f>EXP(-LN(2)/25)*AV63+(1-EXP(-LN(2)/25))/(LN(2)/25)*Calculateur!AQ64*Calculateur!AS64*VLOOKUP('Données projet'!$B$10,Paramètres!$A$1:$I$89,3,0)*0.475*44/12</f>
        <v>7.4904803797441044</v>
      </c>
      <c r="AW64" s="23">
        <f>EXP(-LN(2)/2)*AW63+(1-EXP(-LN(2)/2))/(LN(2)/2)*AQ64*AT64*VLOOKUP('Données projet'!$B$10,Paramètres!$A$1:$I$89,3,0)*0.475*44/12</f>
        <v>5.9925415430776884E-4</v>
      </c>
      <c r="AX64" s="23">
        <f t="shared" si="6"/>
        <v>9.1542369994199593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9.1999999999999993</v>
      </c>
      <c r="BD64" s="13">
        <f>IF('Données projet'!$A$88&gt;35,BD63+BC64-BL63,IF(A64&lt;'Données projet'!$A$88,$BA$205^A64,IF(A64='Données projet'!$A$88,'Données projet'!$B$88,BD63+BC64-BL63)))</f>
        <v>339.19999999999976</v>
      </c>
      <c r="BE64" s="14">
        <f>BD64*VLOOKUP('Données projet'!$B$11,Paramètres!$A$1:$I$89,3,0)*VLOOKUP('Données projet'!$B$11,Paramètres!$A$1:$I$89,5,0)</f>
        <v>202.84159999999989</v>
      </c>
      <c r="BF64" s="14">
        <f t="shared" si="37"/>
        <v>50.368151708087709</v>
      </c>
      <c r="BG64" s="22">
        <f t="shared" si="7"/>
        <v>441.00698422491922</v>
      </c>
      <c r="BH64" s="62">
        <f t="shared" si="8"/>
        <v>734.34031755825254</v>
      </c>
      <c r="BI64" s="62">
        <f ca="1">AVERAGE(OFFSET($BH$3,0,0,'Données projet'!$E$11+1,1))-AVERAGE(OFFSET($H$3,0,0,'Données projet'!$E$11+1,1))</f>
        <v>216.94426559495264</v>
      </c>
      <c r="BJ64" s="62">
        <f t="shared" si="38"/>
        <v>225.33715877618704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5.4400268399199376</v>
      </c>
      <c r="BR64" s="23">
        <f>EXP(-LN(2)/2)*BR63+(1-EXP(-LN(2)/2))/(LN(2)/2)*BL64*BO64*VLOOKUP('Données projet'!$B$11,Paramètres!$A$1:$I$89,3,0)*0.475*44/12</f>
        <v>5.1206028076151587E-4</v>
      </c>
      <c r="BS64" s="24">
        <f t="shared" si="9"/>
        <v>5.440538900200699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</v>
      </c>
      <c r="N65" s="14">
        <f>IF('Données projet'!$A$36&gt;35,N64+M65-V64,IF(A65&lt;'Données projet'!$A$36,$K$205^A65,IF(A65='Données projet'!$A$36,'Données projet'!$B$36,N64+M65-V64)))</f>
        <v>207.00000000000017</v>
      </c>
      <c r="O65" s="14">
        <f>N65*VLOOKUP('Données projet'!$B$9,Paramètres!$A$1:$I$89,3,0)*VLOOKUP('Données projet'!$B$9,Paramètres!$A$1:$I$89,5,0)</f>
        <v>187.29360000000014</v>
      </c>
      <c r="P65" s="14">
        <f t="shared" si="33"/>
        <v>46.941107550760456</v>
      </c>
      <c r="Q65" s="22">
        <f t="shared" si="53"/>
        <v>407.95878231757462</v>
      </c>
      <c r="R65" s="62">
        <f t="shared" si="0"/>
        <v>701.29211565090793</v>
      </c>
      <c r="S65" s="62">
        <f ca="1">AVERAGE(OFFSET($R$3,0,0,'Données projet'!$E$9+1,1))-AVERAGE(OFFSET($H$3,0,0,'Données projet'!$E$9+1,1))</f>
        <v>237.22177246688199</v>
      </c>
      <c r="T65" s="62">
        <f t="shared" si="34"/>
        <v>149.27472147904302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1.2790113895255759</v>
      </c>
      <c r="AB65" s="23">
        <f>EXP(-LN(2)/2)*AB64+(1-EXP(-LN(2)/2))/(LN(2)/2)*V65*Y65*VLOOKUP('Données projet'!$B$9,Paramètres!$A$1:$I$89,3,0)*0.475*44/12</f>
        <v>9.4441953345160328E-5</v>
      </c>
      <c r="AC65" s="24">
        <f t="shared" si="3"/>
        <v>1.279105831478921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4.9000000000000004</v>
      </c>
      <c r="AI65" s="14">
        <f>IF('Données projet'!$A$62&gt;35,AI64+AH65-AQ64,IF(A65&lt;'Données projet'!$A$62,$AF$205^A65,IF(A65='Données projet'!$A$62,'Données projet'!$B$62,AI64+AH65-AQ64)))</f>
        <v>207.79999999999998</v>
      </c>
      <c r="AJ65" s="14">
        <f>AI65*VLOOKUP('Données projet'!$B$10,Paramètres!$A$1:$I$89,3,0)*VLOOKUP('Données projet'!$B$10,Paramètres!$A$1:$I$89,5,0)</f>
        <v>181.53407999999999</v>
      </c>
      <c r="AK65" s="14">
        <f t="shared" si="35"/>
        <v>45.663321943731901</v>
      </c>
      <c r="AL65" s="22">
        <f t="shared" si="4"/>
        <v>395.70214171866638</v>
      </c>
      <c r="AM65" s="62">
        <f t="shared" si="5"/>
        <v>689.0354750519997</v>
      </c>
      <c r="AN65" s="62">
        <f ca="1">AVERAGE(OFFSET($AM$3,0,0,'Données projet'!$E$10+1,1))-AVERAGE(OFFSET($H$3,0,0,'Données projet'!$E$10+1,1))</f>
        <v>223.81948236065614</v>
      </c>
      <c r="AO65" s="62">
        <f t="shared" si="36"/>
        <v>320.1204011431372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1.6305438640094962</v>
      </c>
      <c r="AV65" s="23">
        <f>EXP(-LN(2)/25)*AV64+(1-EXP(-LN(2)/25))/(LN(2)/25)*Calculateur!AQ65*Calculateur!AS65*VLOOKUP('Données projet'!$B$10,Paramètres!$A$1:$I$89,3,0)*0.475*44/12</f>
        <v>7.285652799852758</v>
      </c>
      <c r="AW65" s="23">
        <f>EXP(-LN(2)/2)*AW64+(1-EXP(-LN(2)/2))/(LN(2)/2)*AQ65*AT65*VLOOKUP('Données projet'!$B$10,Paramètres!$A$1:$I$89,3,0)*0.475*44/12</f>
        <v>4.2373667616523309E-4</v>
      </c>
      <c r="AX65" s="23">
        <f t="shared" si="6"/>
        <v>8.9166204005384202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9.1999999999999993</v>
      </c>
      <c r="BD65" s="13">
        <f>IF('Données projet'!$A$88&gt;35,BD64+BC65-BL64,IF(A65&lt;'Données projet'!$A$88,$BA$205^A65,IF(A65='Données projet'!$A$88,'Données projet'!$B$88,BD64+BC65-BL64)))</f>
        <v>348.39999999999975</v>
      </c>
      <c r="BE65" s="14">
        <f>BD65*VLOOKUP('Données projet'!$B$11,Paramètres!$A$1:$I$89,3,0)*VLOOKUP('Données projet'!$B$11,Paramètres!$A$1:$I$89,5,0)</f>
        <v>208.34319999999988</v>
      </c>
      <c r="BF65" s="14">
        <f t="shared" si="37"/>
        <v>51.573366479945882</v>
      </c>
      <c r="BG65" s="22">
        <f t="shared" si="7"/>
        <v>452.68801995257218</v>
      </c>
      <c r="BH65" s="62">
        <f t="shared" si="8"/>
        <v>746.02135328590543</v>
      </c>
      <c r="BI65" s="62">
        <f ca="1">AVERAGE(OFFSET($BH$3,0,0,'Données projet'!$E$11+1,1))-AVERAGE(OFFSET($H$3,0,0,'Données projet'!$E$11+1,1))</f>
        <v>216.94426559495264</v>
      </c>
      <c r="BJ65" s="62">
        <f t="shared" si="38"/>
        <v>225.33715877618704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5.2912690199037486</v>
      </c>
      <c r="BR65" s="23">
        <f>EXP(-LN(2)/2)*BR64+(1-EXP(-LN(2)/2))/(LN(2)/2)*BL65*BO65*VLOOKUP('Données projet'!$B$11,Paramètres!$A$1:$I$89,3,0)*0.475*44/12</f>
        <v>3.620812969027553E-4</v>
      </c>
      <c r="BS65" s="24">
        <f t="shared" si="9"/>
        <v>5.2916311012006512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</v>
      </c>
      <c r="N66" s="14">
        <f>IF('Données projet'!$A$36&gt;35,N65+M66-V65,IF(A66&lt;'Données projet'!$A$36,$K$205^A66,IF(A66='Données projet'!$A$36,'Données projet'!$B$36,N65+M66-V65)))</f>
        <v>214.00000000000017</v>
      </c>
      <c r="O66" s="14">
        <f>N66*VLOOKUP('Données projet'!$B$9,Paramètres!$A$1:$I$89,3,0)*VLOOKUP('Données projet'!$B$9,Paramètres!$A$1:$I$89,5,0)</f>
        <v>193.62720000000016</v>
      </c>
      <c r="P66" s="14">
        <f t="shared" si="33"/>
        <v>48.340990547231236</v>
      </c>
      <c r="Q66" s="22">
        <f t="shared" si="53"/>
        <v>421.42793186976132</v>
      </c>
      <c r="R66" s="62">
        <f t="shared" si="0"/>
        <v>714.76126520309458</v>
      </c>
      <c r="S66" s="62">
        <f ca="1">AVERAGE(OFFSET($R$3,0,0,'Données projet'!$E$9+1,1))-AVERAGE(OFFSET($H$3,0,0,'Données projet'!$E$9+1,1))</f>
        <v>237.22177246688199</v>
      </c>
      <c r="T66" s="62">
        <f t="shared" si="34"/>
        <v>149.27472147904302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1.2440367558187133</v>
      </c>
      <c r="AB66" s="23">
        <f>EXP(-LN(2)/2)*AB65+(1-EXP(-LN(2)/2))/(LN(2)/2)*V66*Y66*VLOOKUP('Données projet'!$B$9,Paramètres!$A$1:$I$89,3,0)*0.475*44/12</f>
        <v>6.6780545638866413E-5</v>
      </c>
      <c r="AC66" s="24">
        <f t="shared" si="3"/>
        <v>1.2441035363643522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4.9000000000000004</v>
      </c>
      <c r="AI66" s="14">
        <f>IF('Données projet'!$A$62&gt;35,AI65+AH66-AQ65,IF(A66&lt;'Données projet'!$A$62,$AF$205^A66,IF(A66='Données projet'!$A$62,'Données projet'!$B$62,AI65+AH66-AQ65)))</f>
        <v>212.7</v>
      </c>
      <c r="AJ66" s="14">
        <f>AI66*VLOOKUP('Données projet'!$B$10,Paramètres!$A$1:$I$89,3,0)*VLOOKUP('Données projet'!$B$10,Paramètres!$A$1:$I$89,5,0)</f>
        <v>185.81472000000002</v>
      </c>
      <c r="AK66" s="14">
        <f t="shared" si="35"/>
        <v>46.613450769406725</v>
      </c>
      <c r="AL66" s="22">
        <f t="shared" si="4"/>
        <v>404.81239742338335</v>
      </c>
      <c r="AM66" s="62">
        <f t="shared" si="5"/>
        <v>698.1457307567166</v>
      </c>
      <c r="AN66" s="62">
        <f ca="1">AVERAGE(OFFSET($AM$3,0,0,'Données projet'!$E$10+1,1))-AVERAGE(OFFSET($H$3,0,0,'Données projet'!$E$10+1,1))</f>
        <v>223.81948236065614</v>
      </c>
      <c r="AO66" s="62">
        <f t="shared" si="36"/>
        <v>320.1204011431372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1.5985698933698251</v>
      </c>
      <c r="AV66" s="23">
        <f>EXP(-LN(2)/25)*AV65+(1-EXP(-LN(2)/25))/(LN(2)/25)*Calculateur!AQ66*Calculateur!AS66*VLOOKUP('Données projet'!$B$10,Paramètres!$A$1:$I$89,3,0)*0.475*44/12</f>
        <v>7.086426240904955</v>
      </c>
      <c r="AW66" s="23">
        <f>EXP(-LN(2)/2)*AW65+(1-EXP(-LN(2)/2))/(LN(2)/2)*AQ66*AT66*VLOOKUP('Données projet'!$B$10,Paramètres!$A$1:$I$89,3,0)*0.475*44/12</f>
        <v>2.9962707715388442E-4</v>
      </c>
      <c r="AX66" s="23">
        <f t="shared" si="6"/>
        <v>8.6852957613519344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9.1999999999999993</v>
      </c>
      <c r="BD66" s="13">
        <f>IF('Données projet'!$A$88&gt;35,BD65+BC66-BL65,IF(A66&lt;'Données projet'!$A$88,$BA$205^A66,IF(A66='Données projet'!$A$88,'Données projet'!$B$88,BD65+BC66-BL65)))</f>
        <v>357.59999999999974</v>
      </c>
      <c r="BE66" s="14">
        <f>BD66*VLOOKUP('Données projet'!$B$11,Paramètres!$A$1:$I$89,3,0)*VLOOKUP('Données projet'!$B$11,Paramètres!$A$1:$I$89,5,0)</f>
        <v>213.84479999999988</v>
      </c>
      <c r="BF66" s="14">
        <f t="shared" si="37"/>
        <v>52.774882006161135</v>
      </c>
      <c r="BG66" s="22">
        <f t="shared" si="7"/>
        <v>464.36261282739719</v>
      </c>
      <c r="BH66" s="62">
        <f t="shared" si="8"/>
        <v>757.6959461607305</v>
      </c>
      <c r="BI66" s="62">
        <f ca="1">AVERAGE(OFFSET($BH$3,0,0,'Données projet'!$E$11+1,1))-AVERAGE(OFFSET($H$3,0,0,'Données projet'!$E$11+1,1))</f>
        <v>216.94426559495264</v>
      </c>
      <c r="BJ66" s="62">
        <f t="shared" si="38"/>
        <v>225.33715877618704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5.1465789902987362</v>
      </c>
      <c r="BR66" s="23">
        <f>EXP(-LN(2)/2)*BR65+(1-EXP(-LN(2)/2))/(LN(2)/2)*BL66*BO66*VLOOKUP('Données projet'!$B$11,Paramètres!$A$1:$I$89,3,0)*0.475*44/12</f>
        <v>2.5603014038075793E-4</v>
      </c>
      <c r="BS66" s="24">
        <f t="shared" si="9"/>
        <v>5.1468350204391173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</v>
      </c>
      <c r="N67" s="14">
        <f>IF('Données projet'!$A$36&gt;35,N66+M67-V66,IF(A67&lt;'Données projet'!$A$36,$K$205^A67,IF(A67='Données projet'!$A$36,'Données projet'!$B$36,N66+M67-V66)))</f>
        <v>221.00000000000017</v>
      </c>
      <c r="O67" s="14">
        <f>N67*VLOOKUP('Données projet'!$B$9,Paramètres!$A$1:$I$89,3,0)*VLOOKUP('Données projet'!$B$9,Paramètres!$A$1:$I$89,5,0)</f>
        <v>199.96080000000015</v>
      </c>
      <c r="P67" s="14">
        <f t="shared" si="33"/>
        <v>49.735552653569265</v>
      </c>
      <c r="Q67" s="22">
        <f t="shared" ref="Q67:Q98" si="54">(O67+P67)*0.475*44/12</f>
        <v>434.88781420496679</v>
      </c>
      <c r="R67" s="62">
        <f t="shared" ref="R67:R130" si="55">Q67+(I67+J67)*44/12</f>
        <v>728.2211475383001</v>
      </c>
      <c r="S67" s="62">
        <f ca="1">AVERAGE(OFFSET($R$3,0,0,'Données projet'!$E$9+1,1))-AVERAGE(OFFSET($H$3,0,0,'Données projet'!$E$9+1,1))</f>
        <v>237.22177246688199</v>
      </c>
      <c r="T67" s="62">
        <f t="shared" si="34"/>
        <v>149.27472147904302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1.2100185053098009</v>
      </c>
      <c r="AB67" s="23">
        <f>EXP(-LN(2)/2)*AB66+(1-EXP(-LN(2)/2))/(LN(2)/2)*V67*Y67*VLOOKUP('Données projet'!$B$9,Paramètres!$A$1:$I$89,3,0)*0.475*44/12</f>
        <v>4.7220976672580164E-5</v>
      </c>
      <c r="AC67" s="24">
        <f t="shared" si="3"/>
        <v>1.2100657262864736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4.9000000000000004</v>
      </c>
      <c r="AI67" s="14">
        <f>IF('Données projet'!$A$62&gt;35,AI66+AH67-AQ66,IF(A67&lt;'Données projet'!$A$62,$AF$205^A67,IF(A67='Données projet'!$A$62,'Données projet'!$B$62,AI66+AH67-AQ66)))</f>
        <v>217.6</v>
      </c>
      <c r="AJ67" s="14">
        <f>AI67*VLOOKUP('Données projet'!$B$10,Paramètres!$A$1:$I$89,3,0)*VLOOKUP('Données projet'!$B$10,Paramètres!$A$1:$I$89,5,0)</f>
        <v>190.09536000000003</v>
      </c>
      <c r="AK67" s="14">
        <f t="shared" si="35"/>
        <v>47.56103497756866</v>
      </c>
      <c r="AL67" s="22">
        <f t="shared" si="4"/>
        <v>413.91822125259881</v>
      </c>
      <c r="AM67" s="62">
        <f t="shared" si="5"/>
        <v>707.25155458593213</v>
      </c>
      <c r="AN67" s="62">
        <f ca="1">AVERAGE(OFFSET($AM$3,0,0,'Données projet'!$E$10+1,1))-AVERAGE(OFFSET($H$3,0,0,'Données projet'!$E$10+1,1))</f>
        <v>223.81948236065614</v>
      </c>
      <c r="AO67" s="62">
        <f t="shared" si="36"/>
        <v>320.1204011431372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1.5672229127922015</v>
      </c>
      <c r="AV67" s="23">
        <f>EXP(-LN(2)/25)*AV66+(1-EXP(-LN(2)/25))/(LN(2)/25)*Calculateur!AQ67*Calculateur!AS67*VLOOKUP('Données projet'!$B$10,Paramètres!$A$1:$I$89,3,0)*0.475*44/12</f>
        <v>6.892647542688449</v>
      </c>
      <c r="AW67" s="23">
        <f>EXP(-LN(2)/2)*AW66+(1-EXP(-LN(2)/2))/(LN(2)/2)*AQ67*AT67*VLOOKUP('Données projet'!$B$10,Paramètres!$A$1:$I$89,3,0)*0.475*44/12</f>
        <v>2.1186833808261655E-4</v>
      </c>
      <c r="AX67" s="23">
        <f t="shared" si="6"/>
        <v>8.4600823238187335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9.1999999999999993</v>
      </c>
      <c r="BD67" s="13">
        <f>IF('Données projet'!$A$88&gt;35,BD66+BC67-BL66,IF(A67&lt;'Données projet'!$A$88,$BA$205^A67,IF(A67='Données projet'!$A$88,'Données projet'!$B$88,BD66+BC67-BL66)))</f>
        <v>366.79999999999973</v>
      </c>
      <c r="BE67" s="14">
        <f>BD67*VLOOKUP('Données projet'!$B$11,Paramètres!$A$1:$I$89,3,0)*VLOOKUP('Données projet'!$B$11,Paramètres!$A$1:$I$89,5,0)</f>
        <v>219.34639999999987</v>
      </c>
      <c r="BF67" s="14">
        <f t="shared" si="37"/>
        <v>53.972804400117923</v>
      </c>
      <c r="BG67" s="22">
        <f t="shared" si="7"/>
        <v>476.03094766353843</v>
      </c>
      <c r="BH67" s="62">
        <f t="shared" si="8"/>
        <v>769.36428099687168</v>
      </c>
      <c r="BI67" s="62">
        <f ca="1">AVERAGE(OFFSET($BH$3,0,0,'Données projet'!$E$11+1,1))-AVERAGE(OFFSET($H$3,0,0,'Données projet'!$E$11+1,1))</f>
        <v>216.94426559495264</v>
      </c>
      <c r="BJ67" s="62">
        <f t="shared" si="38"/>
        <v>225.33715877618704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5.0058455171621912</v>
      </c>
      <c r="BR67" s="23">
        <f>EXP(-LN(2)/2)*BR66+(1-EXP(-LN(2)/2))/(LN(2)/2)*BL67*BO67*VLOOKUP('Données projet'!$B$11,Paramètres!$A$1:$I$89,3,0)*0.475*44/12</f>
        <v>1.8104064845137765E-4</v>
      </c>
      <c r="BS67" s="24">
        <f t="shared" si="9"/>
        <v>5.0060265578106424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</v>
      </c>
      <c r="N68" s="14">
        <f>IF('Données projet'!$A$36&gt;35,N67+M68-V67,IF(A68&lt;'Données projet'!$A$36,$K$205^A68,IF(A68='Données projet'!$A$36,'Données projet'!$B$36,N67+M68-V67)))</f>
        <v>228.00000000000017</v>
      </c>
      <c r="O68" s="14">
        <f>N68*VLOOKUP('Données projet'!$B$9,Paramètres!$A$1:$I$89,3,0)*VLOOKUP('Données projet'!$B$9,Paramètres!$A$1:$I$89,5,0)</f>
        <v>206.29440000000017</v>
      </c>
      <c r="P68" s="14">
        <f t="shared" si="33"/>
        <v>51.124981739560774</v>
      </c>
      <c r="Q68" s="22">
        <f t="shared" si="54"/>
        <v>448.33875652973529</v>
      </c>
      <c r="R68" s="62">
        <f t="shared" si="55"/>
        <v>741.67208986306855</v>
      </c>
      <c r="S68" s="62">
        <f ca="1">AVERAGE(OFFSET($R$3,0,0,'Données projet'!$E$9+1,1))-AVERAGE(OFFSET($H$3,0,0,'Données projet'!$E$9+1,1))</f>
        <v>237.22177246688199</v>
      </c>
      <c r="T68" s="62">
        <f t="shared" si="34"/>
        <v>149.27472147904302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1.1769304856499967</v>
      </c>
      <c r="AB68" s="23">
        <f>EXP(-LN(2)/2)*AB67+(1-EXP(-LN(2)/2))/(LN(2)/2)*V68*Y68*VLOOKUP('Données projet'!$B$9,Paramètres!$A$1:$I$89,3,0)*0.475*44/12</f>
        <v>3.3390272819433207E-5</v>
      </c>
      <c r="AC68" s="24">
        <f t="shared" ref="AC68:AC131" si="57">SUM(Z68:AB68)</f>
        <v>1.176963875922816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4.9000000000000004</v>
      </c>
      <c r="AI68" s="14">
        <f>IF('Données projet'!$A$62&gt;35,AI67+AH68-AQ67,IF(A68&lt;'Données projet'!$A$62,$AF$205^A68,IF(A68='Données projet'!$A$62,'Données projet'!$B$62,AI67+AH68-AQ67)))</f>
        <v>222.5</v>
      </c>
      <c r="AJ68" s="14">
        <f>AI68*VLOOKUP('Données projet'!$B$10,Paramètres!$A$1:$I$89,3,0)*VLOOKUP('Données projet'!$B$10,Paramètres!$A$1:$I$89,5,0)</f>
        <v>194.37600000000003</v>
      </c>
      <c r="AK68" s="14">
        <f t="shared" si="35"/>
        <v>48.506138465833132</v>
      </c>
      <c r="AL68" s="22">
        <f t="shared" ref="AL68:AL131" si="58">(AJ68+AK68)*0.475*44/12</f>
        <v>423.01972449465944</v>
      </c>
      <c r="AM68" s="62">
        <f t="shared" ref="AM68:AM131" si="59">AL68+(AD68+AE68)*44/12</f>
        <v>716.35305782799276</v>
      </c>
      <c r="AN68" s="62">
        <f ca="1">AVERAGE(OFFSET($AM$3,0,0,'Données projet'!$E$10+1,1))-AVERAGE(OFFSET($H$3,0,0,'Données projet'!$E$10+1,1))</f>
        <v>223.81948236065614</v>
      </c>
      <c r="AO68" s="62">
        <f t="shared" si="36"/>
        <v>320.1204011431372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1.5364906273839347</v>
      </c>
      <c r="AV68" s="23">
        <f>EXP(-LN(2)/25)*AV67+(1-EXP(-LN(2)/25))/(LN(2)/25)*Calculateur!AQ68*Calculateur!AS68*VLOOKUP('Données projet'!$B$10,Paramètres!$A$1:$I$89,3,0)*0.475*44/12</f>
        <v>6.7041677331650522</v>
      </c>
      <c r="AW68" s="23">
        <f>EXP(-LN(2)/2)*AW67+(1-EXP(-LN(2)/2))/(LN(2)/2)*AQ68*AT68*VLOOKUP('Données projet'!$B$10,Paramètres!$A$1:$I$89,3,0)*0.475*44/12</f>
        <v>1.4981353857694221E-4</v>
      </c>
      <c r="AX68" s="23">
        <f t="shared" ref="AX68:AX131" si="60">SUM(AU68:AW68)</f>
        <v>8.2408081740875652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9.1999999999999993</v>
      </c>
      <c r="BD68" s="13">
        <f>IF('Données projet'!$A$88&gt;35,BD67+BC68-BL67,IF(A68&lt;'Données projet'!$A$88,$BA$205^A68,IF(A68='Données projet'!$A$88,'Données projet'!$B$88,BD67+BC68-BL67)))</f>
        <v>375.99999999999972</v>
      </c>
      <c r="BE68" s="14">
        <f>BD68*VLOOKUP('Données projet'!$B$11,Paramètres!$A$1:$I$89,3,0)*VLOOKUP('Données projet'!$B$11,Paramètres!$A$1:$I$89,5,0)</f>
        <v>224.84799999999984</v>
      </c>
      <c r="BF68" s="14">
        <f t="shared" si="37"/>
        <v>55.167234148809698</v>
      </c>
      <c r="BG68" s="22">
        <f t="shared" ref="BG68:BG131" si="61">(BE68+BF68)*0.475*44/12</f>
        <v>487.69319947584319</v>
      </c>
      <c r="BH68" s="62">
        <f t="shared" ref="BH68:BH131" si="62">BG68+(AY68+AZ68)*44/12</f>
        <v>781.0265328091765</v>
      </c>
      <c r="BI68" s="62">
        <f ca="1">AVERAGE(OFFSET($BH$3,0,0,'Données projet'!$E$11+1,1))-AVERAGE(OFFSET($H$3,0,0,'Données projet'!$E$11+1,1))</f>
        <v>216.94426559495264</v>
      </c>
      <c r="BJ68" s="62">
        <f t="shared" si="38"/>
        <v>225.33715877618704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4.868960408249416</v>
      </c>
      <c r="BR68" s="23">
        <f>EXP(-LN(2)/2)*BR67+(1-EXP(-LN(2)/2))/(LN(2)/2)*BL68*BO68*VLOOKUP('Données projet'!$B$11,Paramètres!$A$1:$I$89,3,0)*0.475*44/12</f>
        <v>1.2801507019037897E-4</v>
      </c>
      <c r="BS68" s="24">
        <f t="shared" ref="BS68:BS131" si="63">SUM(BP68:BR68)</f>
        <v>4.8690884233196066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</v>
      </c>
      <c r="N69" s="14">
        <f>IF('Données projet'!$A$36&gt;35,N68+M69-V68,IF(A69&lt;'Données projet'!$A$36,$K$205^A69,IF(A69='Données projet'!$A$36,'Données projet'!$B$36,N68+M69-V68)))</f>
        <v>235.00000000000017</v>
      </c>
      <c r="O69" s="14">
        <f>N69*VLOOKUP('Données projet'!$B$9,Paramètres!$A$1:$I$89,3,0)*VLOOKUP('Données projet'!$B$9,Paramètres!$A$1:$I$89,5,0)</f>
        <v>212.62800000000016</v>
      </c>
      <c r="P69" s="14">
        <f t="shared" ref="P69:P132" si="87">EXP(-1.0587+0.8836*LN(O69)+0.284)</f>
        <v>52.509453483719085</v>
      </c>
      <c r="Q69" s="22">
        <f t="shared" si="54"/>
        <v>461.78106481747767</v>
      </c>
      <c r="R69" s="62">
        <f t="shared" si="55"/>
        <v>755.11439815081098</v>
      </c>
      <c r="S69" s="62">
        <f ca="1">AVERAGE(OFFSET($R$3,0,0,'Données projet'!$E$9+1,1))-AVERAGE(OFFSET($H$3,0,0,'Données projet'!$E$9+1,1))</f>
        <v>237.22177246688199</v>
      </c>
      <c r="T69" s="62">
        <f t="shared" ref="T69:T132" si="88">$T$3</f>
        <v>149.27472147904302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1.1447472596278132</v>
      </c>
      <c r="AB69" s="23">
        <f>EXP(-LN(2)/2)*AB68+(1-EXP(-LN(2)/2))/(LN(2)/2)*V69*Y69*VLOOKUP('Données projet'!$B$9,Paramètres!$A$1:$I$89,3,0)*0.475*44/12</f>
        <v>2.3610488336290082E-5</v>
      </c>
      <c r="AC69" s="24">
        <f t="shared" si="57"/>
        <v>1.1447708701161494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4.9000000000000004</v>
      </c>
      <c r="AI69" s="14">
        <f>IF('Données projet'!$A$62&gt;35,AI68+AH69-AQ68,IF(A69&lt;'Données projet'!$A$62,$AF$205^A69,IF(A69='Données projet'!$A$62,'Données projet'!$B$62,AI68+AH69-AQ68)))</f>
        <v>227.4</v>
      </c>
      <c r="AJ69" s="14">
        <f>AI69*VLOOKUP('Données projet'!$B$10,Paramètres!$A$1:$I$89,3,0)*VLOOKUP('Données projet'!$B$10,Paramètres!$A$1:$I$89,5,0)</f>
        <v>198.65664000000001</v>
      </c>
      <c r="AK69" s="14">
        <f t="shared" ref="AK69:AK132" si="89">EXP(-1.0587+0.8836*LN(AJ69)+0.284)</f>
        <v>49.448822156743425</v>
      </c>
      <c r="AL69" s="22">
        <f t="shared" si="58"/>
        <v>432.11701325632816</v>
      </c>
      <c r="AM69" s="62">
        <f t="shared" si="59"/>
        <v>725.45034658966142</v>
      </c>
      <c r="AN69" s="62">
        <f ca="1">AVERAGE(OFFSET($AM$3,0,0,'Données projet'!$E$10+1,1))-AVERAGE(OFFSET($H$3,0,0,'Données projet'!$E$10+1,1))</f>
        <v>223.81948236065614</v>
      </c>
      <c r="AO69" s="62">
        <f t="shared" ref="AO69:AO132" si="90">$AO$3</f>
        <v>320.1204011431372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1.506360983347681</v>
      </c>
      <c r="AV69" s="23">
        <f>EXP(-LN(2)/25)*AV68+(1-EXP(-LN(2)/25))/(LN(2)/25)*Calculateur!AQ69*Calculateur!AS69*VLOOKUP('Données projet'!$B$10,Paramètres!$A$1:$I$89,3,0)*0.475*44/12</f>
        <v>6.5208419139447953</v>
      </c>
      <c r="AW69" s="23">
        <f>EXP(-LN(2)/2)*AW68+(1-EXP(-LN(2)/2))/(LN(2)/2)*AQ69*AT69*VLOOKUP('Données projet'!$B$10,Paramètres!$A$1:$I$89,3,0)*0.475*44/12</f>
        <v>1.0593416904130827E-4</v>
      </c>
      <c r="AX69" s="23">
        <f t="shared" si="60"/>
        <v>8.027308831461518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9.1999999999999993</v>
      </c>
      <c r="BD69" s="13">
        <f>IF('Données projet'!$A$88&gt;35,BD68+BC69-BL68,IF(A69&lt;'Données projet'!$A$88,$BA$205^A69,IF(A69='Données projet'!$A$88,'Données projet'!$B$88,BD68+BC69-BL68)))</f>
        <v>385.1999999999997</v>
      </c>
      <c r="BE69" s="14">
        <f>BD69*VLOOKUP('Données projet'!$B$11,Paramètres!$A$1:$I$89,3,0)*VLOOKUP('Données projet'!$B$11,Paramètres!$A$1:$I$89,5,0)</f>
        <v>230.34959999999984</v>
      </c>
      <c r="BF69" s="14">
        <f t="shared" ref="BF69:BF132" si="91">EXP(-1.0587+0.8836*LN(BE69)+0.284)</f>
        <v>56.358266541426261</v>
      </c>
      <c r="BG69" s="22">
        <f t="shared" si="61"/>
        <v>499.34953422631708</v>
      </c>
      <c r="BH69" s="62">
        <f t="shared" si="62"/>
        <v>792.68286755965039</v>
      </c>
      <c r="BI69" s="62">
        <f ca="1">AVERAGE(OFFSET($BH$3,0,0,'Données projet'!$E$11+1,1))-AVERAGE(OFFSET($H$3,0,0,'Données projet'!$E$11+1,1))</f>
        <v>216.94426559495264</v>
      </c>
      <c r="BJ69" s="62">
        <f t="shared" ref="BJ69:BJ132" si="92">$BJ$3</f>
        <v>225.33715877618704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4.7358184298383357</v>
      </c>
      <c r="BR69" s="23">
        <f>EXP(-LN(2)/2)*BR68+(1-EXP(-LN(2)/2))/(LN(2)/2)*BL69*BO69*VLOOKUP('Données projet'!$B$11,Paramètres!$A$1:$I$89,3,0)*0.475*44/12</f>
        <v>9.0520324225688826E-5</v>
      </c>
      <c r="BS69" s="24">
        <f t="shared" si="63"/>
        <v>4.7359089501625613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</v>
      </c>
      <c r="N70" s="14">
        <f>IF('Données projet'!$A$36&gt;35,N69+M70-V69,IF(A70&lt;'Données projet'!$A$36,$K$205^A70,IF(A70='Données projet'!$A$36,'Données projet'!$B$36,N69+M70-V69)))</f>
        <v>242.00000000000017</v>
      </c>
      <c r="O70" s="14">
        <f>N70*VLOOKUP('Données projet'!$B$9,Paramètres!$A$1:$I$89,3,0)*VLOOKUP('Données projet'!$B$9,Paramètres!$A$1:$I$89,5,0)</f>
        <v>218.96160000000017</v>
      </c>
      <c r="P70" s="14">
        <f t="shared" si="87"/>
        <v>53.889132503707479</v>
      </c>
      <c r="Q70" s="22">
        <f t="shared" si="54"/>
        <v>475.2150257772908</v>
      </c>
      <c r="R70" s="62">
        <f t="shared" si="55"/>
        <v>768.54835911062412</v>
      </c>
      <c r="S70" s="62">
        <f ca="1">AVERAGE(OFFSET($R$3,0,0,'Données projet'!$E$9+1,1))-AVERAGE(OFFSET($H$3,0,0,'Données projet'!$E$9+1,1))</f>
        <v>237.22177246688199</v>
      </c>
      <c r="T70" s="62">
        <f t="shared" si="88"/>
        <v>149.27472147904302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1.1134440856136487</v>
      </c>
      <c r="AB70" s="23">
        <f>EXP(-LN(2)/2)*AB69+(1-EXP(-LN(2)/2))/(LN(2)/2)*V70*Y70*VLOOKUP('Données projet'!$B$9,Paramètres!$A$1:$I$89,3,0)*0.475*44/12</f>
        <v>1.6695136409716603E-5</v>
      </c>
      <c r="AC70" s="24">
        <f t="shared" si="57"/>
        <v>1.1134607807500585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4.9000000000000004</v>
      </c>
      <c r="AI70" s="14">
        <f>IF('Données projet'!$A$62&gt;35,AI69+AH70-AQ69,IF(A70&lt;'Données projet'!$A$62,$AF$205^A70,IF(A70='Données projet'!$A$62,'Données projet'!$B$62,AI69+AH70-AQ69)))</f>
        <v>232.3</v>
      </c>
      <c r="AJ70" s="14">
        <f>AI70*VLOOKUP('Données projet'!$B$10,Paramètres!$A$1:$I$89,3,0)*VLOOKUP('Données projet'!$B$10,Paramètres!$A$1:$I$89,5,0)</f>
        <v>202.93728000000004</v>
      </c>
      <c r="AK70" s="14">
        <f t="shared" si="89"/>
        <v>50.389144197364736</v>
      </c>
      <c r="AL70" s="22">
        <f t="shared" si="58"/>
        <v>441.21018881041033</v>
      </c>
      <c r="AM70" s="62">
        <f t="shared" si="59"/>
        <v>734.54352214374364</v>
      </c>
      <c r="AN70" s="62">
        <f ca="1">AVERAGE(OFFSET($AM$3,0,0,'Données projet'!$E$10+1,1))-AVERAGE(OFFSET($H$3,0,0,'Données projet'!$E$10+1,1))</f>
        <v>223.81948236065614</v>
      </c>
      <c r="AO70" s="62">
        <f t="shared" si="90"/>
        <v>320.1204011431372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1.47682216325371</v>
      </c>
      <c r="AV70" s="23">
        <f>EXP(-LN(2)/25)*AV69+(1-EXP(-LN(2)/25))/(LN(2)/25)*Calculateur!AQ70*Calculateur!AS70*VLOOKUP('Données projet'!$B$10,Paramètres!$A$1:$I$89,3,0)*0.475*44/12</f>
        <v>6.3425291488918019</v>
      </c>
      <c r="AW70" s="23">
        <f>EXP(-LN(2)/2)*AW69+(1-EXP(-LN(2)/2))/(LN(2)/2)*AQ70*AT70*VLOOKUP('Données projet'!$B$10,Paramètres!$A$1:$I$89,3,0)*0.475*44/12</f>
        <v>7.4906769288471105E-5</v>
      </c>
      <c r="AX70" s="23">
        <f t="shared" si="60"/>
        <v>7.8194262189148009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9.1999999999999993</v>
      </c>
      <c r="BD70" s="13">
        <f>IF('Données projet'!$A$88&gt;35,BD69+BC70-BL69,IF(A70&lt;'Données projet'!$A$88,$BA$205^A70,IF(A70='Données projet'!$A$88,'Données projet'!$B$88,BD69+BC70-BL69)))</f>
        <v>394.39999999999969</v>
      </c>
      <c r="BE70" s="14">
        <f>BD70*VLOOKUP('Données projet'!$B$11,Paramètres!$A$1:$I$89,3,0)*VLOOKUP('Données projet'!$B$11,Paramètres!$A$1:$I$89,5,0)</f>
        <v>235.85119999999984</v>
      </c>
      <c r="BF70" s="14">
        <f t="shared" si="91"/>
        <v>57.545992055843016</v>
      </c>
      <c r="BG70" s="22">
        <f t="shared" si="61"/>
        <v>511.0001094972597</v>
      </c>
      <c r="BH70" s="62">
        <f t="shared" si="62"/>
        <v>804.33344283059296</v>
      </c>
      <c r="BI70" s="62">
        <f ca="1">AVERAGE(OFFSET($BH$3,0,0,'Données projet'!$E$11+1,1))-AVERAGE(OFFSET($H$3,0,0,'Données projet'!$E$11+1,1))</f>
        <v>216.94426559495264</v>
      </c>
      <c r="BJ70" s="62">
        <f t="shared" si="92"/>
        <v>225.33715877618704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4.6063172258285388</v>
      </c>
      <c r="BR70" s="23">
        <f>EXP(-LN(2)/2)*BR69+(1-EXP(-LN(2)/2))/(LN(2)/2)*BL70*BO70*VLOOKUP('Données projet'!$B$11,Paramètres!$A$1:$I$89,3,0)*0.475*44/12</f>
        <v>6.4007535095189484E-5</v>
      </c>
      <c r="BS70" s="24">
        <f t="shared" si="63"/>
        <v>4.606381233363634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</v>
      </c>
      <c r="N71" s="14">
        <f>IF('Données projet'!$A$36&gt;35,N70+M71-V70,IF(A71&lt;'Données projet'!$A$36,$K$205^A71,IF(A71='Données projet'!$A$36,'Données projet'!$B$36,N70+M71-V70)))</f>
        <v>249.00000000000017</v>
      </c>
      <c r="O71" s="14">
        <f>N71*VLOOKUP('Données projet'!$B$9,Paramètres!$A$1:$I$89,3,0)*VLOOKUP('Données projet'!$B$9,Paramètres!$A$1:$I$89,5,0)</f>
        <v>225.29520000000016</v>
      </c>
      <c r="P71" s="14">
        <f t="shared" si="87"/>
        <v>55.264173352293128</v>
      </c>
      <c r="Q71" s="22">
        <f t="shared" si="54"/>
        <v>488.64090858857736</v>
      </c>
      <c r="R71" s="62">
        <f t="shared" si="55"/>
        <v>781.97424192191068</v>
      </c>
      <c r="S71" s="62">
        <f ca="1">AVERAGE(OFFSET($R$3,0,0,'Données projet'!$E$9+1,1))-AVERAGE(OFFSET($H$3,0,0,'Données projet'!$E$9+1,1))</f>
        <v>237.22177246688199</v>
      </c>
      <c r="T71" s="62">
        <f t="shared" si="88"/>
        <v>149.27472147904302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1.0829968985390639</v>
      </c>
      <c r="AB71" s="23">
        <f>EXP(-LN(2)/2)*AB70+(1-EXP(-LN(2)/2))/(LN(2)/2)*V71*Y71*VLOOKUP('Données projet'!$B$9,Paramètres!$A$1:$I$89,3,0)*0.475*44/12</f>
        <v>1.1805244168145041E-5</v>
      </c>
      <c r="AC71" s="24">
        <f t="shared" si="57"/>
        <v>1.0830087037832321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4.9000000000000004</v>
      </c>
      <c r="AI71" s="14">
        <f>IF('Données projet'!$A$62&gt;35,AI70+AH71-AQ70,IF(A71&lt;'Données projet'!$A$62,$AF$205^A71,IF(A71='Données projet'!$A$62,'Données projet'!$B$62,AI70+AH71-AQ70)))</f>
        <v>237.20000000000002</v>
      </c>
      <c r="AJ71" s="14">
        <f>AI71*VLOOKUP('Données projet'!$B$10,Paramètres!$A$1:$I$89,3,0)*VLOOKUP('Données projet'!$B$10,Paramètres!$A$1:$I$89,5,0)</f>
        <v>207.21792000000005</v>
      </c>
      <c r="AK71" s="14">
        <f t="shared" si="89"/>
        <v>51.327160141561521</v>
      </c>
      <c r="AL71" s="22">
        <f t="shared" si="58"/>
        <v>450.29934791321972</v>
      </c>
      <c r="AM71" s="62">
        <f t="shared" si="59"/>
        <v>743.63268124655303</v>
      </c>
      <c r="AN71" s="62">
        <f ca="1">AVERAGE(OFFSET($AM$3,0,0,'Données projet'!$E$10+1,1))-AVERAGE(OFFSET($H$3,0,0,'Données projet'!$E$10+1,1))</f>
        <v>223.81948236065614</v>
      </c>
      <c r="AO71" s="62">
        <f t="shared" si="90"/>
        <v>320.1204011431372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1.4478625814048804</v>
      </c>
      <c r="AV71" s="23">
        <f>EXP(-LN(2)/25)*AV70+(1-EXP(-LN(2)/25))/(LN(2)/25)*Calculateur!AQ71*Calculateur!AS71*VLOOKUP('Données projet'!$B$10,Paramètres!$A$1:$I$89,3,0)*0.475*44/12</f>
        <v>6.169092355776244</v>
      </c>
      <c r="AW71" s="23">
        <f>EXP(-LN(2)/2)*AW70+(1-EXP(-LN(2)/2))/(LN(2)/2)*AQ71*AT71*VLOOKUP('Données projet'!$B$10,Paramètres!$A$1:$I$89,3,0)*0.475*44/12</f>
        <v>5.2967084520654137E-5</v>
      </c>
      <c r="AX71" s="23">
        <f t="shared" si="60"/>
        <v>7.6170079042656456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9.1999999999999993</v>
      </c>
      <c r="BD71" s="13">
        <f>IF('Données projet'!$A$88&gt;35,BD70+BC71-BL70,IF(A71&lt;'Données projet'!$A$88,$BA$205^A71,IF(A71='Données projet'!$A$88,'Données projet'!$B$88,BD70+BC71-BL70)))</f>
        <v>403.59999999999968</v>
      </c>
      <c r="BE71" s="14">
        <f>BD71*VLOOKUP('Données projet'!$B$11,Paramètres!$A$1:$I$89,3,0)*VLOOKUP('Données projet'!$B$11,Paramètres!$A$1:$I$89,5,0)</f>
        <v>241.35279999999983</v>
      </c>
      <c r="BF71" s="14">
        <f t="shared" si="91"/>
        <v>58.730496708031964</v>
      </c>
      <c r="BG71" s="22">
        <f t="shared" si="61"/>
        <v>522.64507509982207</v>
      </c>
      <c r="BH71" s="62">
        <f t="shared" si="62"/>
        <v>815.97840843315544</v>
      </c>
      <c r="BI71" s="62">
        <f ca="1">AVERAGE(OFFSET($BH$3,0,0,'Données projet'!$E$11+1,1))-AVERAGE(OFFSET($H$3,0,0,'Données projet'!$E$11+1,1))</f>
        <v>216.94426559495264</v>
      </c>
      <c r="BJ71" s="62">
        <f t="shared" si="92"/>
        <v>225.33715877618704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4.4803572390525623</v>
      </c>
      <c r="BR71" s="23">
        <f>EXP(-LN(2)/2)*BR70+(1-EXP(-LN(2)/2))/(LN(2)/2)*BL71*BO71*VLOOKUP('Données projet'!$B$11,Paramètres!$A$1:$I$89,3,0)*0.475*44/12</f>
        <v>4.5260162112844413E-5</v>
      </c>
      <c r="BS71" s="24">
        <f t="shared" si="63"/>
        <v>4.4804024992146756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</v>
      </c>
      <c r="N72" s="14">
        <f>IF('Données projet'!$A$36&gt;35,N71+M72-V71,IF(A72&lt;'Données projet'!$A$36,$K$205^A72,IF(A72='Données projet'!$A$36,'Données projet'!$B$36,N71+M72-V71)))</f>
        <v>256.00000000000017</v>
      </c>
      <c r="O72" s="14">
        <f>N72*VLOOKUP('Données projet'!$B$9,Paramètres!$A$1:$I$89,3,0)*VLOOKUP('Données projet'!$B$9,Paramètres!$A$1:$I$89,5,0)</f>
        <v>231.62880000000013</v>
      </c>
      <c r="P72" s="14">
        <f t="shared" si="87"/>
        <v>56.63472139815827</v>
      </c>
      <c r="Q72" s="22">
        <f t="shared" si="54"/>
        <v>502.0589664351258</v>
      </c>
      <c r="R72" s="62">
        <f t="shared" si="55"/>
        <v>795.39229976845911</v>
      </c>
      <c r="S72" s="62">
        <f ca="1">AVERAGE(OFFSET($R$3,0,0,'Données projet'!$E$9+1,1))-AVERAGE(OFFSET($H$3,0,0,'Données projet'!$E$9+1,1))</f>
        <v>237.22177246688199</v>
      </c>
      <c r="T72" s="62">
        <f t="shared" si="88"/>
        <v>149.27472147904302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1.0533822913961814</v>
      </c>
      <c r="AB72" s="23">
        <f>EXP(-LN(2)/2)*AB71+(1-EXP(-LN(2)/2))/(LN(2)/2)*V72*Y72*VLOOKUP('Données projet'!$B$9,Paramètres!$A$1:$I$89,3,0)*0.475*44/12</f>
        <v>8.3475682048583016E-6</v>
      </c>
      <c r="AC72" s="24">
        <f t="shared" si="57"/>
        <v>1.0533906389643863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4.9000000000000004</v>
      </c>
      <c r="AI72" s="14">
        <f>IF('Données projet'!$A$62&gt;35,AI71+AH72-AQ71,IF(A72&lt;'Données projet'!$A$62,$AF$205^A72,IF(A72='Données projet'!$A$62,'Données projet'!$B$62,AI71+AH72-AQ71)))</f>
        <v>242.10000000000002</v>
      </c>
      <c r="AJ72" s="14">
        <f>AI72*VLOOKUP('Données projet'!$B$10,Paramètres!$A$1:$I$89,3,0)*VLOOKUP('Données projet'!$B$10,Paramètres!$A$1:$I$89,5,0)</f>
        <v>211.49856000000005</v>
      </c>
      <c r="AK72" s="14">
        <f t="shared" si="89"/>
        <v>52.262923116788812</v>
      </c>
      <c r="AL72" s="22">
        <f t="shared" si="58"/>
        <v>459.38458309507399</v>
      </c>
      <c r="AM72" s="62">
        <f t="shared" si="59"/>
        <v>752.71791642840731</v>
      </c>
      <c r="AN72" s="62">
        <f ca="1">AVERAGE(OFFSET($AM$3,0,0,'Données projet'!$E$10+1,1))-AVERAGE(OFFSET($H$3,0,0,'Données projet'!$E$10+1,1))</f>
        <v>223.81948236065614</v>
      </c>
      <c r="AO72" s="62">
        <f t="shared" si="90"/>
        <v>320.1204011431372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1.4194708792925057</v>
      </c>
      <c r="AV72" s="23">
        <f>EXP(-LN(2)/25)*AV71+(1-EXP(-LN(2)/25))/(LN(2)/25)*Calculateur!AQ72*Calculateur!AS72*VLOOKUP('Données projet'!$B$10,Paramètres!$A$1:$I$89,3,0)*0.475*44/12</f>
        <v>6.0003982008890757</v>
      </c>
      <c r="AW72" s="23">
        <f>EXP(-LN(2)/2)*AW71+(1-EXP(-LN(2)/2))/(LN(2)/2)*AQ72*AT72*VLOOKUP('Données projet'!$B$10,Paramètres!$A$1:$I$89,3,0)*0.475*44/12</f>
        <v>3.7453384644235552E-5</v>
      </c>
      <c r="AX72" s="23">
        <f t="shared" si="60"/>
        <v>7.419906533566226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9.1999999999999993</v>
      </c>
      <c r="BD72" s="13">
        <f>IF('Données projet'!$A$88&gt;35,BD71+BC72-BL71,IF(A72&lt;'Données projet'!$A$88,$BA$205^A72,IF(A72='Données projet'!$A$88,'Données projet'!$B$88,BD71+BC72-BL71)))</f>
        <v>412.79999999999967</v>
      </c>
      <c r="BE72" s="14">
        <f>BD72*VLOOKUP('Données projet'!$B$11,Paramètres!$A$1:$I$89,3,0)*VLOOKUP('Données projet'!$B$11,Paramètres!$A$1:$I$89,5,0)</f>
        <v>246.85439999999983</v>
      </c>
      <c r="BF72" s="14">
        <f t="shared" si="91"/>
        <v>59.911862368716115</v>
      </c>
      <c r="BG72" s="22">
        <f t="shared" si="61"/>
        <v>534.28457362551364</v>
      </c>
      <c r="BH72" s="62">
        <f t="shared" si="62"/>
        <v>827.61790695884702</v>
      </c>
      <c r="BI72" s="62">
        <f ca="1">AVERAGE(OFFSET($BH$3,0,0,'Données projet'!$E$11+1,1))-AVERAGE(OFFSET($H$3,0,0,'Données projet'!$E$11+1,1))</f>
        <v>216.94426559495264</v>
      </c>
      <c r="BJ72" s="62">
        <f t="shared" si="92"/>
        <v>225.33715877618704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4.3578416347389224</v>
      </c>
      <c r="BR72" s="23">
        <f>EXP(-LN(2)/2)*BR71+(1-EXP(-LN(2)/2))/(LN(2)/2)*BL72*BO72*VLOOKUP('Données projet'!$B$11,Paramètres!$A$1:$I$89,3,0)*0.475*44/12</f>
        <v>3.2003767547594742E-5</v>
      </c>
      <c r="BS72" s="24">
        <f t="shared" si="63"/>
        <v>4.3578736385064696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7</v>
      </c>
      <c r="M73" s="13">
        <f t="array" ref="M73">INDEX(L:L,MIN(IF(ISNUMBER(L73:L269),ROW(L73:L269),"")))</f>
        <v>7</v>
      </c>
      <c r="N73" s="14">
        <f>IF('Données projet'!$A$36&gt;35,N72+M73-V72,IF(A73&lt;'Données projet'!$A$36,$K$205^A73,IF(A73='Données projet'!$A$36,'Données projet'!$B$36,N72+M73-V72)))</f>
        <v>263.00000000000017</v>
      </c>
      <c r="O73" s="14">
        <f>N73*VLOOKUP('Données projet'!$B$9,Paramètres!$A$1:$I$89,3,0)*VLOOKUP('Données projet'!$B$9,Paramètres!$A$1:$I$89,5,0)</f>
        <v>237.96240000000012</v>
      </c>
      <c r="P73" s="14">
        <f t="shared" si="87"/>
        <v>58.000913607663399</v>
      </c>
      <c r="Q73" s="22">
        <f t="shared" si="54"/>
        <v>515.46943786668055</v>
      </c>
      <c r="R73" s="62">
        <f t="shared" si="55"/>
        <v>808.80277120001392</v>
      </c>
      <c r="S73" s="62">
        <f ca="1">AVERAGE(OFFSET($R$3,0,0,'Données projet'!$E$9+1,1))-AVERAGE(OFFSET($H$3,0,0,'Données projet'!$E$9+1,1))</f>
        <v>237.22177246688199</v>
      </c>
      <c r="T73" s="62">
        <f t="shared" si="88"/>
        <v>149.27472147904302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1.0245774972429857</v>
      </c>
      <c r="AB73" s="23">
        <f>EXP(-LN(2)/2)*AB72+(1-EXP(-LN(2)/2))/(LN(2)/2)*V73*Y73*VLOOKUP('Données projet'!$B$9,Paramètres!$A$1:$I$89,3,0)*0.475*44/12</f>
        <v>5.9026220840725205E-6</v>
      </c>
      <c r="AC73" s="24">
        <f t="shared" si="57"/>
        <v>1.0245833998650697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247</v>
      </c>
      <c r="AG73" s="13">
        <f>VLOOKUP(A73,'Données projet'!$A$61:$I$81,9,0)</f>
        <v>4.9000000000000004</v>
      </c>
      <c r="AH73" s="13">
        <f t="array" ref="AH73">INDEX(AG:AG,MIN(IF(ISNUMBER(AG73:AG269),ROW(AG73:AG269),"")))</f>
        <v>4.9000000000000004</v>
      </c>
      <c r="AI73" s="14">
        <f>IF('Données projet'!$A$62&gt;35,AI72+AH73-AQ72,IF(A73&lt;'Données projet'!$A$62,$AF$205^A73,IF(A73='Données projet'!$A$62,'Données projet'!$B$62,AI72+AH73-AQ72)))</f>
        <v>247.00000000000003</v>
      </c>
      <c r="AJ73" s="14">
        <f>AI73*VLOOKUP('Données projet'!$B$10,Paramètres!$A$1:$I$89,3,0)*VLOOKUP('Données projet'!$B$10,Paramètres!$A$1:$I$89,5,0)</f>
        <v>215.77920000000003</v>
      </c>
      <c r="AK73" s="14">
        <f t="shared" si="89"/>
        <v>53.196483976998607</v>
      </c>
      <c r="AL73" s="22">
        <f t="shared" si="58"/>
        <v>468.46598292660593</v>
      </c>
      <c r="AM73" s="62">
        <f t="shared" si="59"/>
        <v>761.79931625993925</v>
      </c>
      <c r="AN73" s="62">
        <f ca="1">AVERAGE(OFFSET($AM$3,0,0,'Données projet'!$E$10+1,1))-AVERAGE(OFFSET($H$3,0,0,'Données projet'!$E$10+1,1))</f>
        <v>223.81948236065614</v>
      </c>
      <c r="AO73" s="62">
        <f t="shared" si="90"/>
        <v>320.1204011431372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37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1.3916359211413263</v>
      </c>
      <c r="AV73" s="23">
        <f>EXP(-LN(2)/25)*AV72+(1-EXP(-LN(2)/25))/(LN(2)/25)*Calculateur!AQ73*Calculateur!AS73*VLOOKUP('Données projet'!$B$10,Paramètres!$A$1:$I$89,3,0)*0.475*44/12</f>
        <v>5.8363169965385371</v>
      </c>
      <c r="AW73" s="23">
        <f>EXP(-LN(2)/2)*AW72+(1-EXP(-LN(2)/2))/(LN(2)/2)*AQ73*AT73*VLOOKUP('Données projet'!$B$10,Paramètres!$A$1:$I$89,3,0)*0.475*44/12</f>
        <v>2.6483542260327068E-5</v>
      </c>
      <c r="AX73" s="23">
        <f t="shared" si="60"/>
        <v>7.2279794012221235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422</v>
      </c>
      <c r="BB73" s="13">
        <f>VLOOKUP(A73,'Données projet'!$A$87:$I$107,9,0)</f>
        <v>9.1999999999999993</v>
      </c>
      <c r="BC73" s="13">
        <f t="array" ref="BC73">INDEX(BB:BB,MIN(IF(ISNUMBER(BB73:BB269),ROW(BB73:BB269),"")))</f>
        <v>9.1999999999999993</v>
      </c>
      <c r="BD73" s="13">
        <f>IF('Données projet'!$A$88&gt;35,BD72+BC73-BL72,IF(A73&lt;'Données projet'!$A$88,$BA$205^A73,IF(A73='Données projet'!$A$88,'Données projet'!$B$88,BD72+BC73-BL72)))</f>
        <v>421.99999999999966</v>
      </c>
      <c r="BE73" s="14">
        <f>BD73*VLOOKUP('Données projet'!$B$11,Paramètres!$A$1:$I$89,3,0)*VLOOKUP('Données projet'!$B$11,Paramètres!$A$1:$I$89,5,0)</f>
        <v>252.35599999999982</v>
      </c>
      <c r="BF73" s="14">
        <f t="shared" si="91"/>
        <v>61.090167050998701</v>
      </c>
      <c r="BG73" s="22">
        <f t="shared" si="61"/>
        <v>545.9187409471557</v>
      </c>
      <c r="BH73" s="62">
        <f t="shared" si="62"/>
        <v>839.25207428048907</v>
      </c>
      <c r="BI73" s="62">
        <f ca="1">AVERAGE(OFFSET($BH$3,0,0,'Données projet'!$E$11+1,1))-AVERAGE(OFFSET($H$3,0,0,'Données projet'!$E$11+1,1))</f>
        <v>216.94426559495264</v>
      </c>
      <c r="BJ73" s="62">
        <f t="shared" si="92"/>
        <v>225.33715877618704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44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4.2386762260680548</v>
      </c>
      <c r="BR73" s="23">
        <f>EXP(-LN(2)/2)*BR72+(1-EXP(-LN(2)/2))/(LN(2)/2)*BL73*BO73*VLOOKUP('Données projet'!$B$11,Paramètres!$A$1:$I$89,3,0)*0.475*44/12</f>
        <v>2.2630081056422206E-5</v>
      </c>
      <c r="BS73" s="24">
        <f t="shared" si="63"/>
        <v>4.238698856149111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6.1</v>
      </c>
      <c r="N74" s="14">
        <f>IF('Données projet'!$A$36&gt;35,N73+M74-V73,IF(A74&lt;'Données projet'!$A$36,$K$205^A74,IF(A74='Données projet'!$A$36,'Données projet'!$B$36,N73+M74-V73)))</f>
        <v>227.10000000000019</v>
      </c>
      <c r="O74" s="14">
        <f>N74*VLOOKUP('Données projet'!$B$9,Paramètres!$A$1:$I$89,3,0)*VLOOKUP('Données projet'!$B$9,Paramètres!$A$1:$I$89,5,0)</f>
        <v>205.48008000000016</v>
      </c>
      <c r="P74" s="14">
        <f t="shared" si="87"/>
        <v>50.94662215818515</v>
      </c>
      <c r="Q74" s="22">
        <f t="shared" si="54"/>
        <v>446.6098395921727</v>
      </c>
      <c r="R74" s="62">
        <f t="shared" si="55"/>
        <v>739.94317292550602</v>
      </c>
      <c r="S74" s="62">
        <f ca="1">AVERAGE(OFFSET($R$3,0,0,'Données projet'!$E$9+1,1))-AVERAGE(OFFSET($H$3,0,0,'Données projet'!$E$9+1,1))</f>
        <v>237.22177246688199</v>
      </c>
      <c r="T74" s="62">
        <f t="shared" si="88"/>
        <v>149.27472147904302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0.99656037170068745</v>
      </c>
      <c r="AB74" s="23">
        <f>EXP(-LN(2)/2)*AB73+(1-EXP(-LN(2)/2))/(LN(2)/2)*V74*Y74*VLOOKUP('Données projet'!$B$9,Paramètres!$A$1:$I$89,3,0)*0.475*44/12</f>
        <v>4.1737841024291508E-6</v>
      </c>
      <c r="AC74" s="24">
        <f t="shared" si="57"/>
        <v>0.9965645454847899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3.7</v>
      </c>
      <c r="AI74" s="14">
        <f>IF('Données projet'!$A$62&gt;35,AI73+AH74-AQ73,IF(A74&lt;'Données projet'!$A$62,$AF$205^A74,IF(A74='Données projet'!$A$62,'Données projet'!$B$62,AI73+AH74-AQ73)))</f>
        <v>213.70000000000002</v>
      </c>
      <c r="AJ74" s="14">
        <f>AI74*VLOOKUP('Données projet'!$B$10,Paramètres!$A$1:$I$89,3,0)*VLOOKUP('Données projet'!$B$10,Paramètres!$A$1:$I$89,5,0)</f>
        <v>186.68832000000003</v>
      </c>
      <c r="AK74" s="14">
        <f t="shared" si="89"/>
        <v>46.80703983760791</v>
      </c>
      <c r="AL74" s="22">
        <f t="shared" si="58"/>
        <v>406.67108505050049</v>
      </c>
      <c r="AM74" s="62">
        <f t="shared" si="59"/>
        <v>700.00441838383381</v>
      </c>
      <c r="AN74" s="62">
        <f ca="1">AVERAGE(OFFSET($AM$3,0,0,'Données projet'!$E$10+1,1))-AVERAGE(OFFSET($H$3,0,0,'Données projet'!$E$10+1,1))</f>
        <v>223.81948236065614</v>
      </c>
      <c r="AO74" s="62">
        <f t="shared" si="90"/>
        <v>320.1204011431372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1.3643467895418433</v>
      </c>
      <c r="AV74" s="23">
        <f>EXP(-LN(2)/25)*AV73+(1-EXP(-LN(2)/25))/(LN(2)/25)*Calculateur!AQ74*Calculateur!AS74*VLOOKUP('Données projet'!$B$10,Paramètres!$A$1:$I$89,3,0)*0.475*44/12</f>
        <v>5.6767226013496188</v>
      </c>
      <c r="AW74" s="23">
        <f>EXP(-LN(2)/2)*AW73+(1-EXP(-LN(2)/2))/(LN(2)/2)*AQ74*AT74*VLOOKUP('Données projet'!$B$10,Paramètres!$A$1:$I$89,3,0)*0.475*44/12</f>
        <v>1.8726692322117776E-5</v>
      </c>
      <c r="AX74" s="23">
        <f t="shared" si="60"/>
        <v>7.0410881175837838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7.2</v>
      </c>
      <c r="BD74" s="13">
        <f>IF('Données projet'!$A$88&gt;35,BD73+BC74-BL73,IF(A74&lt;'Données projet'!$A$88,$BA$205^A74,IF(A74='Données projet'!$A$88,'Données projet'!$B$88,BD73+BC74-BL73)))</f>
        <v>385.19999999999965</v>
      </c>
      <c r="BE74" s="14">
        <f>BD74*VLOOKUP('Données projet'!$B$11,Paramètres!$A$1:$I$89,3,0)*VLOOKUP('Données projet'!$B$11,Paramètres!$A$1:$I$89,5,0)</f>
        <v>230.34959999999978</v>
      </c>
      <c r="BF74" s="14">
        <f t="shared" si="91"/>
        <v>56.358266541426261</v>
      </c>
      <c r="BG74" s="22">
        <f t="shared" si="61"/>
        <v>499.34953422631702</v>
      </c>
      <c r="BH74" s="62">
        <f t="shared" si="62"/>
        <v>792.68286755965028</v>
      </c>
      <c r="BI74" s="62">
        <f ca="1">AVERAGE(OFFSET($BH$3,0,0,'Données projet'!$E$11+1,1))-AVERAGE(OFFSET($H$3,0,0,'Données projet'!$E$11+1,1))</f>
        <v>216.94426559495264</v>
      </c>
      <c r="BJ74" s="62">
        <f t="shared" si="92"/>
        <v>225.33715877618704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4.1227694017639287</v>
      </c>
      <c r="BR74" s="23">
        <f>EXP(-LN(2)/2)*BR73+(1-EXP(-LN(2)/2))/(LN(2)/2)*BL74*BO74*VLOOKUP('Données projet'!$B$11,Paramètres!$A$1:$I$89,3,0)*0.475*44/12</f>
        <v>1.6001883773797371E-5</v>
      </c>
      <c r="BS74" s="24">
        <f t="shared" si="63"/>
        <v>4.1227854036477023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6.1</v>
      </c>
      <c r="N75" s="14">
        <f>IF('Données projet'!$A$36&gt;35,N74+M75-V74,IF(A75&lt;'Données projet'!$A$36,$K$205^A75,IF(A75='Données projet'!$A$36,'Données projet'!$B$36,N74+M75-V74)))</f>
        <v>233.20000000000019</v>
      </c>
      <c r="O75" s="14">
        <f>N75*VLOOKUP('Données projet'!$B$9,Paramètres!$A$1:$I$89,3,0)*VLOOKUP('Données projet'!$B$9,Paramètres!$A$1:$I$89,5,0)</f>
        <v>210.99936000000014</v>
      </c>
      <c r="P75" s="14">
        <f t="shared" si="87"/>
        <v>52.153910623486667</v>
      </c>
      <c r="Q75" s="22">
        <f t="shared" si="54"/>
        <v>458.32527966923953</v>
      </c>
      <c r="R75" s="62">
        <f t="shared" si="55"/>
        <v>751.65861300257279</v>
      </c>
      <c r="S75" s="62">
        <f ca="1">AVERAGE(OFFSET($R$3,0,0,'Données projet'!$E$9+1,1))-AVERAGE(OFFSET($H$3,0,0,'Données projet'!$E$9+1,1))</f>
        <v>237.22177246688199</v>
      </c>
      <c r="T75" s="62">
        <f t="shared" si="88"/>
        <v>149.27472147904302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0.9693093759296999</v>
      </c>
      <c r="AB75" s="23">
        <f>EXP(-LN(2)/2)*AB74+(1-EXP(-LN(2)/2))/(LN(2)/2)*V75*Y75*VLOOKUP('Données projet'!$B$9,Paramètres!$A$1:$I$89,3,0)*0.475*44/12</f>
        <v>2.9513110420362603E-6</v>
      </c>
      <c r="AC75" s="24">
        <f t="shared" si="57"/>
        <v>0.9693123272407419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3.7</v>
      </c>
      <c r="AI75" s="14">
        <f>IF('Données projet'!$A$62&gt;35,AI74+AH75-AQ74,IF(A75&lt;'Données projet'!$A$62,$AF$205^A75,IF(A75='Données projet'!$A$62,'Données projet'!$B$62,AI74+AH75-AQ74)))</f>
        <v>217.4</v>
      </c>
      <c r="AJ75" s="14">
        <f>AI75*VLOOKUP('Données projet'!$B$10,Paramètres!$A$1:$I$89,3,0)*VLOOKUP('Données projet'!$B$10,Paramètres!$A$1:$I$89,5,0)</f>
        <v>189.92064000000002</v>
      </c>
      <c r="AK75" s="14">
        <f t="shared" si="89"/>
        <v>47.522407055417723</v>
      </c>
      <c r="AL75" s="22">
        <f t="shared" si="58"/>
        <v>413.54664028818587</v>
      </c>
      <c r="AM75" s="62">
        <f t="shared" si="59"/>
        <v>706.87997362151918</v>
      </c>
      <c r="AN75" s="62">
        <f ca="1">AVERAGE(OFFSET($AM$3,0,0,'Données projet'!$E$10+1,1))-AVERAGE(OFFSET($H$3,0,0,'Données projet'!$E$10+1,1))</f>
        <v>223.81948236065614</v>
      </c>
      <c r="AO75" s="62">
        <f t="shared" si="90"/>
        <v>320.1204011431372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1.3375927811682995</v>
      </c>
      <c r="AV75" s="23">
        <f>EXP(-LN(2)/25)*AV74+(1-EXP(-LN(2)/25))/(LN(2)/25)*Calculateur!AQ75*Calculateur!AS75*VLOOKUP('Données projet'!$B$10,Paramètres!$A$1:$I$89,3,0)*0.475*44/12</f>
        <v>5.5214923232898458</v>
      </c>
      <c r="AW75" s="23">
        <f>EXP(-LN(2)/2)*AW74+(1-EXP(-LN(2)/2))/(LN(2)/2)*AQ75*AT75*VLOOKUP('Données projet'!$B$10,Paramètres!$A$1:$I$89,3,0)*0.475*44/12</f>
        <v>1.3241771130163534E-5</v>
      </c>
      <c r="AX75" s="23">
        <f t="shared" si="60"/>
        <v>6.8590983462292758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7.2</v>
      </c>
      <c r="BD75" s="13">
        <f>IF('Données projet'!$A$88&gt;35,BD74+BC75-BL74,IF(A75&lt;'Données projet'!$A$88,$BA$205^A75,IF(A75='Données projet'!$A$88,'Données projet'!$B$88,BD74+BC75-BL74)))</f>
        <v>392.39999999999964</v>
      </c>
      <c r="BE75" s="14">
        <f>BD75*VLOOKUP('Données projet'!$B$11,Paramètres!$A$1:$I$89,3,0)*VLOOKUP('Données projet'!$B$11,Paramètres!$A$1:$I$89,5,0)</f>
        <v>234.65519999999981</v>
      </c>
      <c r="BF75" s="14">
        <f t="shared" si="91"/>
        <v>57.288067746850942</v>
      </c>
      <c r="BG75" s="22">
        <f t="shared" si="61"/>
        <v>508.46785799243179</v>
      </c>
      <c r="BH75" s="62">
        <f t="shared" si="62"/>
        <v>801.8011913257651</v>
      </c>
      <c r="BI75" s="62">
        <f ca="1">AVERAGE(OFFSET($BH$3,0,0,'Données projet'!$E$11+1,1))-AVERAGE(OFFSET($H$3,0,0,'Données projet'!$E$11+1,1))</f>
        <v>216.94426559495264</v>
      </c>
      <c r="BJ75" s="62">
        <f t="shared" si="92"/>
        <v>225.33715877618704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4.0100320556656737</v>
      </c>
      <c r="BR75" s="23">
        <f>EXP(-LN(2)/2)*BR74+(1-EXP(-LN(2)/2))/(LN(2)/2)*BL75*BO75*VLOOKUP('Données projet'!$B$11,Paramètres!$A$1:$I$89,3,0)*0.475*44/12</f>
        <v>1.1315040528211103E-5</v>
      </c>
      <c r="BS75" s="24">
        <f t="shared" si="63"/>
        <v>4.0100433707062022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6.1</v>
      </c>
      <c r="N76" s="14">
        <f>IF('Données projet'!$A$36&gt;35,N75+M76-V75,IF(A76&lt;'Données projet'!$A$36,$K$205^A76,IF(A76='Données projet'!$A$36,'Données projet'!$B$36,N75+M76-V75)))</f>
        <v>239.30000000000018</v>
      </c>
      <c r="O76" s="14">
        <f>N76*VLOOKUP('Données projet'!$B$9,Paramètres!$A$1:$I$89,3,0)*VLOOKUP('Données projet'!$B$9,Paramètres!$A$1:$I$89,5,0)</f>
        <v>216.51864000000015</v>
      </c>
      <c r="P76" s="14">
        <f t="shared" si="87"/>
        <v>53.357528323079173</v>
      </c>
      <c r="Q76" s="22">
        <f t="shared" si="54"/>
        <v>470.03432649602973</v>
      </c>
      <c r="R76" s="62">
        <f t="shared" si="55"/>
        <v>763.36765982936299</v>
      </c>
      <c r="S76" s="62">
        <f ca="1">AVERAGE(OFFSET($R$3,0,0,'Données projet'!$E$9+1,1))-AVERAGE(OFFSET($H$3,0,0,'Données projet'!$E$9+1,1))</f>
        <v>237.22177246688199</v>
      </c>
      <c r="T76" s="62">
        <f t="shared" si="88"/>
        <v>149.27472147904302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0.94280356007113753</v>
      </c>
      <c r="AB76" s="23">
        <f>EXP(-LN(2)/2)*AB75+(1-EXP(-LN(2)/2))/(LN(2)/2)*V76*Y76*VLOOKUP('Données projet'!$B$9,Paramètres!$A$1:$I$89,3,0)*0.475*44/12</f>
        <v>2.0868920512145754E-6</v>
      </c>
      <c r="AC76" s="24">
        <f t="shared" si="57"/>
        <v>0.94280564696318869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3.7</v>
      </c>
      <c r="AI76" s="14">
        <f>IF('Données projet'!$A$62&gt;35,AI75+AH76-AQ75,IF(A76&lt;'Données projet'!$A$62,$AF$205^A76,IF(A76='Données projet'!$A$62,'Données projet'!$B$62,AI75+AH76-AQ75)))</f>
        <v>221.1</v>
      </c>
      <c r="AJ76" s="14">
        <f>AI76*VLOOKUP('Données projet'!$B$10,Paramètres!$A$1:$I$89,3,0)*VLOOKUP('Données projet'!$B$10,Paramètres!$A$1:$I$89,5,0)</f>
        <v>193.15296000000001</v>
      </c>
      <c r="AK76" s="14">
        <f t="shared" si="89"/>
        <v>48.236358426448142</v>
      </c>
      <c r="AL76" s="22">
        <f t="shared" si="58"/>
        <v>420.41972959273056</v>
      </c>
      <c r="AM76" s="62">
        <f t="shared" si="59"/>
        <v>713.75306292606388</v>
      </c>
      <c r="AN76" s="62">
        <f ca="1">AVERAGE(OFFSET($AM$3,0,0,'Données projet'!$E$10+1,1))-AVERAGE(OFFSET($H$3,0,0,'Données projet'!$E$10+1,1))</f>
        <v>223.81948236065614</v>
      </c>
      <c r="AO76" s="62">
        <f t="shared" si="90"/>
        <v>320.1204011431372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1.3113634025806271</v>
      </c>
      <c r="AV76" s="23">
        <f>EXP(-LN(2)/25)*AV75+(1-EXP(-LN(2)/25))/(LN(2)/25)*Calculateur!AQ76*Calculateur!AS76*VLOOKUP('Données projet'!$B$10,Paramètres!$A$1:$I$89,3,0)*0.475*44/12</f>
        <v>5.3705068253468236</v>
      </c>
      <c r="AW76" s="23">
        <f>EXP(-LN(2)/2)*AW75+(1-EXP(-LN(2)/2))/(LN(2)/2)*AQ76*AT76*VLOOKUP('Données projet'!$B$10,Paramètres!$A$1:$I$89,3,0)*0.475*44/12</f>
        <v>9.3633461610588881E-6</v>
      </c>
      <c r="AX76" s="23">
        <f t="shared" si="60"/>
        <v>6.6818795912736118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7.2</v>
      </c>
      <c r="BD76" s="13">
        <f>IF('Données projet'!$A$88&gt;35,BD75+BC76-BL75,IF(A76&lt;'Données projet'!$A$88,$BA$205^A76,IF(A76='Données projet'!$A$88,'Données projet'!$B$88,BD75+BC76-BL75)))</f>
        <v>399.59999999999962</v>
      </c>
      <c r="BE76" s="14">
        <f>BD76*VLOOKUP('Données projet'!$B$11,Paramètres!$A$1:$I$89,3,0)*VLOOKUP('Données projet'!$B$11,Paramètres!$A$1:$I$89,5,0)</f>
        <v>238.96079999999978</v>
      </c>
      <c r="BF76" s="14">
        <f t="shared" si="91"/>
        <v>58.215885103108292</v>
      </c>
      <c r="BG76" s="22">
        <f t="shared" si="61"/>
        <v>517.58272655457984</v>
      </c>
      <c r="BH76" s="62">
        <f t="shared" si="62"/>
        <v>810.91605988791321</v>
      </c>
      <c r="BI76" s="62">
        <f ca="1">AVERAGE(OFFSET($BH$3,0,0,'Données projet'!$E$11+1,1))-AVERAGE(OFFSET($H$3,0,0,'Données projet'!$E$11+1,1))</f>
        <v>216.94426559495264</v>
      </c>
      <c r="BJ76" s="62">
        <f t="shared" si="92"/>
        <v>225.33715877618704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3.9003775182250751</v>
      </c>
      <c r="BR76" s="23">
        <f>EXP(-LN(2)/2)*BR75+(1-EXP(-LN(2)/2))/(LN(2)/2)*BL76*BO76*VLOOKUP('Données projet'!$B$11,Paramètres!$A$1:$I$89,3,0)*0.475*44/12</f>
        <v>8.0009418868986855E-6</v>
      </c>
      <c r="BS76" s="24">
        <f t="shared" si="63"/>
        <v>3.9003855191669619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6.1</v>
      </c>
      <c r="N77" s="14">
        <f>IF('Données projet'!$A$36&gt;35,N76+M77-V76,IF(A77&lt;'Données projet'!$A$36,$K$205^A77,IF(A77='Données projet'!$A$36,'Données projet'!$B$36,N76+M77-V76)))</f>
        <v>245.40000000000018</v>
      </c>
      <c r="O77" s="14">
        <f>N77*VLOOKUP('Données projet'!$B$9,Paramètres!$A$1:$I$89,3,0)*VLOOKUP('Données projet'!$B$9,Paramètres!$A$1:$I$89,5,0)</f>
        <v>222.03792000000013</v>
      </c>
      <c r="P77" s="14">
        <f t="shared" si="87"/>
        <v>54.5575795882731</v>
      </c>
      <c r="Q77" s="22">
        <f t="shared" si="54"/>
        <v>481.7371617829092</v>
      </c>
      <c r="R77" s="62">
        <f t="shared" si="55"/>
        <v>775.07049511624245</v>
      </c>
      <c r="S77" s="62">
        <f ca="1">AVERAGE(OFFSET($R$3,0,0,'Données projet'!$E$9+1,1))-AVERAGE(OFFSET($H$3,0,0,'Données projet'!$E$9+1,1))</f>
        <v>237.22177246688199</v>
      </c>
      <c r="T77" s="62">
        <f t="shared" si="88"/>
        <v>149.27472147904302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0.91702254714110787</v>
      </c>
      <c r="AB77" s="23">
        <f>EXP(-LN(2)/2)*AB76+(1-EXP(-LN(2)/2))/(LN(2)/2)*V77*Y77*VLOOKUP('Données projet'!$B$9,Paramètres!$A$1:$I$89,3,0)*0.475*44/12</f>
        <v>1.4756555210181301E-6</v>
      </c>
      <c r="AC77" s="24">
        <f t="shared" si="57"/>
        <v>0.91702402279662887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3.7</v>
      </c>
      <c r="AI77" s="14">
        <f>IF('Données projet'!$A$62&gt;35,AI76+AH77-AQ76,IF(A77&lt;'Données projet'!$A$62,$AF$205^A77,IF(A77='Données projet'!$A$62,'Données projet'!$B$62,AI76+AH77-AQ76)))</f>
        <v>224.79999999999998</v>
      </c>
      <c r="AJ77" s="14">
        <f>AI77*VLOOKUP('Données projet'!$B$10,Paramètres!$A$1:$I$89,3,0)*VLOOKUP('Données projet'!$B$10,Paramètres!$A$1:$I$89,5,0)</f>
        <v>196.38528000000002</v>
      </c>
      <c r="AK77" s="14">
        <f t="shared" si="89"/>
        <v>48.948920378863868</v>
      </c>
      <c r="AL77" s="22">
        <f t="shared" si="58"/>
        <v>427.29039899318792</v>
      </c>
      <c r="AM77" s="62">
        <f t="shared" si="59"/>
        <v>720.62373232652124</v>
      </c>
      <c r="AN77" s="62">
        <f ca="1">AVERAGE(OFFSET($AM$3,0,0,'Données projet'!$E$10+1,1))-AVERAGE(OFFSET($H$3,0,0,'Données projet'!$E$10+1,1))</f>
        <v>223.81948236065614</v>
      </c>
      <c r="AO77" s="62">
        <f t="shared" si="90"/>
        <v>320.1204011431372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1.2856483661087177</v>
      </c>
      <c r="AV77" s="23">
        <f>EXP(-LN(2)/25)*AV76+(1-EXP(-LN(2)/25))/(LN(2)/25)*Calculateur!AQ77*Calculateur!AS77*VLOOKUP('Données projet'!$B$10,Paramètres!$A$1:$I$89,3,0)*0.475*44/12</f>
        <v>5.2236500337850353</v>
      </c>
      <c r="AW77" s="23">
        <f>EXP(-LN(2)/2)*AW76+(1-EXP(-LN(2)/2))/(LN(2)/2)*AQ77*AT77*VLOOKUP('Données projet'!$B$10,Paramètres!$A$1:$I$89,3,0)*0.475*44/12</f>
        <v>6.6208855650817671E-6</v>
      </c>
      <c r="AX77" s="23">
        <f t="shared" si="60"/>
        <v>6.5093050207793182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7.2</v>
      </c>
      <c r="BD77" s="13">
        <f>IF('Données projet'!$A$88&gt;35,BD76+BC77-BL76,IF(A77&lt;'Données projet'!$A$88,$BA$205^A77,IF(A77='Données projet'!$A$88,'Données projet'!$B$88,BD76+BC77-BL76)))</f>
        <v>406.79999999999961</v>
      </c>
      <c r="BE77" s="14">
        <f>BD77*VLOOKUP('Données projet'!$B$11,Paramètres!$A$1:$I$89,3,0)*VLOOKUP('Données projet'!$B$11,Paramètres!$A$1:$I$89,5,0)</f>
        <v>243.26639999999981</v>
      </c>
      <c r="BF77" s="14">
        <f t="shared" si="91"/>
        <v>59.141758478481755</v>
      </c>
      <c r="BG77" s="22">
        <f t="shared" si="61"/>
        <v>526.69420935002211</v>
      </c>
      <c r="BH77" s="62">
        <f t="shared" si="62"/>
        <v>820.02754268335548</v>
      </c>
      <c r="BI77" s="62">
        <f ca="1">AVERAGE(OFFSET($BH$3,0,0,'Données projet'!$E$11+1,1))-AVERAGE(OFFSET($H$3,0,0,'Données projet'!$E$11+1,1))</f>
        <v>216.94426559495264</v>
      </c>
      <c r="BJ77" s="62">
        <f t="shared" si="92"/>
        <v>225.33715877618704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3.7937214898772713</v>
      </c>
      <c r="BR77" s="23">
        <f>EXP(-LN(2)/2)*BR76+(1-EXP(-LN(2)/2))/(LN(2)/2)*BL77*BO77*VLOOKUP('Données projet'!$B$11,Paramètres!$A$1:$I$89,3,0)*0.475*44/12</f>
        <v>5.6575202641055516E-6</v>
      </c>
      <c r="BS77" s="24">
        <f t="shared" si="63"/>
        <v>3.7937271473975356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6.1</v>
      </c>
      <c r="N78" s="14">
        <f>IF('Données projet'!$A$36&gt;35,N77+M78-V77,IF(A78&lt;'Données projet'!$A$36,$K$205^A78,IF(A78='Données projet'!$A$36,'Données projet'!$B$36,N77+M78-V77)))</f>
        <v>251.50000000000017</v>
      </c>
      <c r="O78" s="14">
        <f>N78*VLOOKUP('Données projet'!$B$9,Paramètres!$A$1:$I$89,3,0)*VLOOKUP('Données projet'!$B$9,Paramètres!$A$1:$I$89,5,0)</f>
        <v>227.55720000000014</v>
      </c>
      <c r="P78" s="14">
        <f t="shared" si="87"/>
        <v>55.754163267932753</v>
      </c>
      <c r="Q78" s="22">
        <f t="shared" si="54"/>
        <v>493.43395769164982</v>
      </c>
      <c r="R78" s="62">
        <f t="shared" si="55"/>
        <v>786.76729102498314</v>
      </c>
      <c r="S78" s="62">
        <f ca="1">AVERAGE(OFFSET($R$3,0,0,'Données projet'!$E$9+1,1))-AVERAGE(OFFSET($H$3,0,0,'Données projet'!$E$9+1,1))</f>
        <v>237.22177246688199</v>
      </c>
      <c r="T78" s="62">
        <f t="shared" si="88"/>
        <v>149.27472147904302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0.89194651736541442</v>
      </c>
      <c r="AB78" s="23">
        <f>EXP(-LN(2)/2)*AB77+(1-EXP(-LN(2)/2))/(LN(2)/2)*V78*Y78*VLOOKUP('Données projet'!$B$9,Paramètres!$A$1:$I$89,3,0)*0.475*44/12</f>
        <v>1.0434460256072877E-6</v>
      </c>
      <c r="AC78" s="24">
        <f t="shared" si="57"/>
        <v>0.89194756081144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3.7</v>
      </c>
      <c r="AI78" s="14">
        <f>IF('Données projet'!$A$62&gt;35,AI77+AH78-AQ77,IF(A78&lt;'Données projet'!$A$62,$AF$205^A78,IF(A78='Données projet'!$A$62,'Données projet'!$B$62,AI77+AH78-AQ77)))</f>
        <v>228.49999999999997</v>
      </c>
      <c r="AJ78" s="14">
        <f>AI78*VLOOKUP('Données projet'!$B$10,Paramètres!$A$1:$I$89,3,0)*VLOOKUP('Données projet'!$B$10,Paramètres!$A$1:$I$89,5,0)</f>
        <v>199.61760000000001</v>
      </c>
      <c r="AK78" s="14">
        <f t="shared" si="89"/>
        <v>49.66011842098839</v>
      </c>
      <c r="AL78" s="22">
        <f t="shared" si="58"/>
        <v>434.1586929165548</v>
      </c>
      <c r="AM78" s="62">
        <f t="shared" si="59"/>
        <v>727.49202624988811</v>
      </c>
      <c r="AN78" s="62">
        <f ca="1">AVERAGE(OFFSET($AM$3,0,0,'Données projet'!$E$10+1,1))-AVERAGE(OFFSET($H$3,0,0,'Données projet'!$E$10+1,1))</f>
        <v>223.81948236065614</v>
      </c>
      <c r="AO78" s="62">
        <f t="shared" si="90"/>
        <v>320.1204011431372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1.2604375858173988</v>
      </c>
      <c r="AV78" s="23">
        <f>EXP(-LN(2)/25)*AV77+(1-EXP(-LN(2)/25))/(LN(2)/25)*Calculateur!AQ78*Calculateur!AS78*VLOOKUP('Données projet'!$B$10,Paramètres!$A$1:$I$89,3,0)*0.475*44/12</f>
        <v>5.0808090489113669</v>
      </c>
      <c r="AW78" s="23">
        <f>EXP(-LN(2)/2)*AW77+(1-EXP(-LN(2)/2))/(LN(2)/2)*AQ78*AT78*VLOOKUP('Données projet'!$B$10,Paramètres!$A$1:$I$89,3,0)*0.475*44/12</f>
        <v>4.6816730805294441E-6</v>
      </c>
      <c r="AX78" s="23">
        <f t="shared" si="60"/>
        <v>6.3412513164018458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7.2</v>
      </c>
      <c r="BD78" s="13">
        <f>IF('Données projet'!$A$88&gt;35,BD77+BC78-BL77,IF(A78&lt;'Données projet'!$A$88,$BA$205^A78,IF(A78='Données projet'!$A$88,'Données projet'!$B$88,BD77+BC78-BL77)))</f>
        <v>413.9999999999996</v>
      </c>
      <c r="BE78" s="14">
        <f>BD78*VLOOKUP('Données projet'!$B$11,Paramètres!$A$1:$I$89,3,0)*VLOOKUP('Données projet'!$B$11,Paramètres!$A$1:$I$89,5,0)</f>
        <v>247.57199999999978</v>
      </c>
      <c r="BF78" s="14">
        <f t="shared" si="91"/>
        <v>60.065726249156526</v>
      </c>
      <c r="BG78" s="22">
        <f t="shared" si="61"/>
        <v>535.80237321728055</v>
      </c>
      <c r="BH78" s="62">
        <f t="shared" si="62"/>
        <v>829.1357065506138</v>
      </c>
      <c r="BI78" s="62">
        <f ca="1">AVERAGE(OFFSET($BH$3,0,0,'Données projet'!$E$11+1,1))-AVERAGE(OFFSET($H$3,0,0,'Données projet'!$E$11+1,1))</f>
        <v>216.94426559495264</v>
      </c>
      <c r="BJ78" s="62">
        <f t="shared" si="92"/>
        <v>225.33715877618704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3.6899819762334349</v>
      </c>
      <c r="BR78" s="23">
        <f>EXP(-LN(2)/2)*BR77+(1-EXP(-LN(2)/2))/(LN(2)/2)*BL78*BO78*VLOOKUP('Données projet'!$B$11,Paramètres!$A$1:$I$89,3,0)*0.475*44/12</f>
        <v>4.0004709434493427E-6</v>
      </c>
      <c r="BS78" s="24">
        <f t="shared" si="63"/>
        <v>3.6899859767043783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6.1</v>
      </c>
      <c r="N79" s="14">
        <f>IF('Données projet'!$A$36&gt;35,N78+M79-V78,IF(A79&lt;'Données projet'!$A$36,$K$205^A79,IF(A79='Données projet'!$A$36,'Données projet'!$B$36,N78+M79-V78)))</f>
        <v>257.60000000000019</v>
      </c>
      <c r="O79" s="14">
        <f>N79*VLOOKUP('Données projet'!$B$9,Paramètres!$A$1:$I$89,3,0)*VLOOKUP('Données projet'!$B$9,Paramètres!$A$1:$I$89,5,0)</f>
        <v>233.07648000000017</v>
      </c>
      <c r="P79" s="14">
        <f t="shared" si="87"/>
        <v>56.947373142454929</v>
      </c>
      <c r="Q79" s="22">
        <f t="shared" si="54"/>
        <v>505.12487755644264</v>
      </c>
      <c r="R79" s="62">
        <f t="shared" si="55"/>
        <v>798.45821088977596</v>
      </c>
      <c r="S79" s="62">
        <f ca="1">AVERAGE(OFFSET($R$3,0,0,'Données projet'!$E$9+1,1))-AVERAGE(OFFSET($H$3,0,0,'Données projet'!$E$9+1,1))</f>
        <v>237.22177246688199</v>
      </c>
      <c r="T79" s="62">
        <f t="shared" si="88"/>
        <v>149.27472147904302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0.86755619294262842</v>
      </c>
      <c r="AB79" s="23">
        <f>EXP(-LN(2)/2)*AB78+(1-EXP(-LN(2)/2))/(LN(2)/2)*V79*Y79*VLOOKUP('Données projet'!$B$9,Paramètres!$A$1:$I$89,3,0)*0.475*44/12</f>
        <v>7.3782776050906506E-7</v>
      </c>
      <c r="AC79" s="24">
        <f t="shared" si="57"/>
        <v>0.86755693077038898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3.7</v>
      </c>
      <c r="AI79" s="14">
        <f>IF('Données projet'!$A$62&gt;35,AI78+AH79-AQ78,IF(A79&lt;'Données projet'!$A$62,$AF$205^A79,IF(A79='Données projet'!$A$62,'Données projet'!$B$62,AI78+AH79-AQ78)))</f>
        <v>232.19999999999996</v>
      </c>
      <c r="AJ79" s="14">
        <f>AI79*VLOOKUP('Données projet'!$B$10,Paramètres!$A$1:$I$89,3,0)*VLOOKUP('Données projet'!$B$10,Paramètres!$A$1:$I$89,5,0)</f>
        <v>202.84991999999997</v>
      </c>
      <c r="AK79" s="14">
        <f t="shared" si="89"/>
        <v>50.369977187686075</v>
      </c>
      <c r="AL79" s="22">
        <f t="shared" si="58"/>
        <v>441.02465426855321</v>
      </c>
      <c r="AM79" s="62">
        <f t="shared" si="59"/>
        <v>734.35798760188652</v>
      </c>
      <c r="AN79" s="62">
        <f ca="1">AVERAGE(OFFSET($AM$3,0,0,'Données projet'!$E$10+1,1))-AVERAGE(OFFSET($H$3,0,0,'Données projet'!$E$10+1,1))</f>
        <v>223.81948236065614</v>
      </c>
      <c r="AO79" s="62">
        <f t="shared" si="90"/>
        <v>320.1204011431372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1.2357211735505351</v>
      </c>
      <c r="AV79" s="23">
        <f>EXP(-LN(2)/25)*AV78+(1-EXP(-LN(2)/25))/(LN(2)/25)*Calculateur!AQ79*Calculateur!AS79*VLOOKUP('Données projet'!$B$10,Paramètres!$A$1:$I$89,3,0)*0.475*44/12</f>
        <v>4.9418740582807503</v>
      </c>
      <c r="AW79" s="23">
        <f>EXP(-LN(2)/2)*AW78+(1-EXP(-LN(2)/2))/(LN(2)/2)*AQ79*AT79*VLOOKUP('Données projet'!$B$10,Paramètres!$A$1:$I$89,3,0)*0.475*44/12</f>
        <v>3.3104427825408836E-6</v>
      </c>
      <c r="AX79" s="23">
        <f t="shared" si="60"/>
        <v>6.1775985422740671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421.19999999999959</v>
      </c>
      <c r="BE79" s="14">
        <f>BD79*VLOOKUP('Données projet'!$B$11,Paramètres!$A$1:$I$89,3,0)*VLOOKUP('Données projet'!$B$11,Paramètres!$A$1:$I$89,5,0)</f>
        <v>251.87759999999977</v>
      </c>
      <c r="BF79" s="14">
        <f t="shared" si="91"/>
        <v>60.987825380023018</v>
      </c>
      <c r="BG79" s="22">
        <f t="shared" si="61"/>
        <v>544.90728253687291</v>
      </c>
      <c r="BH79" s="62">
        <f t="shared" si="62"/>
        <v>838.24061587020628</v>
      </c>
      <c r="BI79" s="62">
        <f ca="1">AVERAGE(OFFSET($BH$3,0,0,'Données projet'!$E$11+1,1))-AVERAGE(OFFSET($H$3,0,0,'Données projet'!$E$11+1,1))</f>
        <v>216.94426559495264</v>
      </c>
      <c r="BJ79" s="62">
        <f t="shared" si="92"/>
        <v>225.33715877618704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3.5890792250456132</v>
      </c>
      <c r="BR79" s="23">
        <f>EXP(-LN(2)/2)*BR78+(1-EXP(-LN(2)/2))/(LN(2)/2)*BL79*BO79*VLOOKUP('Données projet'!$B$11,Paramètres!$A$1:$I$89,3,0)*0.475*44/12</f>
        <v>2.8287601320527758E-6</v>
      </c>
      <c r="BS79" s="24">
        <f t="shared" si="63"/>
        <v>3.5890820538057451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6.1</v>
      </c>
      <c r="N80" s="14">
        <f>IF('Données projet'!$A$36&gt;35,N79+M80-V79,IF(A80&lt;'Données projet'!$A$36,$K$205^A80,IF(A80='Données projet'!$A$36,'Données projet'!$B$36,N79+M80-V79)))</f>
        <v>263.70000000000022</v>
      </c>
      <c r="O80" s="14">
        <f>N80*VLOOKUP('Données projet'!$B$9,Paramètres!$A$1:$I$89,3,0)*VLOOKUP('Données projet'!$B$9,Paramètres!$A$1:$I$89,5,0)</f>
        <v>238.59576000000018</v>
      </c>
      <c r="P80" s="14">
        <f t="shared" si="87"/>
        <v>58.137298297430824</v>
      </c>
      <c r="Q80" s="22">
        <f t="shared" si="54"/>
        <v>516.81007653469237</v>
      </c>
      <c r="R80" s="62">
        <f t="shared" si="55"/>
        <v>810.14340986802563</v>
      </c>
      <c r="S80" s="62">
        <f ca="1">AVERAGE(OFFSET($R$3,0,0,'Données projet'!$E$9+1,1))-AVERAGE(OFFSET($H$3,0,0,'Données projet'!$E$9+1,1))</f>
        <v>237.22177246688199</v>
      </c>
      <c r="T80" s="62">
        <f t="shared" si="88"/>
        <v>149.27472147904302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0.84383282322381492</v>
      </c>
      <c r="AB80" s="23">
        <f>EXP(-LN(2)/2)*AB79+(1-EXP(-LN(2)/2))/(LN(2)/2)*V80*Y80*VLOOKUP('Données projet'!$B$9,Paramètres!$A$1:$I$89,3,0)*0.475*44/12</f>
        <v>5.2172301280364385E-7</v>
      </c>
      <c r="AC80" s="24">
        <f t="shared" si="57"/>
        <v>0.84383334494682771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3.7</v>
      </c>
      <c r="AI80" s="14">
        <f>IF('Données projet'!$A$62&gt;35,AI79+AH80-AQ79,IF(A80&lt;'Données projet'!$A$62,$AF$205^A80,IF(A80='Données projet'!$A$62,'Données projet'!$B$62,AI79+AH80-AQ79)))</f>
        <v>235.89999999999995</v>
      </c>
      <c r="AJ80" s="14">
        <f>AI80*VLOOKUP('Données projet'!$B$10,Paramètres!$A$1:$I$89,3,0)*VLOOKUP('Données projet'!$B$10,Paramètres!$A$1:$I$89,5,0)</f>
        <v>206.08223999999998</v>
      </c>
      <c r="AK80" s="14">
        <f t="shared" si="89"/>
        <v>51.078520483703407</v>
      </c>
      <c r="AL80" s="22">
        <f t="shared" si="58"/>
        <v>447.88832450911667</v>
      </c>
      <c r="AM80" s="62">
        <f t="shared" si="59"/>
        <v>741.22165784244999</v>
      </c>
      <c r="AN80" s="62">
        <f ca="1">AVERAGE(OFFSET($AM$3,0,0,'Données projet'!$E$10+1,1))-AVERAGE(OFFSET($H$3,0,0,'Données projet'!$E$10+1,1))</f>
        <v>223.81948236065614</v>
      </c>
      <c r="AO80" s="62">
        <f t="shared" si="90"/>
        <v>320.1204011431372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1.2114894350527017</v>
      </c>
      <c r="AV80" s="23">
        <f>EXP(-LN(2)/25)*AV79+(1-EXP(-LN(2)/25))/(LN(2)/25)*Calculateur!AQ80*Calculateur!AS80*VLOOKUP('Données projet'!$B$10,Paramètres!$A$1:$I$89,3,0)*0.475*44/12</f>
        <v>4.8067382522752009</v>
      </c>
      <c r="AW80" s="23">
        <f>EXP(-LN(2)/2)*AW79+(1-EXP(-LN(2)/2))/(LN(2)/2)*AQ80*AT80*VLOOKUP('Données projet'!$B$10,Paramètres!$A$1:$I$89,3,0)*0.475*44/12</f>
        <v>2.340836540264722E-6</v>
      </c>
      <c r="AX80" s="23">
        <f t="shared" si="60"/>
        <v>6.0182300281644432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428.39999999999958</v>
      </c>
      <c r="BE80" s="14">
        <f>BD80*VLOOKUP('Données projet'!$B$11,Paramètres!$A$1:$I$89,3,0)*VLOOKUP('Données projet'!$B$11,Paramètres!$A$1:$I$89,5,0)</f>
        <v>256.18319999999977</v>
      </c>
      <c r="BF80" s="14">
        <f t="shared" si="91"/>
        <v>61.90809149979912</v>
      </c>
      <c r="BG80" s="22">
        <f t="shared" si="61"/>
        <v>554.00899936214978</v>
      </c>
      <c r="BH80" s="62">
        <f t="shared" si="62"/>
        <v>847.34233269548304</v>
      </c>
      <c r="BI80" s="62">
        <f ca="1">AVERAGE(OFFSET($BH$3,0,0,'Données projet'!$E$11+1,1))-AVERAGE(OFFSET($H$3,0,0,'Données projet'!$E$11+1,1))</f>
        <v>216.94426559495264</v>
      </c>
      <c r="BJ80" s="62">
        <f t="shared" si="92"/>
        <v>225.33715877618704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3.4909356648952672</v>
      </c>
      <c r="BR80" s="23">
        <f>EXP(-LN(2)/2)*BR79+(1-EXP(-LN(2)/2))/(LN(2)/2)*BL80*BO80*VLOOKUP('Données projet'!$B$11,Paramètres!$A$1:$I$89,3,0)*0.475*44/12</f>
        <v>2.0002354717246714E-6</v>
      </c>
      <c r="BS80" s="24">
        <f t="shared" si="63"/>
        <v>3.4909376651307391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6.1</v>
      </c>
      <c r="N81" s="14">
        <f>IF('Données projet'!$A$36&gt;35,N80+M81-V80,IF(A81&lt;'Données projet'!$A$36,$K$205^A81,IF(A81='Données projet'!$A$36,'Données projet'!$B$36,N80+M81-V80)))</f>
        <v>269.80000000000024</v>
      </c>
      <c r="O81" s="14">
        <f>N81*VLOOKUP('Données projet'!$B$9,Paramètres!$A$1:$I$89,3,0)*VLOOKUP('Données projet'!$B$9,Paramètres!$A$1:$I$89,5,0)</f>
        <v>244.11504000000019</v>
      </c>
      <c r="P81" s="14">
        <f t="shared" si="87"/>
        <v>59.324023461759062</v>
      </c>
      <c r="Q81" s="22">
        <f t="shared" si="54"/>
        <v>528.48970219589739</v>
      </c>
      <c r="R81" s="62">
        <f t="shared" si="55"/>
        <v>821.82303552923076</v>
      </c>
      <c r="S81" s="62">
        <f ca="1">AVERAGE(OFFSET($R$3,0,0,'Données projet'!$E$9+1,1))-AVERAGE(OFFSET($H$3,0,0,'Données projet'!$E$9+1,1))</f>
        <v>237.22177246688199</v>
      </c>
      <c r="T81" s="62">
        <f t="shared" si="88"/>
        <v>149.27472147904302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0.82075817029752018</v>
      </c>
      <c r="AB81" s="23">
        <f>EXP(-LN(2)/2)*AB80+(1-EXP(-LN(2)/2))/(LN(2)/2)*V81*Y81*VLOOKUP('Données projet'!$B$9,Paramètres!$A$1:$I$89,3,0)*0.475*44/12</f>
        <v>3.6891388025453253E-7</v>
      </c>
      <c r="AC81" s="24">
        <f t="shared" si="57"/>
        <v>0.82075853921140041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3.7</v>
      </c>
      <c r="AI81" s="14">
        <f>IF('Données projet'!$A$62&gt;35,AI80+AH81-AQ80,IF(A81&lt;'Données projet'!$A$62,$AF$205^A81,IF(A81='Données projet'!$A$62,'Données projet'!$B$62,AI80+AH81-AQ80)))</f>
        <v>239.59999999999994</v>
      </c>
      <c r="AJ81" s="14">
        <f>AI81*VLOOKUP('Données projet'!$B$10,Paramètres!$A$1:$I$89,3,0)*VLOOKUP('Données projet'!$B$10,Paramètres!$A$1:$I$89,5,0)</f>
        <v>209.31456</v>
      </c>
      <c r="AK81" s="14">
        <f t="shared" si="89"/>
        <v>51.78577132421475</v>
      </c>
      <c r="AL81" s="22">
        <f t="shared" si="58"/>
        <v>454.74974372300727</v>
      </c>
      <c r="AM81" s="62">
        <f t="shared" si="59"/>
        <v>748.08307705634058</v>
      </c>
      <c r="AN81" s="62">
        <f ca="1">AVERAGE(OFFSET($AM$3,0,0,'Données projet'!$E$10+1,1))-AVERAGE(OFFSET($H$3,0,0,'Données projet'!$E$10+1,1))</f>
        <v>223.81948236065614</v>
      </c>
      <c r="AO81" s="62">
        <f t="shared" si="90"/>
        <v>320.1204011431372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1.1877328661669098</v>
      </c>
      <c r="AV81" s="23">
        <f>EXP(-LN(2)/25)*AV80+(1-EXP(-LN(2)/25))/(LN(2)/25)*Calculateur!AQ81*Calculateur!AS81*VLOOKUP('Données projet'!$B$10,Paramètres!$A$1:$I$89,3,0)*0.475*44/12</f>
        <v>4.6752977419913568</v>
      </c>
      <c r="AW81" s="23">
        <f>EXP(-LN(2)/2)*AW80+(1-EXP(-LN(2)/2))/(LN(2)/2)*AQ81*AT81*VLOOKUP('Données projet'!$B$10,Paramètres!$A$1:$I$89,3,0)*0.475*44/12</f>
        <v>1.6552213912704418E-6</v>
      </c>
      <c r="AX81" s="23">
        <f t="shared" si="60"/>
        <v>5.8630322633796581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435.59999999999957</v>
      </c>
      <c r="BE81" s="14">
        <f>BD81*VLOOKUP('Données projet'!$B$11,Paramètres!$A$1:$I$89,3,0)*VLOOKUP('Données projet'!$B$11,Paramètres!$A$1:$I$89,5,0)</f>
        <v>260.48879999999974</v>
      </c>
      <c r="BF81" s="14">
        <f t="shared" si="91"/>
        <v>62.826558970958764</v>
      </c>
      <c r="BG81" s="22">
        <f t="shared" si="61"/>
        <v>563.107583541086</v>
      </c>
      <c r="BH81" s="62">
        <f t="shared" si="62"/>
        <v>856.44091687441937</v>
      </c>
      <c r="BI81" s="62">
        <f ca="1">AVERAGE(OFFSET($BH$3,0,0,'Données projet'!$E$11+1,1))-AVERAGE(OFFSET($H$3,0,0,'Données projet'!$E$11+1,1))</f>
        <v>216.94426559495264</v>
      </c>
      <c r="BJ81" s="62">
        <f t="shared" si="92"/>
        <v>225.33715877618704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3.3954758455583782</v>
      </c>
      <c r="BR81" s="23">
        <f>EXP(-LN(2)/2)*BR80+(1-EXP(-LN(2)/2))/(LN(2)/2)*BL81*BO81*VLOOKUP('Données projet'!$B$11,Paramètres!$A$1:$I$89,3,0)*0.475*44/12</f>
        <v>1.4143800660263879E-6</v>
      </c>
      <c r="BS81" s="24">
        <f t="shared" si="63"/>
        <v>3.3954772599384442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6.1</v>
      </c>
      <c r="N82" s="14">
        <f>IF('Données projet'!$A$36&gt;35,N81+M82-V81,IF(A82&lt;'Données projet'!$A$36,$K$205^A82,IF(A82='Données projet'!$A$36,'Données projet'!$B$36,N81+M82-V81)))</f>
        <v>275.90000000000026</v>
      </c>
      <c r="O82" s="14">
        <f>N82*VLOOKUP('Données projet'!$B$9,Paramètres!$A$1:$I$89,3,0)*VLOOKUP('Données projet'!$B$9,Paramètres!$A$1:$I$89,5,0)</f>
        <v>249.63432000000023</v>
      </c>
      <c r="P82" s="14">
        <f t="shared" si="87"/>
        <v>60.507629314318471</v>
      </c>
      <c r="Q82" s="22">
        <f t="shared" si="54"/>
        <v>540.16389505577172</v>
      </c>
      <c r="R82" s="62">
        <f t="shared" si="55"/>
        <v>833.49722838910498</v>
      </c>
      <c r="S82" s="62">
        <f ca="1">AVERAGE(OFFSET($R$3,0,0,'Données projet'!$E$9+1,1))-AVERAGE(OFFSET($H$3,0,0,'Données projet'!$E$9+1,1))</f>
        <v>237.22177246688199</v>
      </c>
      <c r="T82" s="62">
        <f t="shared" si="88"/>
        <v>149.27472147904302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0.79831449496893814</v>
      </c>
      <c r="AB82" s="23">
        <f>EXP(-LN(2)/2)*AB81+(1-EXP(-LN(2)/2))/(LN(2)/2)*V82*Y82*VLOOKUP('Données projet'!$B$9,Paramètres!$A$1:$I$89,3,0)*0.475*44/12</f>
        <v>2.6086150640182193E-7</v>
      </c>
      <c r="AC82" s="24">
        <f t="shared" si="57"/>
        <v>0.79831475583044453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3.7</v>
      </c>
      <c r="AI82" s="14">
        <f>IF('Données projet'!$A$62&gt;35,AI81+AH82-AQ81,IF(A82&lt;'Données projet'!$A$62,$AF$205^A82,IF(A82='Données projet'!$A$62,'Données projet'!$B$62,AI81+AH82-AQ81)))</f>
        <v>243.29999999999993</v>
      </c>
      <c r="AJ82" s="14">
        <f>AI82*VLOOKUP('Données projet'!$B$10,Paramètres!$A$1:$I$89,3,0)*VLOOKUP('Données projet'!$B$10,Paramètres!$A$1:$I$89,5,0)</f>
        <v>212.54687999999996</v>
      </c>
      <c r="AK82" s="14">
        <f t="shared" si="89"/>
        <v>52.491751972791846</v>
      </c>
      <c r="AL82" s="22">
        <f t="shared" si="58"/>
        <v>461.60895068594567</v>
      </c>
      <c r="AM82" s="62">
        <f t="shared" si="59"/>
        <v>754.94228401927899</v>
      </c>
      <c r="AN82" s="62">
        <f ca="1">AVERAGE(OFFSET($AM$3,0,0,'Données projet'!$E$10+1,1))-AVERAGE(OFFSET($H$3,0,0,'Données projet'!$E$10+1,1))</f>
        <v>223.81948236065614</v>
      </c>
      <c r="AO82" s="62">
        <f t="shared" si="90"/>
        <v>320.1204011431372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1.1644421491068919</v>
      </c>
      <c r="AV82" s="23">
        <f>EXP(-LN(2)/25)*AV81+(1-EXP(-LN(2)/25))/(LN(2)/25)*Calculateur!AQ82*Calculateur!AS82*VLOOKUP('Données projet'!$B$10,Paramètres!$A$1:$I$89,3,0)*0.475*44/12</f>
        <v>4.5474514793733807</v>
      </c>
      <c r="AW82" s="23">
        <f>EXP(-LN(2)/2)*AW81+(1-EXP(-LN(2)/2))/(LN(2)/2)*AQ82*AT82*VLOOKUP('Données projet'!$B$10,Paramètres!$A$1:$I$89,3,0)*0.475*44/12</f>
        <v>1.170418270132361E-6</v>
      </c>
      <c r="AX82" s="23">
        <f t="shared" si="60"/>
        <v>5.711894798898542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442.79999999999956</v>
      </c>
      <c r="BE82" s="14">
        <f>BD82*VLOOKUP('Données projet'!$B$11,Paramètres!$A$1:$I$89,3,0)*VLOOKUP('Données projet'!$B$11,Paramètres!$A$1:$I$89,5,0)</f>
        <v>264.79439999999977</v>
      </c>
      <c r="BF82" s="14">
        <f t="shared" si="91"/>
        <v>63.74326095490612</v>
      </c>
      <c r="BG82" s="22">
        <f t="shared" si="61"/>
        <v>572.2030928297944</v>
      </c>
      <c r="BH82" s="62">
        <f t="shared" si="62"/>
        <v>865.53642616312777</v>
      </c>
      <c r="BI82" s="62">
        <f ca="1">AVERAGE(OFFSET($BH$3,0,0,'Données projet'!$E$11+1,1))-AVERAGE(OFFSET($H$3,0,0,'Données projet'!$E$11+1,1))</f>
        <v>216.94426559495264</v>
      </c>
      <c r="BJ82" s="62">
        <f t="shared" si="92"/>
        <v>225.33715877618704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3.3026263800012701</v>
      </c>
      <c r="BR82" s="23">
        <f>EXP(-LN(2)/2)*BR81+(1-EXP(-LN(2)/2))/(LN(2)/2)*BL82*BO82*VLOOKUP('Données projet'!$B$11,Paramètres!$A$1:$I$89,3,0)*0.475*44/12</f>
        <v>1.0001177358623357E-6</v>
      </c>
      <c r="BS82" s="24">
        <f t="shared" si="63"/>
        <v>3.3026273801190058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6.1</v>
      </c>
      <c r="M83" s="13">
        <f t="array" ref="M83">INDEX(L:L,MIN(IF(ISNUMBER(L83:L279),ROW(L83:L279),"")))</f>
        <v>6.1</v>
      </c>
      <c r="N83" s="14">
        <f>IF('Données projet'!$A$36&gt;35,N82+M83-V82,IF(A83&lt;'Données projet'!$A$36,$K$205^A83,IF(A83='Données projet'!$A$36,'Données projet'!$B$36,N82+M83-V82)))</f>
        <v>282.00000000000028</v>
      </c>
      <c r="O83" s="14">
        <f>N83*VLOOKUP('Données projet'!$B$9,Paramètres!$A$1:$I$89,3,0)*VLOOKUP('Données projet'!$B$9,Paramètres!$A$1:$I$89,5,0)</f>
        <v>255.15360000000024</v>
      </c>
      <c r="P83" s="14">
        <f t="shared" si="87"/>
        <v>61.688192762754483</v>
      </c>
      <c r="Q83" s="22">
        <f t="shared" si="54"/>
        <v>551.83278906179783</v>
      </c>
      <c r="R83" s="62">
        <f t="shared" si="55"/>
        <v>845.1661223951312</v>
      </c>
      <c r="S83" s="62">
        <f ca="1">AVERAGE(OFFSET($R$3,0,0,'Données projet'!$E$9+1,1))-AVERAGE(OFFSET($H$3,0,0,'Données projet'!$E$9+1,1))</f>
        <v>237.22177246688199</v>
      </c>
      <c r="T83" s="62">
        <f t="shared" si="88"/>
        <v>149.27472147904302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0.77648454312247783</v>
      </c>
      <c r="AB83" s="23">
        <f>EXP(-LN(2)/2)*AB82+(1-EXP(-LN(2)/2))/(LN(2)/2)*V83*Y83*VLOOKUP('Données projet'!$B$9,Paramètres!$A$1:$I$89,3,0)*0.475*44/12</f>
        <v>1.8445694012726627E-7</v>
      </c>
      <c r="AC83" s="24">
        <f t="shared" si="57"/>
        <v>0.776484727579418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247</v>
      </c>
      <c r="AG83" s="13">
        <f>VLOOKUP(A83,'Données projet'!$A$61:$I$81,9,0)</f>
        <v>3.7</v>
      </c>
      <c r="AH83" s="13">
        <f t="array" ref="AH83">INDEX(AG:AG,MIN(IF(ISNUMBER(AG83:AG279),ROW(AG83:AG279),"")))</f>
        <v>3.7</v>
      </c>
      <c r="AI83" s="14">
        <f>IF('Données projet'!$A$62&gt;35,AI82+AH83-AQ82,IF(A83&lt;'Données projet'!$A$62,$AF$205^A83,IF(A83='Données projet'!$A$62,'Données projet'!$B$62,AI82+AH83-AQ82)))</f>
        <v>246.99999999999991</v>
      </c>
      <c r="AJ83" s="14">
        <f>AI83*VLOOKUP('Données projet'!$B$10,Paramètres!$A$1:$I$89,3,0)*VLOOKUP('Données projet'!$B$10,Paramètres!$A$1:$I$89,5,0)</f>
        <v>215.77919999999995</v>
      </c>
      <c r="AK83" s="14">
        <f t="shared" si="89"/>
        <v>53.196483976998607</v>
      </c>
      <c r="AL83" s="22">
        <f t="shared" si="58"/>
        <v>468.4659829266057</v>
      </c>
      <c r="AM83" s="62">
        <f t="shared" si="59"/>
        <v>761.79931625993902</v>
      </c>
      <c r="AN83" s="62">
        <f ca="1">AVERAGE(OFFSET($AM$3,0,0,'Données projet'!$E$10+1,1))-AVERAGE(OFFSET($H$3,0,0,'Données projet'!$E$10+1,1))</f>
        <v>223.81948236065614</v>
      </c>
      <c r="AO83" s="62">
        <f t="shared" si="90"/>
        <v>320.1204011431372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1.1416081488024863</v>
      </c>
      <c r="AV83" s="23">
        <f>EXP(-LN(2)/25)*AV82+(1-EXP(-LN(2)/25))/(LN(2)/25)*Calculateur!AQ83*Calculateur!AS83*VLOOKUP('Données projet'!$B$10,Paramètres!$A$1:$I$89,3,0)*0.475*44/12</f>
        <v>4.4231011795298354</v>
      </c>
      <c r="AW83" s="23">
        <f>EXP(-LN(2)/2)*AW82+(1-EXP(-LN(2)/2))/(LN(2)/2)*AQ83*AT83*VLOOKUP('Données projet'!$B$10,Paramètres!$A$1:$I$89,3,0)*0.475*44/12</f>
        <v>8.2761069563522089E-7</v>
      </c>
      <c r="AX83" s="23">
        <f t="shared" si="60"/>
        <v>5.5647101559430174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450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449.99999999999955</v>
      </c>
      <c r="BE83" s="14">
        <f>BD83*VLOOKUP('Données projet'!$B$11,Paramètres!$A$1:$I$89,3,0)*VLOOKUP('Données projet'!$B$11,Paramètres!$A$1:$I$89,5,0)</f>
        <v>269.09999999999974</v>
      </c>
      <c r="BF83" s="14">
        <f t="shared" si="91"/>
        <v>64.658229472790936</v>
      </c>
      <c r="BG83" s="22">
        <f t="shared" si="61"/>
        <v>581.29558299844382</v>
      </c>
      <c r="BH83" s="62">
        <f t="shared" si="62"/>
        <v>874.62891633177719</v>
      </c>
      <c r="BI83" s="62">
        <f ca="1">AVERAGE(OFFSET($BH$3,0,0,'Données projet'!$E$11+1,1))-AVERAGE(OFFSET($H$3,0,0,'Données projet'!$E$11+1,1))</f>
        <v>216.94426559495264</v>
      </c>
      <c r="BJ83" s="62">
        <f t="shared" si="92"/>
        <v>225.33715877618704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450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3.2123158879625624</v>
      </c>
      <c r="BR83" s="23">
        <f>EXP(-LN(2)/2)*BR82+(1-EXP(-LN(2)/2))/(LN(2)/2)*BL83*BO83*VLOOKUP('Données projet'!$B$11,Paramètres!$A$1:$I$89,3,0)*0.475*44/12</f>
        <v>7.0719003301319395E-7</v>
      </c>
      <c r="BS83" s="24">
        <f t="shared" si="63"/>
        <v>3.2123165951525956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245.60000000000031</v>
      </c>
      <c r="O84" s="14">
        <f>N84*VLOOKUP('Données projet'!$B$9,Paramètres!$A$1:$I$89,3,0)*VLOOKUP('Données projet'!$B$9,Paramètres!$A$1:$I$89,5,0)</f>
        <v>222.2188800000003</v>
      </c>
      <c r="P84" s="14">
        <f t="shared" si="87"/>
        <v>54.596866296848951</v>
      </c>
      <c r="Q84" s="22">
        <f t="shared" si="54"/>
        <v>482.12075813367898</v>
      </c>
      <c r="R84" s="62">
        <f t="shared" si="55"/>
        <v>775.45409146701229</v>
      </c>
      <c r="S84" s="62">
        <f ca="1">AVERAGE(OFFSET($R$3,0,0,'Données projet'!$E$9+1,1))-AVERAGE(OFFSET($H$3,0,0,'Données projet'!$E$9+1,1))</f>
        <v>237.22177246688199</v>
      </c>
      <c r="T84" s="62">
        <f t="shared" si="88"/>
        <v>149.27472147904302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0.75525153245724619</v>
      </c>
      <c r="AB84" s="23">
        <f>EXP(-LN(2)/2)*AB83+(1-EXP(-LN(2)/2))/(LN(2)/2)*V84*Y84*VLOOKUP('Données projet'!$B$9,Paramètres!$A$1:$I$89,3,0)*0.475*44/12</f>
        <v>1.3043075320091096E-7</v>
      </c>
      <c r="AC84" s="24">
        <f t="shared" si="57"/>
        <v>0.75525166288799939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2.9</v>
      </c>
      <c r="AI84" s="14">
        <f>IF('Données projet'!$A$62&gt;35,AI83+AH84-AQ83,IF(A84&lt;'Données projet'!$A$62,$AF$205^A84,IF(A84='Données projet'!$A$62,'Données projet'!$B$62,AI83+AH84-AQ83)))</f>
        <v>221.89999999999992</v>
      </c>
      <c r="AJ84" s="14">
        <f>AI84*VLOOKUP('Données projet'!$B$10,Paramètres!$A$1:$I$89,3,0)*VLOOKUP('Données projet'!$B$10,Paramètres!$A$1:$I$89,5,0)</f>
        <v>193.85183999999995</v>
      </c>
      <c r="AK84" s="14">
        <f t="shared" si="89"/>
        <v>48.390542715745532</v>
      </c>
      <c r="AL84" s="22">
        <f t="shared" si="58"/>
        <v>421.90548322992339</v>
      </c>
      <c r="AM84" s="62">
        <f t="shared" si="59"/>
        <v>715.23881656325671</v>
      </c>
      <c r="AN84" s="62">
        <f ca="1">AVERAGE(OFFSET($AM$3,0,0,'Données projet'!$E$10+1,1))-AVERAGE(OFFSET($H$3,0,0,'Données projet'!$E$10+1,1))</f>
        <v>223.81948236065614</v>
      </c>
      <c r="AO84" s="62">
        <f t="shared" si="90"/>
        <v>320.1204011431372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1.1192219093166851</v>
      </c>
      <c r="AV84" s="23">
        <f>EXP(-LN(2)/25)*AV83+(1-EXP(-LN(2)/25))/(LN(2)/25)*Calculateur!AQ84*Calculateur!AS84*VLOOKUP('Données projet'!$B$10,Paramètres!$A$1:$I$89,3,0)*0.475*44/12</f>
        <v>4.3021512451748105</v>
      </c>
      <c r="AW84" s="23">
        <f>EXP(-LN(2)/2)*AW83+(1-EXP(-LN(2)/2))/(LN(2)/2)*AQ84*AT84*VLOOKUP('Données projet'!$B$10,Paramètres!$A$1:$I$89,3,0)*0.475*44/12</f>
        <v>5.8520913506618051E-7</v>
      </c>
      <c r="AX84" s="23">
        <f t="shared" si="60"/>
        <v>5.4213737397006314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-4.5474735088646412E-13</v>
      </c>
      <c r="BE84" s="14">
        <f>BD84*VLOOKUP('Données projet'!$B$11,Paramètres!$A$1:$I$89,3,0)*VLOOKUP('Données projet'!$B$11,Paramètres!$A$1:$I$89,5,0)</f>
        <v>-2.7193891583010558E-13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216.94426559495264</v>
      </c>
      <c r="BJ84" s="62">
        <f t="shared" si="92"/>
        <v>225.33715877618704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3.1244749410778754</v>
      </c>
      <c r="BR84" s="23">
        <f>EXP(-LN(2)/2)*BR83+(1-EXP(-LN(2)/2))/(LN(2)/2)*BL84*BO84*VLOOKUP('Données projet'!$B$11,Paramètres!$A$1:$I$89,3,0)*0.475*44/12</f>
        <v>5.0005886793116784E-7</v>
      </c>
      <c r="BS84" s="24">
        <f t="shared" si="63"/>
        <v>3.1244754411367435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251.2000000000003</v>
      </c>
      <c r="O85" s="14">
        <f>N85*VLOOKUP('Données projet'!$B$9,Paramètres!$A$1:$I$89,3,0)*VLOOKUP('Données projet'!$B$9,Paramètres!$A$1:$I$89,5,0)</f>
        <v>227.28576000000027</v>
      </c>
      <c r="P85" s="14">
        <f t="shared" si="87"/>
        <v>55.695394520076427</v>
      </c>
      <c r="Q85" s="22">
        <f t="shared" si="54"/>
        <v>492.85884412246696</v>
      </c>
      <c r="R85" s="62">
        <f t="shared" si="55"/>
        <v>786.19217745580022</v>
      </c>
      <c r="S85" s="62">
        <f ca="1">AVERAGE(OFFSET($R$3,0,0,'Données projet'!$E$9+1,1))-AVERAGE(OFFSET($H$3,0,0,'Données projet'!$E$9+1,1))</f>
        <v>237.22177246688199</v>
      </c>
      <c r="T85" s="62">
        <f t="shared" si="88"/>
        <v>149.27472147904302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0.7345991395852508</v>
      </c>
      <c r="AB85" s="23">
        <f>EXP(-LN(2)/2)*AB84+(1-EXP(-LN(2)/2))/(LN(2)/2)*V85*Y85*VLOOKUP('Données projet'!$B$9,Paramètres!$A$1:$I$89,3,0)*0.475*44/12</f>
        <v>9.2228470063633133E-8</v>
      </c>
      <c r="AC85" s="24">
        <f t="shared" si="57"/>
        <v>0.73459923181372089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2.9</v>
      </c>
      <c r="AI85" s="14">
        <f>IF('Données projet'!$A$62&gt;35,AI84+AH85-AQ84,IF(A85&lt;'Données projet'!$A$62,$AF$205^A85,IF(A85='Données projet'!$A$62,'Données projet'!$B$62,AI84+AH85-AQ84)))</f>
        <v>224.79999999999993</v>
      </c>
      <c r="AJ85" s="14">
        <f>AI85*VLOOKUP('Données projet'!$B$10,Paramètres!$A$1:$I$89,3,0)*VLOOKUP('Données projet'!$B$10,Paramètres!$A$1:$I$89,5,0)</f>
        <v>196.38527999999997</v>
      </c>
      <c r="AK85" s="14">
        <f t="shared" si="89"/>
        <v>48.948920378863868</v>
      </c>
      <c r="AL85" s="22">
        <f t="shared" si="58"/>
        <v>427.29039899318786</v>
      </c>
      <c r="AM85" s="62">
        <f t="shared" si="59"/>
        <v>720.62373232652112</v>
      </c>
      <c r="AN85" s="62">
        <f ca="1">AVERAGE(OFFSET($AM$3,0,0,'Données projet'!$E$10+1,1))-AVERAGE(OFFSET($H$3,0,0,'Données projet'!$E$10+1,1))</f>
        <v>223.81948236065614</v>
      </c>
      <c r="AO85" s="62">
        <f t="shared" si="90"/>
        <v>320.1204011431372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1.0972746503329427</v>
      </c>
      <c r="AV85" s="23">
        <f>EXP(-LN(2)/25)*AV84+(1-EXP(-LN(2)/25))/(LN(2)/25)*Calculateur!AQ85*Calculateur!AS85*VLOOKUP('Données projet'!$B$10,Paramètres!$A$1:$I$89,3,0)*0.475*44/12</f>
        <v>4.1845086931352045</v>
      </c>
      <c r="AW85" s="23">
        <f>EXP(-LN(2)/2)*AW84+(1-EXP(-LN(2)/2))/(LN(2)/2)*AQ85*AT85*VLOOKUP('Données projet'!$B$10,Paramètres!$A$1:$I$89,3,0)*0.475*44/12</f>
        <v>4.1380534781761044E-7</v>
      </c>
      <c r="AX85" s="23">
        <f t="shared" si="60"/>
        <v>5.2817837572734954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-4.5474735088646412E-13</v>
      </c>
      <c r="BE85" s="14">
        <f>BD85*VLOOKUP('Données projet'!$B$11,Paramètres!$A$1:$I$89,3,0)*VLOOKUP('Données projet'!$B$11,Paramètres!$A$1:$I$89,5,0)</f>
        <v>-2.7193891583010558E-13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216.94426559495264</v>
      </c>
      <c r="BJ85" s="62">
        <f t="shared" si="92"/>
        <v>225.33715877618704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3.039036009505105</v>
      </c>
      <c r="BR85" s="23">
        <f>EXP(-LN(2)/2)*BR84+(1-EXP(-LN(2)/2))/(LN(2)/2)*BL85*BO85*VLOOKUP('Données projet'!$B$11,Paramètres!$A$1:$I$89,3,0)*0.475*44/12</f>
        <v>3.5359501650659697E-7</v>
      </c>
      <c r="BS85" s="24">
        <f t="shared" si="63"/>
        <v>3.0390363631001214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256.8000000000003</v>
      </c>
      <c r="O86" s="14">
        <f>N86*VLOOKUP('Données projet'!$B$9,Paramètres!$A$1:$I$89,3,0)*VLOOKUP('Données projet'!$B$9,Paramètres!$A$1:$I$89,5,0)</f>
        <v>232.35264000000026</v>
      </c>
      <c r="P86" s="14">
        <f t="shared" si="87"/>
        <v>56.791075613550355</v>
      </c>
      <c r="Q86" s="22">
        <f t="shared" si="54"/>
        <v>503.59197136026728</v>
      </c>
      <c r="R86" s="62">
        <f t="shared" si="55"/>
        <v>796.92530469360054</v>
      </c>
      <c r="S86" s="62">
        <f ca="1">AVERAGE(OFFSET($R$3,0,0,'Données projet'!$E$9+1,1))-AVERAGE(OFFSET($H$3,0,0,'Données projet'!$E$9+1,1))</f>
        <v>237.22177246688199</v>
      </c>
      <c r="T86" s="62">
        <f t="shared" si="88"/>
        <v>149.27472147904302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0.71451148748240234</v>
      </c>
      <c r="AB86" s="23">
        <f>EXP(-LN(2)/2)*AB85+(1-EXP(-LN(2)/2))/(LN(2)/2)*V86*Y86*VLOOKUP('Données projet'!$B$9,Paramètres!$A$1:$I$89,3,0)*0.475*44/12</f>
        <v>6.5215376600455482E-8</v>
      </c>
      <c r="AC86" s="24">
        <f t="shared" si="57"/>
        <v>0.714511552697779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2.9</v>
      </c>
      <c r="AI86" s="14">
        <f>IF('Données projet'!$A$62&gt;35,AI85+AH86-AQ85,IF(A86&lt;'Données projet'!$A$62,$AF$205^A86,IF(A86='Données projet'!$A$62,'Données projet'!$B$62,AI85+AH86-AQ85)))</f>
        <v>227.69999999999993</v>
      </c>
      <c r="AJ86" s="14">
        <f>AI86*VLOOKUP('Données projet'!$B$10,Paramètres!$A$1:$I$89,3,0)*VLOOKUP('Données projet'!$B$10,Paramètres!$A$1:$I$89,5,0)</f>
        <v>198.91871999999995</v>
      </c>
      <c r="AK86" s="14">
        <f t="shared" si="89"/>
        <v>49.506460185916012</v>
      </c>
      <c r="AL86" s="22">
        <f t="shared" si="58"/>
        <v>432.67385549047032</v>
      </c>
      <c r="AM86" s="62">
        <f t="shared" si="59"/>
        <v>726.00718882380363</v>
      </c>
      <c r="AN86" s="62">
        <f ca="1">AVERAGE(OFFSET($AM$3,0,0,'Données projet'!$E$10+1,1))-AVERAGE(OFFSET($H$3,0,0,'Données projet'!$E$10+1,1))</f>
        <v>223.81948236065614</v>
      </c>
      <c r="AO86" s="62">
        <f t="shared" si="90"/>
        <v>320.1204011431372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1.0757577637113653</v>
      </c>
      <c r="AV86" s="23">
        <f>EXP(-LN(2)/25)*AV85+(1-EXP(-LN(2)/25))/(LN(2)/25)*Calculateur!AQ86*Calculateur!AS86*VLOOKUP('Données projet'!$B$10,Paramètres!$A$1:$I$89,3,0)*0.475*44/12</f>
        <v>4.070083082867674</v>
      </c>
      <c r="AW86" s="23">
        <f>EXP(-LN(2)/2)*AW85+(1-EXP(-LN(2)/2))/(LN(2)/2)*AQ86*AT86*VLOOKUP('Données projet'!$B$10,Paramètres!$A$1:$I$89,3,0)*0.475*44/12</f>
        <v>2.9260456753309025E-7</v>
      </c>
      <c r="AX86" s="23">
        <f t="shared" si="60"/>
        <v>5.1458411391836067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-4.5474735088646412E-13</v>
      </c>
      <c r="BE86" s="14">
        <f>BD86*VLOOKUP('Données projet'!$B$11,Paramètres!$A$1:$I$89,3,0)*VLOOKUP('Données projet'!$B$11,Paramètres!$A$1:$I$89,5,0)</f>
        <v>-2.7193891583010558E-13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216.94426559495264</v>
      </c>
      <c r="BJ86" s="62">
        <f t="shared" si="92"/>
        <v>225.33715877618704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2.95593341000923</v>
      </c>
      <c r="BR86" s="23">
        <f>EXP(-LN(2)/2)*BR85+(1-EXP(-LN(2)/2))/(LN(2)/2)*BL86*BO86*VLOOKUP('Données projet'!$B$11,Paramètres!$A$1:$I$89,3,0)*0.475*44/12</f>
        <v>2.5002943396558392E-7</v>
      </c>
      <c r="BS86" s="24">
        <f t="shared" si="63"/>
        <v>2.9559336600386641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262.40000000000032</v>
      </c>
      <c r="O87" s="14">
        <f>N87*VLOOKUP('Données projet'!$B$9,Paramètres!$A$1:$I$89,3,0)*VLOOKUP('Données projet'!$B$9,Paramètres!$A$1:$I$89,5,0)</f>
        <v>237.41952000000029</v>
      </c>
      <c r="P87" s="14">
        <f t="shared" si="87"/>
        <v>57.883978814320969</v>
      </c>
      <c r="Q87" s="22">
        <f t="shared" si="54"/>
        <v>514.32026043494284</v>
      </c>
      <c r="R87" s="62">
        <f t="shared" si="55"/>
        <v>807.6535937682761</v>
      </c>
      <c r="S87" s="62">
        <f ca="1">AVERAGE(OFFSET($R$3,0,0,'Données projet'!$E$9+1,1))-AVERAGE(OFFSET($H$3,0,0,'Données projet'!$E$9+1,1))</f>
        <v>237.22177246688199</v>
      </c>
      <c r="T87" s="62">
        <f t="shared" si="88"/>
        <v>149.27472147904302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0.69497313328266996</v>
      </c>
      <c r="AB87" s="23">
        <f>EXP(-LN(2)/2)*AB86+(1-EXP(-LN(2)/2))/(LN(2)/2)*V87*Y87*VLOOKUP('Données projet'!$B$9,Paramètres!$A$1:$I$89,3,0)*0.475*44/12</f>
        <v>4.6114235031816567E-8</v>
      </c>
      <c r="AC87" s="24">
        <f t="shared" si="57"/>
        <v>0.69497317939690495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2.9</v>
      </c>
      <c r="AI87" s="14">
        <f>IF('Données projet'!$A$62&gt;35,AI86+AH87-AQ86,IF(A87&lt;'Données projet'!$A$62,$AF$205^A87,IF(A87='Données projet'!$A$62,'Données projet'!$B$62,AI86+AH87-AQ86)))</f>
        <v>230.59999999999994</v>
      </c>
      <c r="AJ87" s="14">
        <f>AI87*VLOOKUP('Données projet'!$B$10,Paramètres!$A$1:$I$89,3,0)*VLOOKUP('Données projet'!$B$10,Paramètres!$A$1:$I$89,5,0)</f>
        <v>201.45215999999996</v>
      </c>
      <c r="AK87" s="14">
        <f t="shared" si="89"/>
        <v>50.063174041807549</v>
      </c>
      <c r="AL87" s="22">
        <f t="shared" si="58"/>
        <v>438.05587345614805</v>
      </c>
      <c r="AM87" s="62">
        <f t="shared" si="59"/>
        <v>731.38920678948136</v>
      </c>
      <c r="AN87" s="62">
        <f ca="1">AVERAGE(OFFSET($AM$3,0,0,'Données projet'!$E$10+1,1))-AVERAGE(OFFSET($H$3,0,0,'Données projet'!$E$10+1,1))</f>
        <v>223.81948236065614</v>
      </c>
      <c r="AO87" s="62">
        <f t="shared" si="90"/>
        <v>320.1204011431372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1.0546628101124322</v>
      </c>
      <c r="AV87" s="23">
        <f>EXP(-LN(2)/25)*AV86+(1-EXP(-LN(2)/25))/(LN(2)/25)*Calculateur!AQ87*Calculateur!AS87*VLOOKUP('Données projet'!$B$10,Paramètres!$A$1:$I$89,3,0)*0.475*44/12</f>
        <v>3.9587864469302905</v>
      </c>
      <c r="AW87" s="23">
        <f>EXP(-LN(2)/2)*AW86+(1-EXP(-LN(2)/2))/(LN(2)/2)*AQ87*AT87*VLOOKUP('Données projet'!$B$10,Paramètres!$A$1:$I$89,3,0)*0.475*44/12</f>
        <v>2.0690267390880522E-7</v>
      </c>
      <c r="AX87" s="23">
        <f t="shared" si="60"/>
        <v>5.0134494639453964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-4.5474735088646412E-13</v>
      </c>
      <c r="BE87" s="14">
        <f>BD87*VLOOKUP('Données projet'!$B$11,Paramètres!$A$1:$I$89,3,0)*VLOOKUP('Données projet'!$B$11,Paramètres!$A$1:$I$89,5,0)</f>
        <v>-2.7193891583010558E-13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216.94426559495264</v>
      </c>
      <c r="BJ87" s="62">
        <f t="shared" si="92"/>
        <v>225.33715877618704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2.8751032554667453</v>
      </c>
      <c r="BR87" s="23">
        <f>EXP(-LN(2)/2)*BR86+(1-EXP(-LN(2)/2))/(LN(2)/2)*BL87*BO87*VLOOKUP('Données projet'!$B$11,Paramètres!$A$1:$I$89,3,0)*0.475*44/12</f>
        <v>1.7679750825329849E-7</v>
      </c>
      <c r="BS87" s="24">
        <f t="shared" si="63"/>
        <v>2.8751034322642535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268.00000000000034</v>
      </c>
      <c r="O88" s="14">
        <f>N88*VLOOKUP('Données projet'!$B$9,Paramètres!$A$1:$I$89,3,0)*VLOOKUP('Données projet'!$B$9,Paramètres!$A$1:$I$89,5,0)</f>
        <v>242.48640000000032</v>
      </c>
      <c r="P88" s="14">
        <f t="shared" si="87"/>
        <v>58.974170235372526</v>
      </c>
      <c r="Q88" s="22">
        <f t="shared" si="54"/>
        <v>525.04382649327442</v>
      </c>
      <c r="R88" s="62">
        <f t="shared" si="55"/>
        <v>818.37715982660779</v>
      </c>
      <c r="S88" s="62">
        <f ca="1">AVERAGE(OFFSET($R$3,0,0,'Données projet'!$E$9+1,1))-AVERAGE(OFFSET($H$3,0,0,'Données projet'!$E$9+1,1))</f>
        <v>237.22177246688199</v>
      </c>
      <c r="T88" s="62">
        <f t="shared" si="88"/>
        <v>149.27472147904302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0.67596905640600669</v>
      </c>
      <c r="AB88" s="23">
        <f>EXP(-LN(2)/2)*AB87+(1-EXP(-LN(2)/2))/(LN(2)/2)*V88*Y88*VLOOKUP('Données projet'!$B$9,Paramètres!$A$1:$I$89,3,0)*0.475*44/12</f>
        <v>3.2607688300227741E-8</v>
      </c>
      <c r="AC88" s="24">
        <f t="shared" si="57"/>
        <v>0.67596908901369501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2.9</v>
      </c>
      <c r="AI88" s="14">
        <f>IF('Données projet'!$A$62&gt;35,AI87+AH88-AQ87,IF(A88&lt;'Données projet'!$A$62,$AF$205^A88,IF(A88='Données projet'!$A$62,'Données projet'!$B$62,AI87+AH88-AQ87)))</f>
        <v>233.49999999999994</v>
      </c>
      <c r="AJ88" s="14">
        <f>AI88*VLOOKUP('Données projet'!$B$10,Paramètres!$A$1:$I$89,3,0)*VLOOKUP('Données projet'!$B$10,Paramètres!$A$1:$I$89,5,0)</f>
        <v>203.98560000000001</v>
      </c>
      <c r="AK88" s="14">
        <f t="shared" si="89"/>
        <v>50.619073534794722</v>
      </c>
      <c r="AL88" s="22">
        <f t="shared" si="58"/>
        <v>443.43647307310084</v>
      </c>
      <c r="AM88" s="62">
        <f t="shared" si="59"/>
        <v>736.7698064064341</v>
      </c>
      <c r="AN88" s="62">
        <f ca="1">AVERAGE(OFFSET($AM$3,0,0,'Données projet'!$E$10+1,1))-AVERAGE(OFFSET($H$3,0,0,'Données projet'!$E$10+1,1))</f>
        <v>223.81948236065614</v>
      </c>
      <c r="AO88" s="62">
        <f t="shared" si="90"/>
        <v>320.1204011431372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1.033981515686923</v>
      </c>
      <c r="AV88" s="23">
        <f>EXP(-LN(2)/25)*AV87+(1-EXP(-LN(2)/25))/(LN(2)/25)*Calculateur!AQ88*Calculateur!AS88*VLOOKUP('Données projet'!$B$10,Paramètres!$A$1:$I$89,3,0)*0.475*44/12</f>
        <v>3.8505332233554506</v>
      </c>
      <c r="AW88" s="23">
        <f>EXP(-LN(2)/2)*AW87+(1-EXP(-LN(2)/2))/(LN(2)/2)*AQ88*AT88*VLOOKUP('Données projet'!$B$10,Paramètres!$A$1:$I$89,3,0)*0.475*44/12</f>
        <v>1.4630228376654513E-7</v>
      </c>
      <c r="AX88" s="23">
        <f t="shared" si="60"/>
        <v>4.8845148853446574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-4.5474735088646412E-13</v>
      </c>
      <c r="BE88" s="14">
        <f>BD88*VLOOKUP('Données projet'!$B$11,Paramètres!$A$1:$I$89,3,0)*VLOOKUP('Données projet'!$B$11,Paramètres!$A$1:$I$89,5,0)</f>
        <v>-2.7193891583010558E-13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216.94426559495264</v>
      </c>
      <c r="BJ88" s="62">
        <f t="shared" si="92"/>
        <v>225.33715877618704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2.796483405750898</v>
      </c>
      <c r="BR88" s="23">
        <f>EXP(-LN(2)/2)*BR87+(1-EXP(-LN(2)/2))/(LN(2)/2)*BL88*BO88*VLOOKUP('Données projet'!$B$11,Paramètres!$A$1:$I$89,3,0)*0.475*44/12</f>
        <v>1.2501471698279196E-7</v>
      </c>
      <c r="BS88" s="24">
        <f t="shared" si="63"/>
        <v>2.7964835307656148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273.60000000000036</v>
      </c>
      <c r="O89" s="14">
        <f>N89*VLOOKUP('Données projet'!$B$9,Paramètres!$A$1:$I$89,3,0)*VLOOKUP('Données projet'!$B$9,Paramètres!$A$1:$I$89,5,0)</f>
        <v>247.55328000000031</v>
      </c>
      <c r="P89" s="14">
        <f t="shared" si="87"/>
        <v>60.061713068870304</v>
      </c>
      <c r="Q89" s="22">
        <f t="shared" si="54"/>
        <v>535.76277959494962</v>
      </c>
      <c r="R89" s="62">
        <f t="shared" si="55"/>
        <v>829.09611292828299</v>
      </c>
      <c r="S89" s="62">
        <f ca="1">AVERAGE(OFFSET($R$3,0,0,'Données projet'!$E$9+1,1))-AVERAGE(OFFSET($H$3,0,0,'Données projet'!$E$9+1,1))</f>
        <v>237.22177246688199</v>
      </c>
      <c r="T89" s="62">
        <f t="shared" si="88"/>
        <v>149.27472147904302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0.65748464701091669</v>
      </c>
      <c r="AB89" s="23">
        <f>EXP(-LN(2)/2)*AB88+(1-EXP(-LN(2)/2))/(LN(2)/2)*V89*Y89*VLOOKUP('Données projet'!$B$9,Paramètres!$A$1:$I$89,3,0)*0.475*44/12</f>
        <v>2.3057117515908283E-8</v>
      </c>
      <c r="AC89" s="24">
        <f t="shared" si="57"/>
        <v>0.65748467006803424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2.9</v>
      </c>
      <c r="AI89" s="14">
        <f>IF('Données projet'!$A$62&gt;35,AI88+AH89-AQ88,IF(A89&lt;'Données projet'!$A$62,$AF$205^A89,IF(A89='Données projet'!$A$62,'Données projet'!$B$62,AI88+AH89-AQ88)))</f>
        <v>236.39999999999995</v>
      </c>
      <c r="AJ89" s="14">
        <f>AI89*VLOOKUP('Données projet'!$B$10,Paramètres!$A$1:$I$89,3,0)*VLOOKUP('Données projet'!$B$10,Paramètres!$A$1:$I$89,5,0)</f>
        <v>206.51903999999999</v>
      </c>
      <c r="AK89" s="14">
        <f t="shared" si="89"/>
        <v>51.174169948732491</v>
      </c>
      <c r="AL89" s="22">
        <f t="shared" si="58"/>
        <v>448.81567399404236</v>
      </c>
      <c r="AM89" s="62">
        <f t="shared" si="59"/>
        <v>742.14900732737567</v>
      </c>
      <c r="AN89" s="62">
        <f ca="1">AVERAGE(OFFSET($AM$3,0,0,'Données projet'!$E$10+1,1))-AVERAGE(OFFSET($H$3,0,0,'Données projet'!$E$10+1,1))</f>
        <v>223.81948236065614</v>
      </c>
      <c r="AO89" s="62">
        <f t="shared" si="90"/>
        <v>320.1204011431372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1.0137057688307538</v>
      </c>
      <c r="AV89" s="23">
        <f>EXP(-LN(2)/25)*AV88+(1-EXP(-LN(2)/25))/(LN(2)/25)*Calculateur!AQ89*Calculateur!AS89*VLOOKUP('Données projet'!$B$10,Paramètres!$A$1:$I$89,3,0)*0.475*44/12</f>
        <v>3.745240189872054</v>
      </c>
      <c r="AW89" s="23">
        <f>EXP(-LN(2)/2)*AW88+(1-EXP(-LN(2)/2))/(LN(2)/2)*AQ89*AT89*VLOOKUP('Données projet'!$B$10,Paramètres!$A$1:$I$89,3,0)*0.475*44/12</f>
        <v>1.0345133695440261E-7</v>
      </c>
      <c r="AX89" s="23">
        <f t="shared" si="60"/>
        <v>4.7589460621541448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-4.5474735088646412E-13</v>
      </c>
      <c r="BE89" s="14">
        <f>BD89*VLOOKUP('Données projet'!$B$11,Paramètres!$A$1:$I$89,3,0)*VLOOKUP('Données projet'!$B$11,Paramètres!$A$1:$I$89,5,0)</f>
        <v>-2.7193891583010558E-13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216.94426559495264</v>
      </c>
      <c r="BJ89" s="62">
        <f t="shared" si="92"/>
        <v>225.33715877618704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2.7200134199599688</v>
      </c>
      <c r="BR89" s="23">
        <f>EXP(-LN(2)/2)*BR88+(1-EXP(-LN(2)/2))/(LN(2)/2)*BL89*BO89*VLOOKUP('Données projet'!$B$11,Paramètres!$A$1:$I$89,3,0)*0.475*44/12</f>
        <v>8.8398754126649244E-8</v>
      </c>
      <c r="BS89" s="24">
        <f t="shared" si="63"/>
        <v>2.7200135083587229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279.20000000000039</v>
      </c>
      <c r="O90" s="14">
        <f>N90*VLOOKUP('Données projet'!$B$9,Paramètres!$A$1:$I$89,3,0)*VLOOKUP('Données projet'!$B$9,Paramètres!$A$1:$I$89,5,0)</f>
        <v>252.62016000000034</v>
      </c>
      <c r="P90" s="14">
        <f t="shared" si="87"/>
        <v>61.146667772298876</v>
      </c>
      <c r="Q90" s="22">
        <f t="shared" si="54"/>
        <v>546.47722503675448</v>
      </c>
      <c r="R90" s="62">
        <f t="shared" si="55"/>
        <v>839.81055837008785</v>
      </c>
      <c r="S90" s="62">
        <f ca="1">AVERAGE(OFFSET($R$3,0,0,'Données projet'!$E$9+1,1))-AVERAGE(OFFSET($H$3,0,0,'Données projet'!$E$9+1,1))</f>
        <v>237.22177246688199</v>
      </c>
      <c r="T90" s="62">
        <f t="shared" si="88"/>
        <v>149.27472147904302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0.63950569476278829</v>
      </c>
      <c r="AB90" s="23">
        <f>EXP(-LN(2)/2)*AB89+(1-EXP(-LN(2)/2))/(LN(2)/2)*V90*Y90*VLOOKUP('Données projet'!$B$9,Paramètres!$A$1:$I$89,3,0)*0.475*44/12</f>
        <v>1.630384415011387E-8</v>
      </c>
      <c r="AC90" s="24">
        <f t="shared" si="57"/>
        <v>0.63950571106663245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2.9</v>
      </c>
      <c r="AI90" s="14">
        <f>IF('Données projet'!$A$62&gt;35,AI89+AH90-AQ89,IF(A90&lt;'Données projet'!$A$62,$AF$205^A90,IF(A90='Données projet'!$A$62,'Données projet'!$B$62,AI89+AH90-AQ89)))</f>
        <v>239.29999999999995</v>
      </c>
      <c r="AJ90" s="14">
        <f>AI90*VLOOKUP('Données projet'!$B$10,Paramètres!$A$1:$I$89,3,0)*VLOOKUP('Données projet'!$B$10,Paramètres!$A$1:$I$89,5,0)</f>
        <v>209.05247999999997</v>
      </c>
      <c r="AK90" s="14">
        <f t="shared" si="89"/>
        <v>51.728474274704773</v>
      </c>
      <c r="AL90" s="22">
        <f t="shared" si="58"/>
        <v>454.19349536177742</v>
      </c>
      <c r="AM90" s="62">
        <f t="shared" si="59"/>
        <v>747.52682869511068</v>
      </c>
      <c r="AN90" s="62">
        <f ca="1">AVERAGE(OFFSET($AM$3,0,0,'Données projet'!$E$10+1,1))-AVERAGE(OFFSET($H$3,0,0,'Données projet'!$E$10+1,1))</f>
        <v>223.81948236065614</v>
      </c>
      <c r="AO90" s="62">
        <f t="shared" si="90"/>
        <v>320.1204011431372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0.99382761700344968</v>
      </c>
      <c r="AV90" s="23">
        <f>EXP(-LN(2)/25)*AV89+(1-EXP(-LN(2)/25))/(LN(2)/25)*Calculateur!AQ90*Calculateur!AS90*VLOOKUP('Données projet'!$B$10,Paramètres!$A$1:$I$89,3,0)*0.475*44/12</f>
        <v>3.6428263999263808</v>
      </c>
      <c r="AW90" s="23">
        <f>EXP(-LN(2)/2)*AW89+(1-EXP(-LN(2)/2))/(LN(2)/2)*AQ90*AT90*VLOOKUP('Données projet'!$B$10,Paramètres!$A$1:$I$89,3,0)*0.475*44/12</f>
        <v>7.3151141883272563E-8</v>
      </c>
      <c r="AX90" s="23">
        <f t="shared" si="60"/>
        <v>4.6366540900809721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-4.5474735088646412E-13</v>
      </c>
      <c r="BE90" s="14">
        <f>BD90*VLOOKUP('Données projet'!$B$11,Paramètres!$A$1:$I$89,3,0)*VLOOKUP('Données projet'!$B$11,Paramètres!$A$1:$I$89,5,0)</f>
        <v>-2.7193891583010558E-13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216.94426559495264</v>
      </c>
      <c r="BJ90" s="62">
        <f t="shared" si="92"/>
        <v>225.33715877618704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2.6456345099518743</v>
      </c>
      <c r="BR90" s="23">
        <f>EXP(-LN(2)/2)*BR89+(1-EXP(-LN(2)/2))/(LN(2)/2)*BL90*BO90*VLOOKUP('Données projet'!$B$11,Paramètres!$A$1:$I$89,3,0)*0.475*44/12</f>
        <v>6.250735849139598E-8</v>
      </c>
      <c r="BS90" s="24">
        <f t="shared" si="63"/>
        <v>2.6456345724592327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284.80000000000041</v>
      </c>
      <c r="O91" s="14">
        <f>N91*VLOOKUP('Données projet'!$B$9,Paramètres!$A$1:$I$89,3,0)*VLOOKUP('Données projet'!$B$9,Paramètres!$A$1:$I$89,5,0)</f>
        <v>257.68704000000037</v>
      </c>
      <c r="P91" s="14">
        <f t="shared" si="87"/>
        <v>62.229092239243457</v>
      </c>
      <c r="Q91" s="22">
        <f t="shared" si="54"/>
        <v>557.18726365001623</v>
      </c>
      <c r="R91" s="62">
        <f t="shared" si="55"/>
        <v>850.52059698334961</v>
      </c>
      <c r="S91" s="62">
        <f ca="1">AVERAGE(OFFSET($R$3,0,0,'Données projet'!$E$9+1,1))-AVERAGE(OFFSET($H$3,0,0,'Données projet'!$E$9+1,1))</f>
        <v>237.22177246688199</v>
      </c>
      <c r="T91" s="62">
        <f t="shared" si="88"/>
        <v>149.27472147904302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0.62201837790935699</v>
      </c>
      <c r="AB91" s="23">
        <f>EXP(-LN(2)/2)*AB90+(1-EXP(-LN(2)/2))/(LN(2)/2)*V91*Y91*VLOOKUP('Données projet'!$B$9,Paramètres!$A$1:$I$89,3,0)*0.475*44/12</f>
        <v>1.1528558757954142E-8</v>
      </c>
      <c r="AC91" s="24">
        <f t="shared" si="57"/>
        <v>0.62201838943791576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2.9</v>
      </c>
      <c r="AI91" s="14">
        <f>IF('Données projet'!$A$62&gt;35,AI90+AH91-AQ90,IF(A91&lt;'Données projet'!$A$62,$AF$205^A91,IF(A91='Données projet'!$A$62,'Données projet'!$B$62,AI90+AH91-AQ90)))</f>
        <v>242.19999999999996</v>
      </c>
      <c r="AJ91" s="14">
        <f>AI91*VLOOKUP('Données projet'!$B$10,Paramètres!$A$1:$I$89,3,0)*VLOOKUP('Données projet'!$B$10,Paramètres!$A$1:$I$89,5,0)</f>
        <v>211.58591999999996</v>
      </c>
      <c r="AK91" s="14">
        <f t="shared" si="89"/>
        <v>52.281997222074629</v>
      </c>
      <c r="AL91" s="22">
        <f t="shared" si="58"/>
        <v>459.56995582844655</v>
      </c>
      <c r="AM91" s="62">
        <f t="shared" si="59"/>
        <v>752.90328916177987</v>
      </c>
      <c r="AN91" s="62">
        <f ca="1">AVERAGE(OFFSET($AM$3,0,0,'Données projet'!$E$10+1,1))-AVERAGE(OFFSET($H$3,0,0,'Données projet'!$E$10+1,1))</f>
        <v>223.81948236065614</v>
      </c>
      <c r="AO91" s="62">
        <f t="shared" si="90"/>
        <v>320.1204011431372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0.97433926360900358</v>
      </c>
      <c r="AV91" s="23">
        <f>EXP(-LN(2)/25)*AV90+(1-EXP(-LN(2)/25))/(LN(2)/25)*Calculateur!AQ91*Calculateur!AS91*VLOOKUP('Données projet'!$B$10,Paramètres!$A$1:$I$89,3,0)*0.475*44/12</f>
        <v>3.5432131204524793</v>
      </c>
      <c r="AW91" s="23">
        <f>EXP(-LN(2)/2)*AW90+(1-EXP(-LN(2)/2))/(LN(2)/2)*AQ91*AT91*VLOOKUP('Données projet'!$B$10,Paramètres!$A$1:$I$89,3,0)*0.475*44/12</f>
        <v>5.1725668477201305E-8</v>
      </c>
      <c r="AX91" s="23">
        <f t="shared" si="60"/>
        <v>4.5175524357871515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-4.5474735088646412E-13</v>
      </c>
      <c r="BE91" s="14">
        <f>BD91*VLOOKUP('Données projet'!$B$11,Paramètres!$A$1:$I$89,3,0)*VLOOKUP('Données projet'!$B$11,Paramètres!$A$1:$I$89,5,0)</f>
        <v>-2.7193891583010558E-13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216.94426559495264</v>
      </c>
      <c r="BJ91" s="62">
        <f t="shared" si="92"/>
        <v>225.33715877618704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2.5732894951493681</v>
      </c>
      <c r="BR91" s="23">
        <f>EXP(-LN(2)/2)*BR90+(1-EXP(-LN(2)/2))/(LN(2)/2)*BL91*BO91*VLOOKUP('Données projet'!$B$11,Paramètres!$A$1:$I$89,3,0)*0.475*44/12</f>
        <v>4.4199377063324622E-8</v>
      </c>
      <c r="BS91" s="24">
        <f t="shared" si="63"/>
        <v>2.5732895393487452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290.40000000000043</v>
      </c>
      <c r="O92" s="14">
        <f>N92*VLOOKUP('Données projet'!$B$9,Paramètres!$A$1:$I$89,3,0)*VLOOKUP('Données projet'!$B$9,Paramètres!$A$1:$I$89,5,0)</f>
        <v>262.75392000000039</v>
      </c>
      <c r="P92" s="14">
        <f t="shared" si="87"/>
        <v>63.309041956360382</v>
      </c>
      <c r="Q92" s="22">
        <f t="shared" si="54"/>
        <v>567.89299207399495</v>
      </c>
      <c r="R92" s="62">
        <f t="shared" si="55"/>
        <v>861.2263254073282</v>
      </c>
      <c r="S92" s="62">
        <f ca="1">AVERAGE(OFFSET($R$3,0,0,'Données projet'!$E$9+1,1))-AVERAGE(OFFSET($H$3,0,0,'Données projet'!$E$9+1,1))</f>
        <v>237.22177246688199</v>
      </c>
      <c r="T92" s="62">
        <f t="shared" si="88"/>
        <v>149.27472147904302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0.6050092526549008</v>
      </c>
      <c r="AB92" s="23">
        <f>EXP(-LN(2)/2)*AB91+(1-EXP(-LN(2)/2))/(LN(2)/2)*V92*Y92*VLOOKUP('Données projet'!$B$9,Paramètres!$A$1:$I$89,3,0)*0.475*44/12</f>
        <v>8.1519220750569352E-9</v>
      </c>
      <c r="AC92" s="24">
        <f t="shared" si="57"/>
        <v>0.60500926080682282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2.9</v>
      </c>
      <c r="AI92" s="14">
        <f>IF('Données projet'!$A$62&gt;35,AI91+AH92-AQ91,IF(A92&lt;'Données projet'!$A$62,$AF$205^A92,IF(A92='Données projet'!$A$62,'Données projet'!$B$62,AI91+AH92-AQ91)))</f>
        <v>245.09999999999997</v>
      </c>
      <c r="AJ92" s="14">
        <f>AI92*VLOOKUP('Données projet'!$B$10,Paramètres!$A$1:$I$89,3,0)*VLOOKUP('Données projet'!$B$10,Paramètres!$A$1:$I$89,5,0)</f>
        <v>214.11936</v>
      </c>
      <c r="AK92" s="14">
        <f t="shared" si="89"/>
        <v>52.834749228990397</v>
      </c>
      <c r="AL92" s="22">
        <f t="shared" si="58"/>
        <v>464.94507357382491</v>
      </c>
      <c r="AM92" s="62">
        <f t="shared" si="59"/>
        <v>758.27840690715823</v>
      </c>
      <c r="AN92" s="62">
        <f ca="1">AVERAGE(OFFSET($AM$3,0,0,'Données projet'!$E$10+1,1))-AVERAGE(OFFSET($H$3,0,0,'Données projet'!$E$10+1,1))</f>
        <v>223.81948236065614</v>
      </c>
      <c r="AO92" s="62">
        <f t="shared" si="90"/>
        <v>320.1204011431372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0.95523306493790072</v>
      </c>
      <c r="AV92" s="23">
        <f>EXP(-LN(2)/25)*AV91+(1-EXP(-LN(2)/25))/(LN(2)/25)*Calculateur!AQ92*Calculateur!AS92*VLOOKUP('Données projet'!$B$10,Paramètres!$A$1:$I$89,3,0)*0.475*44/12</f>
        <v>3.4463237713442263</v>
      </c>
      <c r="AW92" s="23">
        <f>EXP(-LN(2)/2)*AW91+(1-EXP(-LN(2)/2))/(LN(2)/2)*AQ92*AT92*VLOOKUP('Données projet'!$B$10,Paramètres!$A$1:$I$89,3,0)*0.475*44/12</f>
        <v>3.6575570941636282E-8</v>
      </c>
      <c r="AX92" s="23">
        <f t="shared" si="60"/>
        <v>4.4015568728576984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-4.5474735088646412E-13</v>
      </c>
      <c r="BE92" s="14">
        <f>BD92*VLOOKUP('Données projet'!$B$11,Paramètres!$A$1:$I$89,3,0)*VLOOKUP('Données projet'!$B$11,Paramètres!$A$1:$I$89,5,0)</f>
        <v>-2.7193891583010558E-13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216.94426559495264</v>
      </c>
      <c r="BJ92" s="62">
        <f t="shared" si="92"/>
        <v>225.33715877618704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2.5029227585810956</v>
      </c>
      <c r="BR92" s="23">
        <f>EXP(-LN(2)/2)*BR91+(1-EXP(-LN(2)/2))/(LN(2)/2)*BL92*BO92*VLOOKUP('Données projet'!$B$11,Paramètres!$A$1:$I$89,3,0)*0.475*44/12</f>
        <v>3.125367924569799E-8</v>
      </c>
      <c r="BS92" s="24">
        <f t="shared" si="63"/>
        <v>2.5029227898347748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296.00000000000045</v>
      </c>
      <c r="O93" s="14">
        <f>N93*VLOOKUP('Données projet'!$B$9,Paramètres!$A$1:$I$89,3,0)*VLOOKUP('Données projet'!$B$9,Paramètres!$A$1:$I$89,5,0)</f>
        <v>267.82080000000042</v>
      </c>
      <c r="P93" s="14">
        <f t="shared" si="87"/>
        <v>64.38657014789743</v>
      </c>
      <c r="Q93" s="22">
        <f t="shared" si="54"/>
        <v>578.59450300758874</v>
      </c>
      <c r="R93" s="62">
        <f t="shared" si="55"/>
        <v>871.92783634092211</v>
      </c>
      <c r="S93" s="62">
        <f ca="1">AVERAGE(OFFSET($R$3,0,0,'Données projet'!$E$9+1,1))-AVERAGE(OFFSET($H$3,0,0,'Données projet'!$E$9+1,1))</f>
        <v>237.22177246688199</v>
      </c>
      <c r="T93" s="62">
        <f t="shared" si="88"/>
        <v>149.27472147904302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0.58846524282499868</v>
      </c>
      <c r="AB93" s="23">
        <f>EXP(-LN(2)/2)*AB92+(1-EXP(-LN(2)/2))/(LN(2)/2)*V93*Y93*VLOOKUP('Données projet'!$B$9,Paramètres!$A$1:$I$89,3,0)*0.475*44/12</f>
        <v>5.7642793789770708E-9</v>
      </c>
      <c r="AC93" s="24">
        <f t="shared" si="57"/>
        <v>0.58846524858927807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248</v>
      </c>
      <c r="AG93" s="13">
        <f>VLOOKUP(A93,'Données projet'!$A$61:$I$81,9,0)</f>
        <v>2.9</v>
      </c>
      <c r="AH93" s="13">
        <f t="array" ref="AH93">INDEX(AG:AG,MIN(IF(ISNUMBER(AG93:AG289),ROW(AG93:AG289),"")))</f>
        <v>2.9</v>
      </c>
      <c r="AI93" s="14">
        <f>IF('Données projet'!$A$62&gt;35,AI92+AH93-AQ92,IF(A93&lt;'Données projet'!$A$62,$AF$205^A93,IF(A93='Données projet'!$A$62,'Données projet'!$B$62,AI92+AH93-AQ92)))</f>
        <v>247.99999999999997</v>
      </c>
      <c r="AJ93" s="14">
        <f>AI93*VLOOKUP('Données projet'!$B$10,Paramètres!$A$1:$I$89,3,0)*VLOOKUP('Données projet'!$B$10,Paramètres!$A$1:$I$89,5,0)</f>
        <v>216.65280000000001</v>
      </c>
      <c r="AK93" s="14">
        <f t="shared" si="89"/>
        <v>53.38674047237982</v>
      </c>
      <c r="AL93" s="22">
        <f t="shared" si="58"/>
        <v>470.31886632272813</v>
      </c>
      <c r="AM93" s="62">
        <f t="shared" si="59"/>
        <v>763.65219965606138</v>
      </c>
      <c r="AN93" s="62">
        <f ca="1">AVERAGE(OFFSET($AM$3,0,0,'Données projet'!$E$10+1,1))-AVERAGE(OFFSET($H$3,0,0,'Données projet'!$E$10+1,1))</f>
        <v>223.81948236065614</v>
      </c>
      <c r="AO93" s="62">
        <f t="shared" si="90"/>
        <v>320.1204011431372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248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0.93650152716910773</v>
      </c>
      <c r="AV93" s="23">
        <f>EXP(-LN(2)/25)*AV92+(1-EXP(-LN(2)/25))/(LN(2)/25)*Calculateur!AQ93*Calculateur!AS93*VLOOKUP('Données projet'!$B$10,Paramètres!$A$1:$I$89,3,0)*0.475*44/12</f>
        <v>3.3520838665825279</v>
      </c>
      <c r="AW93" s="23">
        <f>EXP(-LN(2)/2)*AW92+(1-EXP(-LN(2)/2))/(LN(2)/2)*AQ93*AT93*VLOOKUP('Données projet'!$B$10,Paramètres!$A$1:$I$89,3,0)*0.475*44/12</f>
        <v>2.5862834238600653E-8</v>
      </c>
      <c r="AX93" s="23">
        <f t="shared" si="60"/>
        <v>4.2885854196144697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-4.5474735088646412E-13</v>
      </c>
      <c r="BE93" s="14">
        <f>BD93*VLOOKUP('Données projet'!$B$11,Paramètres!$A$1:$I$89,3,0)*VLOOKUP('Données projet'!$B$11,Paramètres!$A$1:$I$89,5,0)</f>
        <v>-2.7193891583010558E-13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216.94426559495264</v>
      </c>
      <c r="BJ93" s="62">
        <f t="shared" si="92"/>
        <v>225.33715877618704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2.434480204124708</v>
      </c>
      <c r="BR93" s="23">
        <f>EXP(-LN(2)/2)*BR92+(1-EXP(-LN(2)/2))/(LN(2)/2)*BL93*BO93*VLOOKUP('Données projet'!$B$11,Paramètres!$A$1:$I$89,3,0)*0.475*44/12</f>
        <v>2.2099688531662311E-8</v>
      </c>
      <c r="BS93" s="24">
        <f t="shared" si="63"/>
        <v>2.4344802262243967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258.90000000000043</v>
      </c>
      <c r="O94" s="14">
        <f>N94*VLOOKUP('Données projet'!$B$9,Paramètres!$A$1:$I$89,3,0)*VLOOKUP('Données projet'!$B$9,Paramètres!$A$1:$I$89,5,0)</f>
        <v>234.25272000000038</v>
      </c>
      <c r="P94" s="14">
        <f t="shared" si="87"/>
        <v>57.2012362311714</v>
      </c>
      <c r="Q94" s="22">
        <f t="shared" si="54"/>
        <v>507.61564043595746</v>
      </c>
      <c r="R94" s="62">
        <f t="shared" si="55"/>
        <v>800.94897376929077</v>
      </c>
      <c r="S94" s="62">
        <f ca="1">AVERAGE(OFFSET($R$3,0,0,'Données projet'!$E$9+1,1))-AVERAGE(OFFSET($H$3,0,0,'Données projet'!$E$9+1,1))</f>
        <v>237.22177246688199</v>
      </c>
      <c r="T94" s="62">
        <f t="shared" si="88"/>
        <v>149.27472147904302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0.57237362981390694</v>
      </c>
      <c r="AB94" s="23">
        <f>EXP(-LN(2)/2)*AB93+(1-EXP(-LN(2)/2))/(LN(2)/2)*V94*Y94*VLOOKUP('Données projet'!$B$9,Paramètres!$A$1:$I$89,3,0)*0.475*44/12</f>
        <v>4.0759610375284676E-9</v>
      </c>
      <c r="AC94" s="24">
        <f t="shared" si="57"/>
        <v>0.57237363388986795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-2.8421709430404007E-14</v>
      </c>
      <c r="AJ94" s="14">
        <f>AI94*VLOOKUP('Données projet'!$B$10,Paramètres!$A$1:$I$89,3,0)*VLOOKUP('Données projet'!$B$10,Paramètres!$A$1:$I$89,5,0)</f>
        <v>-2.4829205358400945E-14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223.81948236065614</v>
      </c>
      <c r="AO94" s="62">
        <f t="shared" si="90"/>
        <v>320.1204011431372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0.91813730343085087</v>
      </c>
      <c r="AV94" s="23">
        <f>EXP(-LN(2)/25)*AV93+(1-EXP(-LN(2)/25))/(LN(2)/25)*Calculateur!AQ94*Calculateur!AS94*VLOOKUP('Données projet'!$B$10,Paramètres!$A$1:$I$89,3,0)*0.475*44/12</f>
        <v>3.2604209569723994</v>
      </c>
      <c r="AW94" s="23">
        <f>EXP(-LN(2)/2)*AW93+(1-EXP(-LN(2)/2))/(LN(2)/2)*AQ94*AT94*VLOOKUP('Données projet'!$B$10,Paramètres!$A$1:$I$89,3,0)*0.475*44/12</f>
        <v>1.8287785470818141E-8</v>
      </c>
      <c r="AX94" s="23">
        <f t="shared" si="60"/>
        <v>4.1785582786910354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-4.5474735088646412E-13</v>
      </c>
      <c r="BE94" s="14">
        <f>BD94*VLOOKUP('Données projet'!$B$11,Paramètres!$A$1:$I$89,3,0)*VLOOKUP('Données projet'!$B$11,Paramètres!$A$1:$I$89,5,0)</f>
        <v>-2.7193891583010558E-13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216.94426559495264</v>
      </c>
      <c r="BJ94" s="62">
        <f t="shared" si="92"/>
        <v>225.33715877618704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2.3679092149191678</v>
      </c>
      <c r="BR94" s="23">
        <f>EXP(-LN(2)/2)*BR93+(1-EXP(-LN(2)/2))/(LN(2)/2)*BL94*BO94*VLOOKUP('Données projet'!$B$11,Paramètres!$A$1:$I$89,3,0)*0.475*44/12</f>
        <v>1.5626839622848995E-8</v>
      </c>
      <c r="BS94" s="24">
        <f t="shared" si="63"/>
        <v>2.3679092305460077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263.80000000000041</v>
      </c>
      <c r="O95" s="14">
        <f>N95*VLOOKUP('Données projet'!$B$9,Paramètres!$A$1:$I$89,3,0)*VLOOKUP('Données projet'!$B$9,Paramètres!$A$1:$I$89,5,0)</f>
        <v>238.68624000000034</v>
      </c>
      <c r="P95" s="14">
        <f t="shared" si="87"/>
        <v>58.156778382060978</v>
      </c>
      <c r="Q95" s="22">
        <f t="shared" si="54"/>
        <v>517.00159034875685</v>
      </c>
      <c r="R95" s="62">
        <f t="shared" si="55"/>
        <v>810.33492368209022</v>
      </c>
      <c r="S95" s="62">
        <f ca="1">AVERAGE(OFFSET($R$3,0,0,'Données projet'!$E$9+1,1))-AVERAGE(OFFSET($H$3,0,0,'Données projet'!$E$9+1,1))</f>
        <v>237.22177246688199</v>
      </c>
      <c r="T95" s="62">
        <f t="shared" si="88"/>
        <v>149.27472147904302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0.55672204280682469</v>
      </c>
      <c r="AB95" s="23">
        <f>EXP(-LN(2)/2)*AB94+(1-EXP(-LN(2)/2))/(LN(2)/2)*V95*Y95*VLOOKUP('Données projet'!$B$9,Paramètres!$A$1:$I$89,3,0)*0.475*44/12</f>
        <v>2.8821396894885354E-9</v>
      </c>
      <c r="AC95" s="24">
        <f t="shared" si="57"/>
        <v>0.55672204568896433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-2.8421709430404007E-14</v>
      </c>
      <c r="AJ95" s="14">
        <f>AI95*VLOOKUP('Données projet'!$B$10,Paramètres!$A$1:$I$89,3,0)*VLOOKUP('Données projet'!$B$10,Paramètres!$A$1:$I$89,5,0)</f>
        <v>-2.4829205358400945E-14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223.81948236065614</v>
      </c>
      <c r="AO95" s="62">
        <f t="shared" si="90"/>
        <v>320.1204011431372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0.90013319091903077</v>
      </c>
      <c r="AV95" s="23">
        <f>EXP(-LN(2)/25)*AV94+(1-EXP(-LN(2)/25))/(LN(2)/25)*Calculateur!AQ95*Calculateur!AS95*VLOOKUP('Données projet'!$B$10,Paramètres!$A$1:$I$89,3,0)*0.475*44/12</f>
        <v>3.1712645744459027</v>
      </c>
      <c r="AW95" s="23">
        <f>EXP(-LN(2)/2)*AW94+(1-EXP(-LN(2)/2))/(LN(2)/2)*AQ95*AT95*VLOOKUP('Données projet'!$B$10,Paramètres!$A$1:$I$89,3,0)*0.475*44/12</f>
        <v>1.2931417119300326E-8</v>
      </c>
      <c r="AX95" s="23">
        <f t="shared" si="60"/>
        <v>4.0713977782963502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-4.5474735088646412E-13</v>
      </c>
      <c r="BE95" s="14">
        <f>BD95*VLOOKUP('Données projet'!$B$11,Paramètres!$A$1:$I$89,3,0)*VLOOKUP('Données projet'!$B$11,Paramètres!$A$1:$I$89,5,0)</f>
        <v>-2.7193891583010558E-13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216.94426559495264</v>
      </c>
      <c r="BJ95" s="62">
        <f t="shared" si="92"/>
        <v>225.33715877618704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2.3031586129142694</v>
      </c>
      <c r="BR95" s="23">
        <f>EXP(-LN(2)/2)*BR94+(1-EXP(-LN(2)/2))/(LN(2)/2)*BL95*BO95*VLOOKUP('Données projet'!$B$11,Paramètres!$A$1:$I$89,3,0)*0.475*44/12</f>
        <v>1.1049844265831155E-8</v>
      </c>
      <c r="BS95" s="24">
        <f t="shared" si="63"/>
        <v>2.3031586239641135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268.70000000000039</v>
      </c>
      <c r="O96" s="14">
        <f>N96*VLOOKUP('Données projet'!$B$9,Paramètres!$A$1:$I$89,3,0)*VLOOKUP('Données projet'!$B$9,Paramètres!$A$1:$I$89,5,0)</f>
        <v>243.11976000000033</v>
      </c>
      <c r="P96" s="14">
        <f t="shared" si="87"/>
        <v>59.110256668778582</v>
      </c>
      <c r="Q96" s="22">
        <f t="shared" si="54"/>
        <v>526.38394569812317</v>
      </c>
      <c r="R96" s="62">
        <f t="shared" si="55"/>
        <v>819.71727903145643</v>
      </c>
      <c r="S96" s="62">
        <f ca="1">AVERAGE(OFFSET($R$3,0,0,'Données projet'!$E$9+1,1))-AVERAGE(OFFSET($H$3,0,0,'Données projet'!$E$9+1,1))</f>
        <v>237.22177246688199</v>
      </c>
      <c r="T96" s="62">
        <f t="shared" si="88"/>
        <v>149.27472147904302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0.54149844926953228</v>
      </c>
      <c r="AB96" s="23">
        <f>EXP(-LN(2)/2)*AB95+(1-EXP(-LN(2)/2))/(LN(2)/2)*V96*Y96*VLOOKUP('Données projet'!$B$9,Paramètres!$A$1:$I$89,3,0)*0.475*44/12</f>
        <v>2.0379805187642338E-9</v>
      </c>
      <c r="AC96" s="24">
        <f t="shared" si="57"/>
        <v>0.54149845130751284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-2.8421709430404007E-14</v>
      </c>
      <c r="AJ96" s="14">
        <f>AI96*VLOOKUP('Données projet'!$B$10,Paramètres!$A$1:$I$89,3,0)*VLOOKUP('Données projet'!$B$10,Paramètres!$A$1:$I$89,5,0)</f>
        <v>-2.4829205358400945E-14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223.81948236065614</v>
      </c>
      <c r="AO96" s="62">
        <f t="shared" si="90"/>
        <v>320.1204011431372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0.8824821280721431</v>
      </c>
      <c r="AV96" s="23">
        <f>EXP(-LN(2)/25)*AV95+(1-EXP(-LN(2)/25))/(LN(2)/25)*Calculateur!AQ96*Calculateur!AS96*VLOOKUP('Données projet'!$B$10,Paramètres!$A$1:$I$89,3,0)*0.475*44/12</f>
        <v>3.0845461778881234</v>
      </c>
      <c r="AW96" s="23">
        <f>EXP(-LN(2)/2)*AW95+(1-EXP(-LN(2)/2))/(LN(2)/2)*AQ96*AT96*VLOOKUP('Données projet'!$B$10,Paramètres!$A$1:$I$89,3,0)*0.475*44/12</f>
        <v>9.1438927354090704E-9</v>
      </c>
      <c r="AX96" s="23">
        <f t="shared" si="60"/>
        <v>3.9670283151041592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-4.5474735088646412E-13</v>
      </c>
      <c r="BE96" s="14">
        <f>BD96*VLOOKUP('Données projet'!$B$11,Paramètres!$A$1:$I$89,3,0)*VLOOKUP('Données projet'!$B$11,Paramètres!$A$1:$I$89,5,0)</f>
        <v>-2.7193891583010558E-13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216.94426559495264</v>
      </c>
      <c r="BJ96" s="62">
        <f t="shared" si="92"/>
        <v>225.33715877618704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2.2401786195262812</v>
      </c>
      <c r="BR96" s="23">
        <f>EXP(-LN(2)/2)*BR95+(1-EXP(-LN(2)/2))/(LN(2)/2)*BL96*BO96*VLOOKUP('Données projet'!$B$11,Paramètres!$A$1:$I$89,3,0)*0.475*44/12</f>
        <v>7.8134198114244975E-9</v>
      </c>
      <c r="BS96" s="24">
        <f t="shared" si="63"/>
        <v>2.2401786273397009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273.60000000000036</v>
      </c>
      <c r="O97" s="14">
        <f>N97*VLOOKUP('Données projet'!$B$9,Paramètres!$A$1:$I$89,3,0)*VLOOKUP('Données projet'!$B$9,Paramètres!$A$1:$I$89,5,0)</f>
        <v>247.55328000000031</v>
      </c>
      <c r="P97" s="14">
        <f t="shared" si="87"/>
        <v>60.061713068870304</v>
      </c>
      <c r="Q97" s="22">
        <f t="shared" si="54"/>
        <v>535.76277959494962</v>
      </c>
      <c r="R97" s="62">
        <f t="shared" si="55"/>
        <v>829.09611292828299</v>
      </c>
      <c r="S97" s="62">
        <f ca="1">AVERAGE(OFFSET($R$3,0,0,'Données projet'!$E$9+1,1))-AVERAGE(OFFSET($H$3,0,0,'Données projet'!$E$9+1,1))</f>
        <v>237.22177246688199</v>
      </c>
      <c r="T97" s="62">
        <f t="shared" si="88"/>
        <v>149.27472147904302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0.52669114569809106</v>
      </c>
      <c r="AB97" s="23">
        <f>EXP(-LN(2)/2)*AB96+(1-EXP(-LN(2)/2))/(LN(2)/2)*V97*Y97*VLOOKUP('Données projet'!$B$9,Paramètres!$A$1:$I$89,3,0)*0.475*44/12</f>
        <v>1.4410698447442677E-9</v>
      </c>
      <c r="AC97" s="24">
        <f t="shared" si="57"/>
        <v>0.52669114713916088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-2.8421709430404007E-14</v>
      </c>
      <c r="AJ97" s="14">
        <f>AI97*VLOOKUP('Données projet'!$B$10,Paramètres!$A$1:$I$89,3,0)*VLOOKUP('Données projet'!$B$10,Paramètres!$A$1:$I$89,5,0)</f>
        <v>-2.4829205358400945E-14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223.81948236065614</v>
      </c>
      <c r="AO97" s="62">
        <f t="shared" si="90"/>
        <v>320.1204011431372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0.86517719180159769</v>
      </c>
      <c r="AV97" s="23">
        <f>EXP(-LN(2)/25)*AV96+(1-EXP(-LN(2)/25))/(LN(2)/25)*Calculateur!AQ97*Calculateur!AS97*VLOOKUP('Données projet'!$B$10,Paramètres!$A$1:$I$89,3,0)*0.475*44/12</f>
        <v>3.0001991004445387</v>
      </c>
      <c r="AW97" s="23">
        <f>EXP(-LN(2)/2)*AW96+(1-EXP(-LN(2)/2))/(LN(2)/2)*AQ97*AT97*VLOOKUP('Données projet'!$B$10,Paramètres!$A$1:$I$89,3,0)*0.475*44/12</f>
        <v>6.4657085596501632E-9</v>
      </c>
      <c r="AX97" s="23">
        <f t="shared" si="60"/>
        <v>3.865376298711845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-4.5474735088646412E-13</v>
      </c>
      <c r="BE97" s="14">
        <f>BD97*VLOOKUP('Données projet'!$B$11,Paramètres!$A$1:$I$89,3,0)*VLOOKUP('Données projet'!$B$11,Paramètres!$A$1:$I$89,5,0)</f>
        <v>-2.7193891583010558E-13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216.94426559495264</v>
      </c>
      <c r="BJ97" s="62">
        <f t="shared" si="92"/>
        <v>225.33715877618704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2.1789208173694612</v>
      </c>
      <c r="BR97" s="23">
        <f>EXP(-LN(2)/2)*BR96+(1-EXP(-LN(2)/2))/(LN(2)/2)*BL97*BO97*VLOOKUP('Données projet'!$B$11,Paramètres!$A$1:$I$89,3,0)*0.475*44/12</f>
        <v>5.5249221329155777E-9</v>
      </c>
      <c r="BS97" s="24">
        <f t="shared" si="63"/>
        <v>2.1789208228943835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278.50000000000034</v>
      </c>
      <c r="O98" s="14">
        <f>N98*VLOOKUP('Données projet'!$B$9,Paramètres!$A$1:$I$89,3,0)*VLOOKUP('Données projet'!$B$9,Paramètres!$A$1:$I$89,5,0)</f>
        <v>251.98680000000033</v>
      </c>
      <c r="P98" s="14">
        <f t="shared" si="87"/>
        <v>61.011187970195103</v>
      </c>
      <c r="Q98" s="22">
        <f t="shared" si="54"/>
        <v>545.13816238142374</v>
      </c>
      <c r="R98" s="62">
        <f t="shared" si="55"/>
        <v>838.47149571475711</v>
      </c>
      <c r="S98" s="62">
        <f ca="1">AVERAGE(OFFSET($R$3,0,0,'Données projet'!$E$9+1,1))-AVERAGE(OFFSET($H$3,0,0,'Données projet'!$E$9+1,1))</f>
        <v>237.22177246688199</v>
      </c>
      <c r="T98" s="62">
        <f t="shared" si="88"/>
        <v>149.27472147904302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0.51228874862149321</v>
      </c>
      <c r="AB98" s="23">
        <f>EXP(-LN(2)/2)*AB97+(1-EXP(-LN(2)/2))/(LN(2)/2)*V98*Y98*VLOOKUP('Données projet'!$B$9,Paramètres!$A$1:$I$89,3,0)*0.475*44/12</f>
        <v>1.0189902593821169E-9</v>
      </c>
      <c r="AC98" s="24">
        <f t="shared" si="57"/>
        <v>0.51228874964048343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-2.8421709430404007E-14</v>
      </c>
      <c r="AJ98" s="14">
        <f>AI98*VLOOKUP('Données projet'!$B$10,Paramètres!$A$1:$I$89,3,0)*VLOOKUP('Données projet'!$B$10,Paramètres!$A$1:$I$89,5,0)</f>
        <v>-2.4829205358400945E-14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223.81948236065614</v>
      </c>
      <c r="AO98" s="62">
        <f t="shared" si="90"/>
        <v>320.1204011431372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0.84821159477634867</v>
      </c>
      <c r="AV98" s="23">
        <f>EXP(-LN(2)/25)*AV97+(1-EXP(-LN(2)/25))/(LN(2)/25)*Calculateur!AQ98*Calculateur!AS98*VLOOKUP('Données projet'!$B$10,Paramètres!$A$1:$I$89,3,0)*0.475*44/12</f>
        <v>2.918158498269269</v>
      </c>
      <c r="AW98" s="23">
        <f>EXP(-LN(2)/2)*AW97+(1-EXP(-LN(2)/2))/(LN(2)/2)*AQ98*AT98*VLOOKUP('Données projet'!$B$10,Paramètres!$A$1:$I$89,3,0)*0.475*44/12</f>
        <v>4.5719463677045352E-9</v>
      </c>
      <c r="AX98" s="23">
        <f t="shared" si="60"/>
        <v>3.766370097617564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-4.5474735088646412E-13</v>
      </c>
      <c r="BE98" s="14">
        <f>BD98*VLOOKUP('Données projet'!$B$11,Paramètres!$A$1:$I$89,3,0)*VLOOKUP('Données projet'!$B$11,Paramètres!$A$1:$I$89,5,0)</f>
        <v>-2.7193891583010558E-13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216.94426559495264</v>
      </c>
      <c r="BJ98" s="62">
        <f t="shared" si="92"/>
        <v>225.33715877618704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2.1193381130340274</v>
      </c>
      <c r="BR98" s="23">
        <f>EXP(-LN(2)/2)*BR97+(1-EXP(-LN(2)/2))/(LN(2)/2)*BL98*BO98*VLOOKUP('Données projet'!$B$11,Paramètres!$A$1:$I$89,3,0)*0.475*44/12</f>
        <v>3.9067099057122488E-9</v>
      </c>
      <c r="BS98" s="24">
        <f t="shared" si="63"/>
        <v>2.1193381169407375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283.40000000000032</v>
      </c>
      <c r="O99" s="14">
        <f>N99*VLOOKUP('Données projet'!$B$9,Paramètres!$A$1:$I$89,3,0)*VLOOKUP('Données projet'!$B$9,Paramètres!$A$1:$I$89,5,0)</f>
        <v>256.42032000000029</v>
      </c>
      <c r="P99" s="14">
        <f t="shared" si="87"/>
        <v>61.958720258016967</v>
      </c>
      <c r="Q99" s="22">
        <f t="shared" ref="Q99:Q130" si="107">(O99+P99)*0.475*44/12</f>
        <v>554.51016178271334</v>
      </c>
      <c r="R99" s="62">
        <f t="shared" si="55"/>
        <v>847.8434951160466</v>
      </c>
      <c r="S99" s="62">
        <f ca="1">AVERAGE(OFFSET($R$3,0,0,'Données projet'!$E$9+1,1))-AVERAGE(OFFSET($H$3,0,0,'Données projet'!$E$9+1,1))</f>
        <v>237.22177246688199</v>
      </c>
      <c r="T99" s="62">
        <f t="shared" si="88"/>
        <v>149.27472147904302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0.49828018585034406</v>
      </c>
      <c r="AB99" s="23">
        <f>EXP(-LN(2)/2)*AB98+(1-EXP(-LN(2)/2))/(LN(2)/2)*V99*Y99*VLOOKUP('Données projet'!$B$9,Paramètres!$A$1:$I$89,3,0)*0.475*44/12</f>
        <v>7.2053492237213385E-10</v>
      </c>
      <c r="AC99" s="24">
        <f t="shared" si="57"/>
        <v>0.49828018657087897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-2.8421709430404007E-14</v>
      </c>
      <c r="AJ99" s="14">
        <f>AI99*VLOOKUP('Données projet'!$B$10,Paramètres!$A$1:$I$89,3,0)*VLOOKUP('Données projet'!$B$10,Paramètres!$A$1:$I$89,5,0)</f>
        <v>-2.4829205358400945E-14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223.81948236065614</v>
      </c>
      <c r="AO99" s="62">
        <f t="shared" si="90"/>
        <v>320.1204011431372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0.8315786827607724</v>
      </c>
      <c r="AV99" s="23">
        <f>EXP(-LN(2)/25)*AV98+(1-EXP(-LN(2)/25))/(LN(2)/25)*Calculateur!AQ99*Calculateur!AS99*VLOOKUP('Données projet'!$B$10,Paramètres!$A$1:$I$89,3,0)*0.475*44/12</f>
        <v>2.8383613006748099</v>
      </c>
      <c r="AW99" s="23">
        <f>EXP(-LN(2)/2)*AW98+(1-EXP(-LN(2)/2))/(LN(2)/2)*AQ99*AT99*VLOOKUP('Données projet'!$B$10,Paramètres!$A$1:$I$89,3,0)*0.475*44/12</f>
        <v>3.2328542798250816E-9</v>
      </c>
      <c r="AX99" s="23">
        <f t="shared" si="60"/>
        <v>3.6699399866684366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-4.5474735088646412E-13</v>
      </c>
      <c r="BE99" s="14">
        <f>BD99*VLOOKUP('Données projet'!$B$11,Paramètres!$A$1:$I$89,3,0)*VLOOKUP('Données projet'!$B$11,Paramètres!$A$1:$I$89,5,0)</f>
        <v>-2.7193891583010558E-13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216.94426559495264</v>
      </c>
      <c r="BJ99" s="62">
        <f t="shared" si="92"/>
        <v>225.33715877618704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2.0613847008819643</v>
      </c>
      <c r="BR99" s="23">
        <f>EXP(-LN(2)/2)*BR98+(1-EXP(-LN(2)/2))/(LN(2)/2)*BL99*BO99*VLOOKUP('Données projet'!$B$11,Paramètres!$A$1:$I$89,3,0)*0.475*44/12</f>
        <v>2.7624610664577889E-9</v>
      </c>
      <c r="BS99" s="24">
        <f t="shared" si="63"/>
        <v>2.0613847036444253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288.3000000000003</v>
      </c>
      <c r="O100" s="14">
        <f>N100*VLOOKUP('Données projet'!$B$9,Paramètres!$A$1:$I$89,3,0)*VLOOKUP('Données projet'!$B$9,Paramètres!$A$1:$I$89,5,0)</f>
        <v>260.85384000000028</v>
      </c>
      <c r="P100" s="14">
        <f t="shared" si="87"/>
        <v>62.90434739590382</v>
      </c>
      <c r="Q100" s="22">
        <f t="shared" si="107"/>
        <v>563.87884304786633</v>
      </c>
      <c r="R100" s="62">
        <f t="shared" si="55"/>
        <v>857.2121763811997</v>
      </c>
      <c r="S100" s="62">
        <f ca="1">AVERAGE(OFFSET($R$3,0,0,'Données projet'!$E$9+1,1))-AVERAGE(OFFSET($H$3,0,0,'Données projet'!$E$9+1,1))</f>
        <v>237.22177246688199</v>
      </c>
      <c r="T100" s="62">
        <f t="shared" si="88"/>
        <v>149.27472147904302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0.48465468796485028</v>
      </c>
      <c r="AB100" s="23">
        <f>EXP(-LN(2)/2)*AB99+(1-EXP(-LN(2)/2))/(LN(2)/2)*V100*Y100*VLOOKUP('Données projet'!$B$9,Paramètres!$A$1:$I$89,3,0)*0.475*44/12</f>
        <v>5.0949512969105845E-10</v>
      </c>
      <c r="AC100" s="24">
        <f t="shared" si="57"/>
        <v>0.4846546884743454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-2.8421709430404007E-14</v>
      </c>
      <c r="AJ100" s="14">
        <f>AI100*VLOOKUP('Données projet'!$B$10,Paramètres!$A$1:$I$89,3,0)*VLOOKUP('Données projet'!$B$10,Paramètres!$A$1:$I$89,5,0)</f>
        <v>-2.4829205358400945E-14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223.81948236065614</v>
      </c>
      <c r="AO100" s="62">
        <f t="shared" si="90"/>
        <v>320.1204011431372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0.81527193200474701</v>
      </c>
      <c r="AV100" s="23">
        <f>EXP(-LN(2)/25)*AV99+(1-EXP(-LN(2)/25))/(LN(2)/25)*Calculateur!AQ100*Calculateur!AS100*VLOOKUP('Données projet'!$B$10,Paramètres!$A$1:$I$89,3,0)*0.475*44/12</f>
        <v>2.7607461616449234</v>
      </c>
      <c r="AW100" s="23">
        <f>EXP(-LN(2)/2)*AW99+(1-EXP(-LN(2)/2))/(LN(2)/2)*AQ100*AT100*VLOOKUP('Données projet'!$B$10,Paramètres!$A$1:$I$89,3,0)*0.475*44/12</f>
        <v>2.2859731838522676E-9</v>
      </c>
      <c r="AX100" s="23">
        <f t="shared" si="60"/>
        <v>3.5760180959356438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-4.5474735088646412E-13</v>
      </c>
      <c r="BE100" s="14">
        <f>BD100*VLOOKUP('Données projet'!$B$11,Paramètres!$A$1:$I$89,3,0)*VLOOKUP('Données projet'!$B$11,Paramètres!$A$1:$I$89,5,0)</f>
        <v>-2.7193891583010558E-13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216.94426559495264</v>
      </c>
      <c r="BJ100" s="62">
        <f t="shared" si="92"/>
        <v>225.33715877618704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2.0050160278328368</v>
      </c>
      <c r="BR100" s="23">
        <f>EXP(-LN(2)/2)*BR99+(1-EXP(-LN(2)/2))/(LN(2)/2)*BL100*BO100*VLOOKUP('Données projet'!$B$11,Paramètres!$A$1:$I$89,3,0)*0.475*44/12</f>
        <v>1.9533549528561244E-9</v>
      </c>
      <c r="BS100" s="24">
        <f t="shared" si="63"/>
        <v>2.0050160297861916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293.20000000000027</v>
      </c>
      <c r="O101" s="14">
        <f>N101*VLOOKUP('Données projet'!$B$9,Paramètres!$A$1:$I$89,3,0)*VLOOKUP('Données projet'!$B$9,Paramètres!$A$1:$I$89,5,0)</f>
        <v>265.28736000000026</v>
      </c>
      <c r="P101" s="14">
        <f t="shared" si="87"/>
        <v>63.848105500970064</v>
      </c>
      <c r="Q101" s="22">
        <f t="shared" si="107"/>
        <v>573.24426908085661</v>
      </c>
      <c r="R101" s="62">
        <f t="shared" si="55"/>
        <v>866.57760241418987</v>
      </c>
      <c r="S101" s="62">
        <f ca="1">AVERAGE(OFFSET($R$3,0,0,'Données projet'!$E$9+1,1))-AVERAGE(OFFSET($H$3,0,0,'Données projet'!$E$9+1,1))</f>
        <v>237.22177246688199</v>
      </c>
      <c r="T101" s="62">
        <f t="shared" si="88"/>
        <v>149.27472147904302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0.4714017800355691</v>
      </c>
      <c r="AB101" s="23">
        <f>EXP(-LN(2)/2)*AB100+(1-EXP(-LN(2)/2))/(LN(2)/2)*V101*Y101*VLOOKUP('Données projet'!$B$9,Paramètres!$A$1:$I$89,3,0)*0.475*44/12</f>
        <v>3.6026746118606693E-10</v>
      </c>
      <c r="AC101" s="24">
        <f t="shared" si="57"/>
        <v>0.47140178039583658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-2.8421709430404007E-14</v>
      </c>
      <c r="AJ101" s="14">
        <f>AI101*VLOOKUP('Données projet'!$B$10,Paramètres!$A$1:$I$89,3,0)*VLOOKUP('Données projet'!$B$10,Paramètres!$A$1:$I$89,5,0)</f>
        <v>-2.4829205358400945E-14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223.81948236065614</v>
      </c>
      <c r="AO101" s="62">
        <f t="shared" si="90"/>
        <v>320.1204011431372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0.79928494668491146</v>
      </c>
      <c r="AV101" s="23">
        <f>EXP(-LN(2)/25)*AV100+(1-EXP(-LN(2)/25))/(LN(2)/25)*Calculateur!AQ101*Calculateur!AS101*VLOOKUP('Données projet'!$B$10,Paramètres!$A$1:$I$89,3,0)*0.475*44/12</f>
        <v>2.6852534126734122</v>
      </c>
      <c r="AW101" s="23">
        <f>EXP(-LN(2)/2)*AW100+(1-EXP(-LN(2)/2))/(LN(2)/2)*AQ101*AT101*VLOOKUP('Données projet'!$B$10,Paramètres!$A$1:$I$89,3,0)*0.475*44/12</f>
        <v>1.6164271399125408E-9</v>
      </c>
      <c r="AX101" s="23">
        <f t="shared" si="60"/>
        <v>3.4845383609747507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-4.5474735088646412E-13</v>
      </c>
      <c r="BE101" s="14">
        <f>BD101*VLOOKUP('Données projet'!$B$11,Paramètres!$A$1:$I$89,3,0)*VLOOKUP('Données projet'!$B$11,Paramètres!$A$1:$I$89,5,0)</f>
        <v>-2.7193891583010558E-13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216.94426559495264</v>
      </c>
      <c r="BJ101" s="62">
        <f t="shared" si="92"/>
        <v>225.33715877618704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1.9501887591125375</v>
      </c>
      <c r="BR101" s="23">
        <f>EXP(-LN(2)/2)*BR100+(1-EXP(-LN(2)/2))/(LN(2)/2)*BL101*BO101*VLOOKUP('Données projet'!$B$11,Paramètres!$A$1:$I$89,3,0)*0.475*44/12</f>
        <v>1.3812305332288944E-9</v>
      </c>
      <c r="BS101" s="24">
        <f t="shared" si="63"/>
        <v>1.950188760493768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298.10000000000025</v>
      </c>
      <c r="O102" s="14">
        <f>N102*VLOOKUP('Données projet'!$B$9,Paramètres!$A$1:$I$89,3,0)*VLOOKUP('Données projet'!$B$9,Paramètres!$A$1:$I$89,5,0)</f>
        <v>269.72088000000025</v>
      </c>
      <c r="P102" s="14">
        <f t="shared" si="87"/>
        <v>64.790029413947011</v>
      </c>
      <c r="Q102" s="22">
        <f t="shared" si="107"/>
        <v>582.60650056262477</v>
      </c>
      <c r="R102" s="62">
        <f t="shared" si="55"/>
        <v>875.93983389595815</v>
      </c>
      <c r="S102" s="62">
        <f ca="1">AVERAGE(OFFSET($R$3,0,0,'Données projet'!$E$9+1,1))-AVERAGE(OFFSET($H$3,0,0,'Données projet'!$E$9+1,1))</f>
        <v>237.22177246688199</v>
      </c>
      <c r="T102" s="62">
        <f t="shared" si="88"/>
        <v>149.27472147904302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0.45851127357055427</v>
      </c>
      <c r="AB102" s="23">
        <f>EXP(-LN(2)/2)*AB101+(1-EXP(-LN(2)/2))/(LN(2)/2)*V102*Y102*VLOOKUP('Données projet'!$B$9,Paramètres!$A$1:$I$89,3,0)*0.475*44/12</f>
        <v>2.5474756484552923E-10</v>
      </c>
      <c r="AC102" s="24">
        <f t="shared" si="57"/>
        <v>0.45851127382530182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-2.8421709430404007E-14</v>
      </c>
      <c r="AJ102" s="14">
        <f>AI102*VLOOKUP('Données projet'!$B$10,Paramètres!$A$1:$I$89,3,0)*VLOOKUP('Données projet'!$B$10,Paramètres!$A$1:$I$89,5,0)</f>
        <v>-2.4829205358400945E-14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223.81948236065614</v>
      </c>
      <c r="AO102" s="62">
        <f t="shared" si="90"/>
        <v>320.1204011431372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0.78361145639609964</v>
      </c>
      <c r="AV102" s="23">
        <f>EXP(-LN(2)/25)*AV101+(1-EXP(-LN(2)/25))/(LN(2)/25)*Calculateur!AQ102*Calculateur!AS102*VLOOKUP('Données projet'!$B$10,Paramètres!$A$1:$I$89,3,0)*0.475*44/12</f>
        <v>2.6118250168925181</v>
      </c>
      <c r="AW102" s="23">
        <f>EXP(-LN(2)/2)*AW101+(1-EXP(-LN(2)/2))/(LN(2)/2)*AQ102*AT102*VLOOKUP('Données projet'!$B$10,Paramètres!$A$1:$I$89,3,0)*0.475*44/12</f>
        <v>1.1429865919261338E-9</v>
      </c>
      <c r="AX102" s="23">
        <f t="shared" si="60"/>
        <v>3.3954364744316043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-4.5474735088646412E-13</v>
      </c>
      <c r="BE102" s="14">
        <f>BD102*VLOOKUP('Données projet'!$B$11,Paramètres!$A$1:$I$89,3,0)*VLOOKUP('Données projet'!$B$11,Paramètres!$A$1:$I$89,5,0)</f>
        <v>-2.7193891583010558E-13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216.94426559495264</v>
      </c>
      <c r="BJ102" s="62">
        <f t="shared" si="92"/>
        <v>225.33715877618704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1.8968607449386357</v>
      </c>
      <c r="BR102" s="23">
        <f>EXP(-LN(2)/2)*BR101+(1-EXP(-LN(2)/2))/(LN(2)/2)*BL102*BO102*VLOOKUP('Données projet'!$B$11,Paramètres!$A$1:$I$89,3,0)*0.475*44/12</f>
        <v>9.7667747642806219E-10</v>
      </c>
      <c r="BS102" s="24">
        <f t="shared" si="63"/>
        <v>1.8968607459153131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303.00000000000023</v>
      </c>
      <c r="O103" s="14">
        <f>N103*VLOOKUP('Données projet'!$B$9,Paramètres!$A$1:$I$89,3,0)*VLOOKUP('Données projet'!$B$9,Paramètres!$A$1:$I$89,5,0)</f>
        <v>274.15440000000018</v>
      </c>
      <c r="P103" s="14">
        <f t="shared" si="87"/>
        <v>65.730152764515836</v>
      </c>
      <c r="Q103" s="22">
        <f t="shared" si="107"/>
        <v>591.96559606486528</v>
      </c>
      <c r="R103" s="62">
        <f t="shared" si="55"/>
        <v>885.29892939819865</v>
      </c>
      <c r="S103" s="62">
        <f ca="1">AVERAGE(OFFSET($R$3,0,0,'Données projet'!$E$9+1,1))-AVERAGE(OFFSET($H$3,0,0,'Données projet'!$E$9+1,1))</f>
        <v>237.22177246688199</v>
      </c>
      <c r="T103" s="62">
        <f t="shared" si="88"/>
        <v>149.27472147904302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0.44597325868270754</v>
      </c>
      <c r="AB103" s="23">
        <f>EXP(-LN(2)/2)*AB102+(1-EXP(-LN(2)/2))/(LN(2)/2)*V103*Y103*VLOOKUP('Données projet'!$B$9,Paramètres!$A$1:$I$89,3,0)*0.475*44/12</f>
        <v>1.8013373059303346E-10</v>
      </c>
      <c r="AC103" s="24">
        <f t="shared" si="57"/>
        <v>0.44597325886284128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-2.8421709430404007E-14</v>
      </c>
      <c r="AJ103" s="14">
        <f>AI103*VLOOKUP('Données projet'!$B$10,Paramètres!$A$1:$I$89,3,0)*VLOOKUP('Données projet'!$B$10,Paramètres!$A$1:$I$89,5,0)</f>
        <v>-2.4829205358400945E-14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223.81948236065614</v>
      </c>
      <c r="AO103" s="62">
        <f t="shared" si="90"/>
        <v>320.1204011431372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0.76824531369196636</v>
      </c>
      <c r="AV103" s="23">
        <f>EXP(-LN(2)/25)*AV102+(1-EXP(-LN(2)/25))/(LN(2)/25)*Calculateur!AQ103*Calculateur!AS103*VLOOKUP('Données projet'!$B$10,Paramètres!$A$1:$I$89,3,0)*0.475*44/12</f>
        <v>2.5404045244556839</v>
      </c>
      <c r="AW103" s="23">
        <f>EXP(-LN(2)/2)*AW102+(1-EXP(-LN(2)/2))/(LN(2)/2)*AQ103*AT103*VLOOKUP('Données projet'!$B$10,Paramètres!$A$1:$I$89,3,0)*0.475*44/12</f>
        <v>8.082135699562704E-10</v>
      </c>
      <c r="AX103" s="23">
        <f t="shared" si="60"/>
        <v>3.3086498389558638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-4.5474735088646412E-13</v>
      </c>
      <c r="BE103" s="14">
        <f>BD103*VLOOKUP('Données projet'!$B$11,Paramètres!$A$1:$I$89,3,0)*VLOOKUP('Données projet'!$B$11,Paramètres!$A$1:$I$89,5,0)</f>
        <v>-2.7193891583010558E-13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216.94426559495264</v>
      </c>
      <c r="BJ103" s="62">
        <f t="shared" si="92"/>
        <v>225.33715877618704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1.8449909881167175</v>
      </c>
      <c r="BR103" s="23">
        <f>EXP(-LN(2)/2)*BR102+(1-EXP(-LN(2)/2))/(LN(2)/2)*BL103*BO103*VLOOKUP('Données projet'!$B$11,Paramètres!$A$1:$I$89,3,0)*0.475*44/12</f>
        <v>6.9061526661444722E-10</v>
      </c>
      <c r="BS103" s="24">
        <f t="shared" si="63"/>
        <v>1.8449909888073328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265.4000000000002</v>
      </c>
      <c r="O104" s="14">
        <f>N104*VLOOKUP('Données projet'!$B$9,Paramètres!$A$1:$I$89,3,0)*VLOOKUP('Données projet'!$B$9,Paramètres!$A$1:$I$89,5,0)</f>
        <v>240.13392000000016</v>
      </c>
      <c r="P104" s="14">
        <f t="shared" si="87"/>
        <v>58.468343087048616</v>
      </c>
      <c r="Q104" s="22">
        <f t="shared" si="107"/>
        <v>520.06560820994321</v>
      </c>
      <c r="R104" s="62">
        <f t="shared" si="55"/>
        <v>813.39894154327658</v>
      </c>
      <c r="S104" s="62">
        <f ca="1">AVERAGE(OFFSET($R$3,0,0,'Données projet'!$E$9+1,1))-AVERAGE(OFFSET($H$3,0,0,'Données projet'!$E$9+1,1))</f>
        <v>237.22177246688199</v>
      </c>
      <c r="T104" s="62">
        <f t="shared" si="88"/>
        <v>149.27472147904302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0.43377809647131449</v>
      </c>
      <c r="AB104" s="23">
        <f>EXP(-LN(2)/2)*AB103+(1-EXP(-LN(2)/2))/(LN(2)/2)*V104*Y104*VLOOKUP('Données projet'!$B$9,Paramètres!$A$1:$I$89,3,0)*0.475*44/12</f>
        <v>1.2737378242276461E-10</v>
      </c>
      <c r="AC104" s="24">
        <f t="shared" si="57"/>
        <v>0.43377809659868827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-2.8421709430404007E-14</v>
      </c>
      <c r="AJ104" s="14">
        <f>AI104*VLOOKUP('Données projet'!$B$10,Paramètres!$A$1:$I$89,3,0)*VLOOKUP('Données projet'!$B$10,Paramètres!$A$1:$I$89,5,0)</f>
        <v>-2.4829205358400945E-14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223.81948236065614</v>
      </c>
      <c r="AO104" s="62">
        <f t="shared" si="90"/>
        <v>320.1204011431372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0.75318049167383949</v>
      </c>
      <c r="AV104" s="23">
        <f>EXP(-LN(2)/25)*AV103+(1-EXP(-LN(2)/25))/(LN(2)/25)*Calculateur!AQ104*Calculateur!AS104*VLOOKUP('Données projet'!$B$10,Paramètres!$A$1:$I$89,3,0)*0.475*44/12</f>
        <v>2.4709370291403756</v>
      </c>
      <c r="AW104" s="23">
        <f>EXP(-LN(2)/2)*AW103+(1-EXP(-LN(2)/2))/(LN(2)/2)*AQ104*AT104*VLOOKUP('Données projet'!$B$10,Paramètres!$A$1:$I$89,3,0)*0.475*44/12</f>
        <v>5.714932959630669E-10</v>
      </c>
      <c r="AX104" s="23">
        <f t="shared" si="60"/>
        <v>3.2241175213857081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-4.5474735088646412E-13</v>
      </c>
      <c r="BE104" s="14">
        <f>BD104*VLOOKUP('Données projet'!$B$11,Paramètres!$A$1:$I$89,3,0)*VLOOKUP('Données projet'!$B$11,Paramètres!$A$1:$I$89,5,0)</f>
        <v>-2.7193891583010558E-13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216.94426559495264</v>
      </c>
      <c r="BJ104" s="62">
        <f t="shared" si="92"/>
        <v>225.33715877618704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1.7945396125228066</v>
      </c>
      <c r="BR104" s="23">
        <f>EXP(-LN(2)/2)*BR103+(1-EXP(-LN(2)/2))/(LN(2)/2)*BL104*BO104*VLOOKUP('Données projet'!$B$11,Paramètres!$A$1:$I$89,3,0)*0.475*44/12</f>
        <v>4.883387382140311E-10</v>
      </c>
      <c r="BS104" s="24">
        <f t="shared" si="63"/>
        <v>1.7945396130111453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269.80000000000018</v>
      </c>
      <c r="O105" s="14">
        <f>N105*VLOOKUP('Données projet'!$B$9,Paramètres!$A$1:$I$89,3,0)*VLOOKUP('Données projet'!$B$9,Paramètres!$A$1:$I$89,5,0)</f>
        <v>244.11504000000016</v>
      </c>
      <c r="P105" s="14">
        <f t="shared" si="87"/>
        <v>59.324023461759062</v>
      </c>
      <c r="Q105" s="22">
        <f t="shared" si="107"/>
        <v>528.48970219589739</v>
      </c>
      <c r="R105" s="62">
        <f t="shared" si="55"/>
        <v>821.82303552923076</v>
      </c>
      <c r="S105" s="62">
        <f ca="1">AVERAGE(OFFSET($R$3,0,0,'Données projet'!$E$9+1,1))-AVERAGE(OFFSET($H$3,0,0,'Données projet'!$E$9+1,1))</f>
        <v>237.22177246688199</v>
      </c>
      <c r="T105" s="62">
        <f t="shared" si="88"/>
        <v>149.27472147904302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0.42191641161190774</v>
      </c>
      <c r="AB105" s="23">
        <f>EXP(-LN(2)/2)*AB104+(1-EXP(-LN(2)/2))/(LN(2)/2)*V105*Y105*VLOOKUP('Données projet'!$B$9,Paramètres!$A$1:$I$89,3,0)*0.475*44/12</f>
        <v>9.0066865296516732E-11</v>
      </c>
      <c r="AC105" s="24">
        <f t="shared" si="57"/>
        <v>0.42191641170197458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-2.8421709430404007E-14</v>
      </c>
      <c r="AJ105" s="14">
        <f>AI105*VLOOKUP('Données projet'!$B$10,Paramètres!$A$1:$I$89,3,0)*VLOOKUP('Données projet'!$B$10,Paramètres!$A$1:$I$89,5,0)</f>
        <v>-2.4829205358400945E-14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223.81948236065614</v>
      </c>
      <c r="AO105" s="62">
        <f t="shared" si="90"/>
        <v>320.1204011431372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0.73841108162685398</v>
      </c>
      <c r="AV105" s="23">
        <f>EXP(-LN(2)/25)*AV104+(1-EXP(-LN(2)/25))/(LN(2)/25)*Calculateur!AQ105*Calculateur!AS105*VLOOKUP('Données projet'!$B$10,Paramètres!$A$1:$I$89,3,0)*0.475*44/12</f>
        <v>2.4033691261376009</v>
      </c>
      <c r="AW105" s="23">
        <f>EXP(-LN(2)/2)*AW104+(1-EXP(-LN(2)/2))/(LN(2)/2)*AQ105*AT105*VLOOKUP('Données projet'!$B$10,Paramètres!$A$1:$I$89,3,0)*0.475*44/12</f>
        <v>4.041067849781352E-10</v>
      </c>
      <c r="AX105" s="23">
        <f t="shared" si="60"/>
        <v>3.1417802081685617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-4.5474735088646412E-13</v>
      </c>
      <c r="BE105" s="14">
        <f>BD105*VLOOKUP('Données projet'!$B$11,Paramètres!$A$1:$I$89,3,0)*VLOOKUP('Données projet'!$B$11,Paramètres!$A$1:$I$89,5,0)</f>
        <v>-2.7193891583010558E-13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216.94426559495264</v>
      </c>
      <c r="BJ105" s="62">
        <f t="shared" si="92"/>
        <v>225.33715877618704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1.7454678324476336</v>
      </c>
      <c r="BR105" s="23">
        <f>EXP(-LN(2)/2)*BR104+(1-EXP(-LN(2)/2))/(LN(2)/2)*BL105*BO105*VLOOKUP('Données projet'!$B$11,Paramètres!$A$1:$I$89,3,0)*0.475*44/12</f>
        <v>3.4530763330722361E-10</v>
      </c>
      <c r="BS105" s="24">
        <f t="shared" si="63"/>
        <v>1.7454678327929412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274.20000000000016</v>
      </c>
      <c r="O106" s="14">
        <f>N106*VLOOKUP('Données projet'!$B$9,Paramètres!$A$1:$I$89,3,0)*VLOOKUP('Données projet'!$B$9,Paramètres!$A$1:$I$89,5,0)</f>
        <v>248.09616000000014</v>
      </c>
      <c r="P106" s="14">
        <f t="shared" si="87"/>
        <v>60.178080967364686</v>
      </c>
      <c r="Q106" s="22">
        <f t="shared" si="107"/>
        <v>536.91096968482714</v>
      </c>
      <c r="R106" s="62">
        <f t="shared" si="55"/>
        <v>830.24430301816051</v>
      </c>
      <c r="S106" s="62">
        <f ca="1">AVERAGE(OFFSET($R$3,0,0,'Données projet'!$E$9+1,1))-AVERAGE(OFFSET($H$3,0,0,'Données projet'!$E$9+1,1))</f>
        <v>237.22177246688199</v>
      </c>
      <c r="T106" s="62">
        <f t="shared" si="88"/>
        <v>149.27472147904302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0.41037908514876031</v>
      </c>
      <c r="AB106" s="23">
        <f>EXP(-LN(2)/2)*AB105+(1-EXP(-LN(2)/2))/(LN(2)/2)*V106*Y106*VLOOKUP('Données projet'!$B$9,Paramètres!$A$1:$I$89,3,0)*0.475*44/12</f>
        <v>6.3686891211382306E-11</v>
      </c>
      <c r="AC106" s="24">
        <f t="shared" si="57"/>
        <v>0.4103790852124472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-2.8421709430404007E-14</v>
      </c>
      <c r="AJ106" s="14">
        <f>AI106*VLOOKUP('Données projet'!$B$10,Paramètres!$A$1:$I$89,3,0)*VLOOKUP('Données projet'!$B$10,Paramètres!$A$1:$I$89,5,0)</f>
        <v>-2.4829205358400945E-14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223.81948236065614</v>
      </c>
      <c r="AO106" s="62">
        <f t="shared" si="90"/>
        <v>320.1204011431372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0.72393129070243922</v>
      </c>
      <c r="AV106" s="23">
        <f>EXP(-LN(2)/25)*AV105+(1-EXP(-LN(2)/25))/(LN(2)/25)*Calculateur!AQ106*Calculateur!AS106*VLOOKUP('Données projet'!$B$10,Paramètres!$A$1:$I$89,3,0)*0.475*44/12</f>
        <v>2.3376488709956789</v>
      </c>
      <c r="AW106" s="23">
        <f>EXP(-LN(2)/2)*AW105+(1-EXP(-LN(2)/2))/(LN(2)/2)*AQ106*AT106*VLOOKUP('Données projet'!$B$10,Paramètres!$A$1:$I$89,3,0)*0.475*44/12</f>
        <v>2.8574664798153345E-10</v>
      </c>
      <c r="AX106" s="23">
        <f t="shared" si="60"/>
        <v>3.0615801619838647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-4.5474735088646412E-13</v>
      </c>
      <c r="BE106" s="14">
        <f>BD106*VLOOKUP('Données projet'!$B$11,Paramètres!$A$1:$I$89,3,0)*VLOOKUP('Données projet'!$B$11,Paramètres!$A$1:$I$89,5,0)</f>
        <v>-2.7193891583010558E-13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216.94426559495264</v>
      </c>
      <c r="BJ106" s="62">
        <f t="shared" si="92"/>
        <v>225.33715877618704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1.6977379227791891</v>
      </c>
      <c r="BR106" s="23">
        <f>EXP(-LN(2)/2)*BR105+(1-EXP(-LN(2)/2))/(LN(2)/2)*BL106*BO106*VLOOKUP('Données projet'!$B$11,Paramètres!$A$1:$I$89,3,0)*0.475*44/12</f>
        <v>2.4416936910701555E-10</v>
      </c>
      <c r="BS106" s="24">
        <f t="shared" si="63"/>
        <v>1.6977379230233585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278.60000000000014</v>
      </c>
      <c r="O107" s="14">
        <f>N107*VLOOKUP('Données projet'!$B$9,Paramètres!$A$1:$I$89,3,0)*VLOOKUP('Données projet'!$B$9,Paramètres!$A$1:$I$89,5,0)</f>
        <v>252.07728000000014</v>
      </c>
      <c r="P107" s="14">
        <f t="shared" si="87"/>
        <v>61.030544652155044</v>
      </c>
      <c r="Q107" s="22">
        <f t="shared" si="107"/>
        <v>545.32946126917022</v>
      </c>
      <c r="R107" s="62">
        <f t="shared" si="55"/>
        <v>838.66279460250348</v>
      </c>
      <c r="S107" s="62">
        <f ca="1">AVERAGE(OFFSET($R$3,0,0,'Données projet'!$E$9+1,1))-AVERAGE(OFFSET($H$3,0,0,'Données projet'!$E$9+1,1))</f>
        <v>237.22177246688199</v>
      </c>
      <c r="T107" s="62">
        <f t="shared" si="88"/>
        <v>149.27472147904302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0.39915724748446929</v>
      </c>
      <c r="AB107" s="23">
        <f>EXP(-LN(2)/2)*AB106+(1-EXP(-LN(2)/2))/(LN(2)/2)*V107*Y107*VLOOKUP('Données projet'!$B$9,Paramètres!$A$1:$I$89,3,0)*0.475*44/12</f>
        <v>4.5033432648258366E-11</v>
      </c>
      <c r="AC107" s="24">
        <f t="shared" si="57"/>
        <v>0.39915724752950271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-2.8421709430404007E-14</v>
      </c>
      <c r="AJ107" s="14">
        <f>AI107*VLOOKUP('Données projet'!$B$10,Paramètres!$A$1:$I$89,3,0)*VLOOKUP('Données projet'!$B$10,Paramètres!$A$1:$I$89,5,0)</f>
        <v>-2.4829205358400945E-14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223.81948236065614</v>
      </c>
      <c r="AO107" s="62">
        <f t="shared" si="90"/>
        <v>320.1204011431372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0.70973543964625185</v>
      </c>
      <c r="AV107" s="23">
        <f>EXP(-LN(2)/25)*AV106+(1-EXP(-LN(2)/25))/(LN(2)/25)*Calculateur!AQ107*Calculateur!AS107*VLOOKUP('Données projet'!$B$10,Paramètres!$A$1:$I$89,3,0)*0.475*44/12</f>
        <v>2.2737257396866908</v>
      </c>
      <c r="AW107" s="23">
        <f>EXP(-LN(2)/2)*AW106+(1-EXP(-LN(2)/2))/(LN(2)/2)*AQ107*AT107*VLOOKUP('Données projet'!$B$10,Paramètres!$A$1:$I$89,3,0)*0.475*44/12</f>
        <v>2.020533924890676E-10</v>
      </c>
      <c r="AX107" s="23">
        <f t="shared" si="60"/>
        <v>2.9834611795349959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-4.5474735088646412E-13</v>
      </c>
      <c r="BE107" s="14">
        <f>BD107*VLOOKUP('Données projet'!$B$11,Paramètres!$A$1:$I$89,3,0)*VLOOKUP('Données projet'!$B$11,Paramètres!$A$1:$I$89,5,0)</f>
        <v>-2.7193891583010558E-13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216.94426559495264</v>
      </c>
      <c r="BJ107" s="62">
        <f t="shared" si="92"/>
        <v>225.33715877618704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1.651313190000635</v>
      </c>
      <c r="BR107" s="23">
        <f>EXP(-LN(2)/2)*BR106+(1-EXP(-LN(2)/2))/(LN(2)/2)*BL107*BO107*VLOOKUP('Données projet'!$B$11,Paramètres!$A$1:$I$89,3,0)*0.475*44/12</f>
        <v>1.726538166536118E-10</v>
      </c>
      <c r="BS107" s="24">
        <f t="shared" si="63"/>
        <v>1.6513131901732889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283.00000000000011</v>
      </c>
      <c r="O108" s="14">
        <f>N108*VLOOKUP('Données projet'!$B$9,Paramètres!$A$1:$I$89,3,0)*VLOOKUP('Données projet'!$B$9,Paramètres!$A$1:$I$89,5,0)</f>
        <v>256.05840000000006</v>
      </c>
      <c r="P108" s="14">
        <f t="shared" si="87"/>
        <v>61.881442594256484</v>
      </c>
      <c r="Q108" s="22">
        <f t="shared" si="107"/>
        <v>553.74522585166358</v>
      </c>
      <c r="R108" s="62">
        <f t="shared" si="55"/>
        <v>847.07855918499695</v>
      </c>
      <c r="S108" s="62">
        <f ca="1">AVERAGE(OFFSET($R$3,0,0,'Données projet'!$E$9+1,1))-AVERAGE(OFFSET($H$3,0,0,'Données projet'!$E$9+1,1))</f>
        <v>237.22177246688199</v>
      </c>
      <c r="T108" s="62">
        <f t="shared" si="88"/>
        <v>149.27472147904302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0.38824227156123914</v>
      </c>
      <c r="AB108" s="23">
        <f>EXP(-LN(2)/2)*AB107+(1-EXP(-LN(2)/2))/(LN(2)/2)*V108*Y108*VLOOKUP('Données projet'!$B$9,Paramètres!$A$1:$I$89,3,0)*0.475*44/12</f>
        <v>3.1843445605691153E-11</v>
      </c>
      <c r="AC108" s="24">
        <f t="shared" si="57"/>
        <v>0.38824227159308261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-2.8421709430404007E-14</v>
      </c>
      <c r="AJ108" s="14">
        <f>AI108*VLOOKUP('Données projet'!$B$10,Paramètres!$A$1:$I$89,3,0)*VLOOKUP('Données projet'!$B$10,Paramètres!$A$1:$I$89,5,0)</f>
        <v>-2.4829205358400945E-14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223.81948236065614</v>
      </c>
      <c r="AO108" s="62">
        <f t="shared" si="90"/>
        <v>320.1204011431372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0.69581796057066214</v>
      </c>
      <c r="AV108" s="23">
        <f>EXP(-LN(2)/25)*AV107+(1-EXP(-LN(2)/25))/(LN(2)/25)*Calculateur!AQ108*Calculateur!AS108*VLOOKUP('Données projet'!$B$10,Paramètres!$A$1:$I$89,3,0)*0.475*44/12</f>
        <v>2.2115505897649181</v>
      </c>
      <c r="AW108" s="23">
        <f>EXP(-LN(2)/2)*AW107+(1-EXP(-LN(2)/2))/(LN(2)/2)*AQ108*AT108*VLOOKUP('Données projet'!$B$10,Paramètres!$A$1:$I$89,3,0)*0.475*44/12</f>
        <v>1.4287332399076673E-10</v>
      </c>
      <c r="AX108" s="23">
        <f t="shared" si="60"/>
        <v>2.9073685504784534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-4.5474735088646412E-13</v>
      </c>
      <c r="BE108" s="14">
        <f>BD108*VLOOKUP('Données projet'!$B$11,Paramètres!$A$1:$I$89,3,0)*VLOOKUP('Données projet'!$B$11,Paramètres!$A$1:$I$89,5,0)</f>
        <v>-2.7193891583010558E-13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216.94426559495264</v>
      </c>
      <c r="BJ108" s="62">
        <f t="shared" si="92"/>
        <v>225.33715877618704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1.6061579439812812</v>
      </c>
      <c r="BR108" s="23">
        <f>EXP(-LN(2)/2)*BR107+(1-EXP(-LN(2)/2))/(LN(2)/2)*BL108*BO108*VLOOKUP('Données projet'!$B$11,Paramètres!$A$1:$I$89,3,0)*0.475*44/12</f>
        <v>1.2208468455350777E-10</v>
      </c>
      <c r="BS108" s="24">
        <f t="shared" si="63"/>
        <v>1.606157944103366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287.40000000000009</v>
      </c>
      <c r="O109" s="14">
        <f>N109*VLOOKUP('Données projet'!$B$9,Paramètres!$A$1:$I$89,3,0)*VLOOKUP('Données projet'!$B$9,Paramètres!$A$1:$I$89,5,0)</f>
        <v>260.03952000000004</v>
      </c>
      <c r="P109" s="14">
        <f t="shared" si="87"/>
        <v>62.730801948604871</v>
      </c>
      <c r="Q109" s="22">
        <f t="shared" si="107"/>
        <v>562.15831072715355</v>
      </c>
      <c r="R109" s="62">
        <f t="shared" si="55"/>
        <v>855.49164406048681</v>
      </c>
      <c r="S109" s="62">
        <f ca="1">AVERAGE(OFFSET($R$3,0,0,'Données projet'!$E$9+1,1))-AVERAGE(OFFSET($H$3,0,0,'Données projet'!$E$9+1,1))</f>
        <v>237.22177246688199</v>
      </c>
      <c r="T109" s="62">
        <f t="shared" si="88"/>
        <v>149.27472147904302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0.37762576622862332</v>
      </c>
      <c r="AB109" s="23">
        <f>EXP(-LN(2)/2)*AB108+(1-EXP(-LN(2)/2))/(LN(2)/2)*V109*Y109*VLOOKUP('Données projet'!$B$9,Paramètres!$A$1:$I$89,3,0)*0.475*44/12</f>
        <v>2.2516716324129183E-11</v>
      </c>
      <c r="AC109" s="24">
        <f t="shared" si="57"/>
        <v>0.37762576625114003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-2.8421709430404007E-14</v>
      </c>
      <c r="AJ109" s="14">
        <f>AI109*VLOOKUP('Données projet'!$B$10,Paramètres!$A$1:$I$89,3,0)*VLOOKUP('Données projet'!$B$10,Paramètres!$A$1:$I$89,5,0)</f>
        <v>-2.4829205358400945E-14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223.81948236065614</v>
      </c>
      <c r="AO109" s="62">
        <f t="shared" si="90"/>
        <v>320.1204011431372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0.68217339477092065</v>
      </c>
      <c r="AV109" s="23">
        <f>EXP(-LN(2)/25)*AV108+(1-EXP(-LN(2)/25))/(LN(2)/25)*Calculateur!AQ109*Calculateur!AS109*VLOOKUP('Données projet'!$B$10,Paramètres!$A$1:$I$89,3,0)*0.475*44/12</f>
        <v>2.1510756225874057</v>
      </c>
      <c r="AW109" s="23">
        <f>EXP(-LN(2)/2)*AW108+(1-EXP(-LN(2)/2))/(LN(2)/2)*AQ109*AT109*VLOOKUP('Données projet'!$B$10,Paramètres!$A$1:$I$89,3,0)*0.475*44/12</f>
        <v>1.010266962445338E-10</v>
      </c>
      <c r="AX109" s="23">
        <f t="shared" si="60"/>
        <v>2.833249017459353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-4.5474735088646412E-13</v>
      </c>
      <c r="BE109" s="14">
        <f>BD109*VLOOKUP('Données projet'!$B$11,Paramètres!$A$1:$I$89,3,0)*VLOOKUP('Données projet'!$B$11,Paramètres!$A$1:$I$89,5,0)</f>
        <v>-2.7193891583010558E-13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216.94426559495264</v>
      </c>
      <c r="BJ109" s="62">
        <f t="shared" si="92"/>
        <v>225.33715877618704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1.5622374705389377</v>
      </c>
      <c r="BR109" s="23">
        <f>EXP(-LN(2)/2)*BR108+(1-EXP(-LN(2)/2))/(LN(2)/2)*BL109*BO109*VLOOKUP('Données projet'!$B$11,Paramètres!$A$1:$I$89,3,0)*0.475*44/12</f>
        <v>8.6326908326805902E-11</v>
      </c>
      <c r="BS109" s="24">
        <f t="shared" si="63"/>
        <v>1.5622374706252646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291.80000000000007</v>
      </c>
      <c r="O110" s="14">
        <f>N110*VLOOKUP('Données projet'!$B$9,Paramètres!$A$1:$I$89,3,0)*VLOOKUP('Données projet'!$B$9,Paramètres!$A$1:$I$89,5,0)</f>
        <v>264.02064000000007</v>
      </c>
      <c r="P110" s="14">
        <f t="shared" si="87"/>
        <v>63.578648990959174</v>
      </c>
      <c r="Q110" s="22">
        <f t="shared" si="107"/>
        <v>570.56876165925394</v>
      </c>
      <c r="R110" s="62">
        <f t="shared" si="55"/>
        <v>863.90209499258731</v>
      </c>
      <c r="S110" s="62">
        <f ca="1">AVERAGE(OFFSET($R$3,0,0,'Données projet'!$E$9+1,1))-AVERAGE(OFFSET($H$3,0,0,'Données projet'!$E$9+1,1))</f>
        <v>237.22177246688199</v>
      </c>
      <c r="T110" s="62">
        <f t="shared" si="88"/>
        <v>149.27472147904302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0.36729956979262562</v>
      </c>
      <c r="AB110" s="23">
        <f>EXP(-LN(2)/2)*AB109+(1-EXP(-LN(2)/2))/(LN(2)/2)*V110*Y110*VLOOKUP('Données projet'!$B$9,Paramètres!$A$1:$I$89,3,0)*0.475*44/12</f>
        <v>1.5921722802845577E-11</v>
      </c>
      <c r="AC110" s="24">
        <f t="shared" si="57"/>
        <v>0.36729956980854733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-2.8421709430404007E-14</v>
      </c>
      <c r="AJ110" s="14">
        <f>AI110*VLOOKUP('Données projet'!$B$10,Paramètres!$A$1:$I$89,3,0)*VLOOKUP('Données projet'!$B$10,Paramètres!$A$1:$I$89,5,0)</f>
        <v>-2.4829205358400945E-14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223.81948236065614</v>
      </c>
      <c r="AO110" s="62">
        <f t="shared" si="90"/>
        <v>320.1204011431372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0.66879639058414875</v>
      </c>
      <c r="AV110" s="23">
        <f>EXP(-LN(2)/25)*AV109+(1-EXP(-LN(2)/25))/(LN(2)/25)*Calculateur!AQ110*Calculateur!AS110*VLOOKUP('Données projet'!$B$10,Paramètres!$A$1:$I$89,3,0)*0.475*44/12</f>
        <v>2.0922543465676022</v>
      </c>
      <c r="AW110" s="23">
        <f>EXP(-LN(2)/2)*AW109+(1-EXP(-LN(2)/2))/(LN(2)/2)*AQ110*AT110*VLOOKUP('Données projet'!$B$10,Paramètres!$A$1:$I$89,3,0)*0.475*44/12</f>
        <v>7.1436661995383363E-11</v>
      </c>
      <c r="AX110" s="23">
        <f t="shared" si="60"/>
        <v>2.7610507372231878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-4.5474735088646412E-13</v>
      </c>
      <c r="BE110" s="14">
        <f>BD110*VLOOKUP('Données projet'!$B$11,Paramètres!$A$1:$I$89,3,0)*VLOOKUP('Données projet'!$B$11,Paramètres!$A$1:$I$89,5,0)</f>
        <v>-2.7193891583010558E-13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216.94426559495264</v>
      </c>
      <c r="BJ110" s="62">
        <f t="shared" si="92"/>
        <v>225.33715877618704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1.5195180047525525</v>
      </c>
      <c r="BR110" s="23">
        <f>EXP(-LN(2)/2)*BR109+(1-EXP(-LN(2)/2))/(LN(2)/2)*BL110*BO110*VLOOKUP('Données projet'!$B$11,Paramètres!$A$1:$I$89,3,0)*0.475*44/12</f>
        <v>6.1042342276753887E-11</v>
      </c>
      <c r="BS110" s="24">
        <f t="shared" si="63"/>
        <v>1.5195180048135948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296.20000000000005</v>
      </c>
      <c r="O111" s="14">
        <f>N111*VLOOKUP('Données projet'!$B$9,Paramètres!$A$1:$I$89,3,0)*VLOOKUP('Données projet'!$B$9,Paramètres!$A$1:$I$89,5,0)</f>
        <v>268.00176000000005</v>
      </c>
      <c r="P111" s="14">
        <f t="shared" si="87"/>
        <v>64.425009159185578</v>
      </c>
      <c r="Q111" s="22">
        <f t="shared" si="107"/>
        <v>578.97662295224825</v>
      </c>
      <c r="R111" s="62">
        <f t="shared" si="55"/>
        <v>872.30995628558162</v>
      </c>
      <c r="S111" s="62">
        <f ca="1">AVERAGE(OFFSET($R$3,0,0,'Données projet'!$E$9+1,1))-AVERAGE(OFFSET($H$3,0,0,'Données projet'!$E$9+1,1))</f>
        <v>237.22177246688199</v>
      </c>
      <c r="T111" s="62">
        <f t="shared" si="88"/>
        <v>149.27472147904302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0.35725574374120139</v>
      </c>
      <c r="AB111" s="23">
        <f>EXP(-LN(2)/2)*AB110+(1-EXP(-LN(2)/2))/(LN(2)/2)*V111*Y111*VLOOKUP('Données projet'!$B$9,Paramètres!$A$1:$I$89,3,0)*0.475*44/12</f>
        <v>1.1258358162064591E-11</v>
      </c>
      <c r="AC111" s="24">
        <f t="shared" si="57"/>
        <v>0.35725574375245978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-2.8421709430404007E-14</v>
      </c>
      <c r="AJ111" s="14">
        <f>AI111*VLOOKUP('Données projet'!$B$10,Paramètres!$A$1:$I$89,3,0)*VLOOKUP('Données projet'!$B$10,Paramètres!$A$1:$I$89,5,0)</f>
        <v>-2.4829205358400945E-14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223.81948236065614</v>
      </c>
      <c r="AO111" s="62">
        <f t="shared" si="90"/>
        <v>320.1204011431372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0.65568170129031256</v>
      </c>
      <c r="AV111" s="23">
        <f>EXP(-LN(2)/25)*AV110+(1-EXP(-LN(2)/25))/(LN(2)/25)*Calculateur!AQ111*Calculateur!AS111*VLOOKUP('Données projet'!$B$10,Paramètres!$A$1:$I$89,3,0)*0.475*44/12</f>
        <v>2.035041541433837</v>
      </c>
      <c r="AW111" s="23">
        <f>EXP(-LN(2)/2)*AW110+(1-EXP(-LN(2)/2))/(LN(2)/2)*AQ111*AT111*VLOOKUP('Données projet'!$B$10,Paramètres!$A$1:$I$89,3,0)*0.475*44/12</f>
        <v>5.05133481222669E-11</v>
      </c>
      <c r="AX111" s="23">
        <f t="shared" si="60"/>
        <v>2.6907232427746628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-4.5474735088646412E-13</v>
      </c>
      <c r="BE111" s="14">
        <f>BD111*VLOOKUP('Données projet'!$B$11,Paramètres!$A$1:$I$89,3,0)*VLOOKUP('Données projet'!$B$11,Paramètres!$A$1:$I$89,5,0)</f>
        <v>-2.7193891583010558E-13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216.94426559495264</v>
      </c>
      <c r="BJ111" s="62">
        <f t="shared" si="92"/>
        <v>225.33715877618704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1.477966705004615</v>
      </c>
      <c r="BR111" s="23">
        <f>EXP(-LN(2)/2)*BR110+(1-EXP(-LN(2)/2))/(LN(2)/2)*BL111*BO111*VLOOKUP('Données projet'!$B$11,Paramètres!$A$1:$I$89,3,0)*0.475*44/12</f>
        <v>4.3163454163402951E-11</v>
      </c>
      <c r="BS111" s="24">
        <f t="shared" si="63"/>
        <v>1.4779667050477785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300.60000000000002</v>
      </c>
      <c r="O112" s="14">
        <f>N112*VLOOKUP('Données projet'!$B$9,Paramètres!$A$1:$I$89,3,0)*VLOOKUP('Données projet'!$B$9,Paramètres!$A$1:$I$89,5,0)</f>
        <v>271.98288000000002</v>
      </c>
      <c r="P112" s="14">
        <f t="shared" si="87"/>
        <v>65.269907092018755</v>
      </c>
      <c r="Q112" s="22">
        <f t="shared" si="107"/>
        <v>587.38193751859933</v>
      </c>
      <c r="R112" s="62">
        <f t="shared" si="55"/>
        <v>880.7152708519327</v>
      </c>
      <c r="S112" s="62">
        <f ca="1">AVERAGE(OFFSET($R$3,0,0,'Données projet'!$E$9+1,1))-AVERAGE(OFFSET($H$3,0,0,'Données projet'!$E$9+1,1))</f>
        <v>237.22177246688199</v>
      </c>
      <c r="T112" s="62">
        <f t="shared" si="88"/>
        <v>149.27472147904302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0.3474865666413352</v>
      </c>
      <c r="AB112" s="23">
        <f>EXP(-LN(2)/2)*AB111+(1-EXP(-LN(2)/2))/(LN(2)/2)*V112*Y112*VLOOKUP('Données projet'!$B$9,Paramètres!$A$1:$I$89,3,0)*0.475*44/12</f>
        <v>7.9608614014227883E-12</v>
      </c>
      <c r="AC112" s="24">
        <f t="shared" si="57"/>
        <v>0.34748656664929606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-2.8421709430404007E-14</v>
      </c>
      <c r="AJ112" s="14">
        <f>AI112*VLOOKUP('Données projet'!$B$10,Paramètres!$A$1:$I$89,3,0)*VLOOKUP('Données projet'!$B$10,Paramètres!$A$1:$I$89,5,0)</f>
        <v>-2.4829205358400945E-14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223.81948236065614</v>
      </c>
      <c r="AO112" s="62">
        <f t="shared" si="90"/>
        <v>320.1204011431372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0.64282418305435785</v>
      </c>
      <c r="AV112" s="23">
        <f>EXP(-LN(2)/25)*AV111+(1-EXP(-LN(2)/25))/(LN(2)/25)*Calculateur!AQ112*Calculateur!AS112*VLOOKUP('Données projet'!$B$10,Paramètres!$A$1:$I$89,3,0)*0.475*44/12</f>
        <v>1.9793932234651452</v>
      </c>
      <c r="AW112" s="23">
        <f>EXP(-LN(2)/2)*AW111+(1-EXP(-LN(2)/2))/(LN(2)/2)*AQ112*AT112*VLOOKUP('Données projet'!$B$10,Paramètres!$A$1:$I$89,3,0)*0.475*44/12</f>
        <v>3.5718330997691681E-11</v>
      </c>
      <c r="AX112" s="23">
        <f t="shared" si="60"/>
        <v>2.6222174065552215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-4.5474735088646412E-13</v>
      </c>
      <c r="BE112" s="14">
        <f>BD112*VLOOKUP('Données projet'!$B$11,Paramètres!$A$1:$I$89,3,0)*VLOOKUP('Données projet'!$B$11,Paramètres!$A$1:$I$89,5,0)</f>
        <v>-2.7193891583010558E-13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216.94426559495264</v>
      </c>
      <c r="BJ112" s="62">
        <f t="shared" si="92"/>
        <v>225.33715877618704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1.4375516277333726</v>
      </c>
      <c r="BR112" s="23">
        <f>EXP(-LN(2)/2)*BR111+(1-EXP(-LN(2)/2))/(LN(2)/2)*BL112*BO112*VLOOKUP('Données projet'!$B$11,Paramètres!$A$1:$I$89,3,0)*0.475*44/12</f>
        <v>3.0521171138376943E-11</v>
      </c>
      <c r="BS112" s="24">
        <f t="shared" si="63"/>
        <v>1.4375516277638938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305</v>
      </c>
      <c r="O113" s="14">
        <f>N113*VLOOKUP('Données projet'!$B$9,Paramètres!$A$1:$I$89,3,0)*VLOOKUP('Données projet'!$B$9,Paramètres!$A$1:$I$89,5,0)</f>
        <v>275.964</v>
      </c>
      <c r="P113" s="14">
        <f t="shared" si="87"/>
        <v>66.113366665488911</v>
      </c>
      <c r="Q113" s="22">
        <f t="shared" si="107"/>
        <v>595.7847469423931</v>
      </c>
      <c r="R113" s="62">
        <f t="shared" si="55"/>
        <v>889.11808027572647</v>
      </c>
      <c r="S113" s="62">
        <f ca="1">AVERAGE(OFFSET($R$3,0,0,'Données projet'!$E$9+1,1))-AVERAGE(OFFSET($H$3,0,0,'Données projet'!$E$9+1,1))</f>
        <v>237.22177246688199</v>
      </c>
      <c r="T113" s="62">
        <f t="shared" si="88"/>
        <v>149.27472147904302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0.33798452820300356</v>
      </c>
      <c r="AB113" s="23">
        <f>EXP(-LN(2)/2)*AB112+(1-EXP(-LN(2)/2))/(LN(2)/2)*V113*Y113*VLOOKUP('Données projet'!$B$9,Paramètres!$A$1:$I$89,3,0)*0.475*44/12</f>
        <v>5.6291790810322957E-12</v>
      </c>
      <c r="AC113" s="24">
        <f t="shared" si="57"/>
        <v>0.33798452820863273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-2.8421709430404007E-14</v>
      </c>
      <c r="AJ113" s="14">
        <f>AI113*VLOOKUP('Données projet'!$B$10,Paramètres!$A$1:$I$89,3,0)*VLOOKUP('Données projet'!$B$10,Paramètres!$A$1:$I$89,5,0)</f>
        <v>-2.4829205358400945E-14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223.81948236065614</v>
      </c>
      <c r="AO113" s="62">
        <f t="shared" si="90"/>
        <v>320.1204011431372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0.63021879290869842</v>
      </c>
      <c r="AV113" s="23">
        <f>EXP(-LN(2)/25)*AV112+(1-EXP(-LN(2)/25))/(LN(2)/25)*Calculateur!AQ113*Calculateur!AS113*VLOOKUP('Données projet'!$B$10,Paramètres!$A$1:$I$89,3,0)*0.475*44/12</f>
        <v>1.9252666116777253</v>
      </c>
      <c r="AW113" s="23">
        <f>EXP(-LN(2)/2)*AW112+(1-EXP(-LN(2)/2))/(LN(2)/2)*AQ113*AT113*VLOOKUP('Données projet'!$B$10,Paramètres!$A$1:$I$89,3,0)*0.475*44/12</f>
        <v>2.525667406113345E-11</v>
      </c>
      <c r="AX113" s="23">
        <f t="shared" si="60"/>
        <v>2.5554854046116806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-4.5474735088646412E-13</v>
      </c>
      <c r="BE113" s="14">
        <f>BD113*VLOOKUP('Données projet'!$B$11,Paramètres!$A$1:$I$89,3,0)*VLOOKUP('Données projet'!$B$11,Paramètres!$A$1:$I$89,5,0)</f>
        <v>-2.7193891583010558E-13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216.94426559495264</v>
      </c>
      <c r="BJ113" s="62">
        <f t="shared" si="92"/>
        <v>225.33715877618704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1.398241702875449</v>
      </c>
      <c r="BR113" s="23">
        <f>EXP(-LN(2)/2)*BR112+(1-EXP(-LN(2)/2))/(LN(2)/2)*BL113*BO113*VLOOKUP('Données projet'!$B$11,Paramètres!$A$1:$I$89,3,0)*0.475*44/12</f>
        <v>2.1581727081701476E-11</v>
      </c>
      <c r="BS113" s="24">
        <f t="shared" si="63"/>
        <v>1.3982417028970306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269.7</v>
      </c>
      <c r="O114" s="14">
        <f>N114*VLOOKUP('Données projet'!$B$9,Paramètres!$A$1:$I$89,3,0)*VLOOKUP('Données projet'!$B$9,Paramètres!$A$1:$I$89,5,0)</f>
        <v>244.02455999999998</v>
      </c>
      <c r="P114" s="14">
        <f t="shared" si="87"/>
        <v>59.304594314969279</v>
      </c>
      <c r="Q114" s="22">
        <f t="shared" si="107"/>
        <v>528.29827709857148</v>
      </c>
      <c r="R114" s="62">
        <f t="shared" si="55"/>
        <v>821.63161043190485</v>
      </c>
      <c r="S114" s="62">
        <f ca="1">AVERAGE(OFFSET($R$3,0,0,'Données projet'!$E$9+1,1))-AVERAGE(OFFSET($H$3,0,0,'Données projet'!$E$9+1,1))</f>
        <v>237.22177246688199</v>
      </c>
      <c r="T114" s="62">
        <f t="shared" si="88"/>
        <v>149.27472147904302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0.32874232350545857</v>
      </c>
      <c r="AB114" s="23">
        <f>EXP(-LN(2)/2)*AB113+(1-EXP(-LN(2)/2))/(LN(2)/2)*V114*Y114*VLOOKUP('Données projet'!$B$9,Paramètres!$A$1:$I$89,3,0)*0.475*44/12</f>
        <v>3.9804307007113941E-12</v>
      </c>
      <c r="AC114" s="24">
        <f t="shared" si="57"/>
        <v>0.32874232350943899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-2.8421709430404007E-14</v>
      </c>
      <c r="AJ114" s="14">
        <f>AI114*VLOOKUP('Données projet'!$B$10,Paramètres!$A$1:$I$89,3,0)*VLOOKUP('Données projet'!$B$10,Paramètres!$A$1:$I$89,5,0)</f>
        <v>-2.4829205358400945E-14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223.81948236065614</v>
      </c>
      <c r="AO114" s="62">
        <f t="shared" si="90"/>
        <v>320.1204011431372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0.61786058677526656</v>
      </c>
      <c r="AV114" s="23">
        <f>EXP(-LN(2)/25)*AV113+(1-EXP(-LN(2)/25))/(LN(2)/25)*Calculateur!AQ114*Calculateur!AS114*VLOOKUP('Données projet'!$B$10,Paramètres!$A$1:$I$89,3,0)*0.475*44/12</f>
        <v>1.872620094936027</v>
      </c>
      <c r="AW114" s="23">
        <f>EXP(-LN(2)/2)*AW113+(1-EXP(-LN(2)/2))/(LN(2)/2)*AQ114*AT114*VLOOKUP('Données projet'!$B$10,Paramètres!$A$1:$I$89,3,0)*0.475*44/12</f>
        <v>1.7859165498845841E-11</v>
      </c>
      <c r="AX114" s="23">
        <f t="shared" si="60"/>
        <v>2.4904806817291525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-4.5474735088646412E-13</v>
      </c>
      <c r="BE114" s="14">
        <f>BD114*VLOOKUP('Données projet'!$B$11,Paramètres!$A$1:$I$89,3,0)*VLOOKUP('Données projet'!$B$11,Paramètres!$A$1:$I$89,5,0)</f>
        <v>-2.7193891583010558E-13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216.94426559495264</v>
      </c>
      <c r="BJ114" s="62">
        <f t="shared" si="92"/>
        <v>225.33715877618704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1.3600067099799844</v>
      </c>
      <c r="BR114" s="23">
        <f>EXP(-LN(2)/2)*BR113+(1-EXP(-LN(2)/2))/(LN(2)/2)*BL114*BO114*VLOOKUP('Données projet'!$B$11,Paramètres!$A$1:$I$89,3,0)*0.475*44/12</f>
        <v>1.5260585569188472E-11</v>
      </c>
      <c r="BS114" s="24">
        <f t="shared" si="63"/>
        <v>1.3600067099952451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273.39999999999998</v>
      </c>
      <c r="O115" s="14">
        <f>N115*VLOOKUP('Données projet'!$B$9,Paramètres!$A$1:$I$89,3,0)*VLOOKUP('Données projet'!$B$9,Paramètres!$A$1:$I$89,5,0)</f>
        <v>247.37231999999997</v>
      </c>
      <c r="P115" s="14">
        <f t="shared" si="87"/>
        <v>60.022917171131049</v>
      </c>
      <c r="Q115" s="22">
        <f t="shared" si="107"/>
        <v>535.38003807305324</v>
      </c>
      <c r="R115" s="62">
        <f t="shared" si="55"/>
        <v>828.71337140638661</v>
      </c>
      <c r="S115" s="62">
        <f ca="1">AVERAGE(OFFSET($R$3,0,0,'Données projet'!$E$9+1,1))-AVERAGE(OFFSET($H$3,0,0,'Données projet'!$E$9+1,1))</f>
        <v>237.22177246688199</v>
      </c>
      <c r="T115" s="62">
        <f t="shared" si="88"/>
        <v>149.27472147904302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0.31975284738139437</v>
      </c>
      <c r="AB115" s="23">
        <f>EXP(-LN(2)/2)*AB114+(1-EXP(-LN(2)/2))/(LN(2)/2)*V115*Y115*VLOOKUP('Données projet'!$B$9,Paramètres!$A$1:$I$89,3,0)*0.475*44/12</f>
        <v>2.8145895405161479E-12</v>
      </c>
      <c r="AC115" s="24">
        <f t="shared" si="57"/>
        <v>0.31975284738420895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-2.8421709430404007E-14</v>
      </c>
      <c r="AJ115" s="14">
        <f>AI115*VLOOKUP('Données projet'!$B$10,Paramètres!$A$1:$I$89,3,0)*VLOOKUP('Données projet'!$B$10,Paramètres!$A$1:$I$89,5,0)</f>
        <v>-2.4829205358400945E-14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223.81948236065614</v>
      </c>
      <c r="AO115" s="62">
        <f t="shared" si="90"/>
        <v>320.1204011431372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0.60574471752634995</v>
      </c>
      <c r="AV115" s="23">
        <f>EXP(-LN(2)/25)*AV114+(1-EXP(-LN(2)/25))/(LN(2)/25)*Calculateur!AQ115*Calculateur!AS115*VLOOKUP('Données projet'!$B$10,Paramètres!$A$1:$I$89,3,0)*0.475*44/12</f>
        <v>1.8214131999631904</v>
      </c>
      <c r="AW115" s="23">
        <f>EXP(-LN(2)/2)*AW114+(1-EXP(-LN(2)/2))/(LN(2)/2)*AQ115*AT115*VLOOKUP('Données projet'!$B$10,Paramètres!$A$1:$I$89,3,0)*0.475*44/12</f>
        <v>1.2628337030566725E-11</v>
      </c>
      <c r="AX115" s="23">
        <f t="shared" si="60"/>
        <v>2.4271579175021687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-4.5474735088646412E-13</v>
      </c>
      <c r="BE115" s="14">
        <f>BD115*VLOOKUP('Données projet'!$B$11,Paramètres!$A$1:$I$89,3,0)*VLOOKUP('Données projet'!$B$11,Paramètres!$A$1:$I$89,5,0)</f>
        <v>-2.7193891583010558E-13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216.94426559495264</v>
      </c>
      <c r="BJ115" s="62">
        <f t="shared" si="92"/>
        <v>225.33715877618704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1.3228172549759372</v>
      </c>
      <c r="BR115" s="23">
        <f>EXP(-LN(2)/2)*BR114+(1-EXP(-LN(2)/2))/(LN(2)/2)*BL115*BO115*VLOOKUP('Données projet'!$B$11,Paramètres!$A$1:$I$89,3,0)*0.475*44/12</f>
        <v>1.0790863540850738E-11</v>
      </c>
      <c r="BS115" s="24">
        <f t="shared" si="63"/>
        <v>1.3228172549867281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277.09999999999997</v>
      </c>
      <c r="O116" s="14">
        <f>N116*VLOOKUP('Données projet'!$B$9,Paramètres!$A$1:$I$89,3,0)*VLOOKUP('Données projet'!$B$9,Paramètres!$A$1:$I$89,5,0)</f>
        <v>250.72007999999994</v>
      </c>
      <c r="P116" s="14">
        <f t="shared" si="87"/>
        <v>60.740109326032758</v>
      </c>
      <c r="Q116" s="22">
        <f t="shared" si="107"/>
        <v>542.45982974284027</v>
      </c>
      <c r="R116" s="62">
        <f t="shared" si="55"/>
        <v>835.79316307617364</v>
      </c>
      <c r="S116" s="62">
        <f ca="1">AVERAGE(OFFSET($R$3,0,0,'Données projet'!$E$9+1,1))-AVERAGE(OFFSET($H$3,0,0,'Données projet'!$E$9+1,1))</f>
        <v>237.22177246688199</v>
      </c>
      <c r="T116" s="62">
        <f t="shared" si="88"/>
        <v>149.27472147904302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0.31100918895467872</v>
      </c>
      <c r="AB116" s="23">
        <f>EXP(-LN(2)/2)*AB115+(1-EXP(-LN(2)/2))/(LN(2)/2)*V116*Y116*VLOOKUP('Données projet'!$B$9,Paramètres!$A$1:$I$89,3,0)*0.475*44/12</f>
        <v>1.9902153503556971E-12</v>
      </c>
      <c r="AC116" s="24">
        <f t="shared" si="57"/>
        <v>0.31100918895666896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-2.8421709430404007E-14</v>
      </c>
      <c r="AJ116" s="14">
        <f>AI116*VLOOKUP('Données projet'!$B$10,Paramètres!$A$1:$I$89,3,0)*VLOOKUP('Données projet'!$B$10,Paramètres!$A$1:$I$89,5,0)</f>
        <v>-2.4829205358400945E-14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223.81948236065614</v>
      </c>
      <c r="AO116" s="62">
        <f t="shared" si="90"/>
        <v>320.1204011431372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0.59386643308345399</v>
      </c>
      <c r="AV116" s="23">
        <f>EXP(-LN(2)/25)*AV115+(1-EXP(-LN(2)/25))/(LN(2)/25)*Calculateur!AQ116*Calculateur!AS116*VLOOKUP('Données projet'!$B$10,Paramètres!$A$1:$I$89,3,0)*0.475*44/12</f>
        <v>1.7716065602262396</v>
      </c>
      <c r="AW116" s="23">
        <f>EXP(-LN(2)/2)*AW115+(1-EXP(-LN(2)/2))/(LN(2)/2)*AQ116*AT116*VLOOKUP('Données projet'!$B$10,Paramètres!$A$1:$I$89,3,0)*0.475*44/12</f>
        <v>8.9295827494229203E-12</v>
      </c>
      <c r="AX116" s="23">
        <f t="shared" si="60"/>
        <v>2.3654729933186234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-4.5474735088646412E-13</v>
      </c>
      <c r="BE116" s="14">
        <f>BD116*VLOOKUP('Données projet'!$B$11,Paramètres!$A$1:$I$89,3,0)*VLOOKUP('Données projet'!$B$11,Paramètres!$A$1:$I$89,5,0)</f>
        <v>-2.7193891583010558E-13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216.94426559495264</v>
      </c>
      <c r="BJ116" s="62">
        <f t="shared" si="92"/>
        <v>225.33715877618704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1.2866447475746841</v>
      </c>
      <c r="BR116" s="23">
        <f>EXP(-LN(2)/2)*BR115+(1-EXP(-LN(2)/2))/(LN(2)/2)*BL116*BO116*VLOOKUP('Données projet'!$B$11,Paramètres!$A$1:$I$89,3,0)*0.475*44/12</f>
        <v>7.6302927845942359E-12</v>
      </c>
      <c r="BS116" s="24">
        <f t="shared" si="63"/>
        <v>1.2866447475823144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280.79999999999995</v>
      </c>
      <c r="O117" s="14">
        <f>N117*VLOOKUP('Données projet'!$B$9,Paramètres!$A$1:$I$89,3,0)*VLOOKUP('Données projet'!$B$9,Paramètres!$A$1:$I$89,5,0)</f>
        <v>254.06783999999996</v>
      </c>
      <c r="P117" s="14">
        <f t="shared" si="87"/>
        <v>61.456187622750718</v>
      </c>
      <c r="Q117" s="22">
        <f t="shared" si="107"/>
        <v>549.53768144295748</v>
      </c>
      <c r="R117" s="62">
        <f t="shared" si="55"/>
        <v>842.87101477629085</v>
      </c>
      <c r="S117" s="62">
        <f ca="1">AVERAGE(OFFSET($R$3,0,0,'Données projet'!$E$9+1,1))-AVERAGE(OFFSET($H$3,0,0,'Données projet'!$E$9+1,1))</f>
        <v>237.22177246688199</v>
      </c>
      <c r="T117" s="62">
        <f t="shared" si="88"/>
        <v>149.27472147904302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0.30250462632745062</v>
      </c>
      <c r="AB117" s="23">
        <f>EXP(-LN(2)/2)*AB116+(1-EXP(-LN(2)/2))/(LN(2)/2)*V117*Y117*VLOOKUP('Données projet'!$B$9,Paramètres!$A$1:$I$89,3,0)*0.475*44/12</f>
        <v>1.4072947702580739E-12</v>
      </c>
      <c r="AC117" s="24">
        <f t="shared" si="57"/>
        <v>0.30250462632885794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-2.8421709430404007E-14</v>
      </c>
      <c r="AJ117" s="14">
        <f>AI117*VLOOKUP('Données projet'!$B$10,Paramètres!$A$1:$I$89,3,0)*VLOOKUP('Données projet'!$B$10,Paramètres!$A$1:$I$89,5,0)</f>
        <v>-2.4829205358400945E-14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223.81948236065614</v>
      </c>
      <c r="AO117" s="62">
        <f t="shared" si="90"/>
        <v>320.1204011431372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0.58222107455344507</v>
      </c>
      <c r="AV117" s="23">
        <f>EXP(-LN(2)/25)*AV116+(1-EXP(-LN(2)/25))/(LN(2)/25)*Calculateur!AQ117*Calculateur!AS117*VLOOKUP('Données projet'!$B$10,Paramètres!$A$1:$I$89,3,0)*0.475*44/12</f>
        <v>1.7231618856721131</v>
      </c>
      <c r="AW117" s="23">
        <f>EXP(-LN(2)/2)*AW116+(1-EXP(-LN(2)/2))/(LN(2)/2)*AQ117*AT117*VLOOKUP('Données projet'!$B$10,Paramètres!$A$1:$I$89,3,0)*0.475*44/12</f>
        <v>6.3141685152833625E-12</v>
      </c>
      <c r="AX117" s="23">
        <f t="shared" si="60"/>
        <v>2.3053829602318725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-4.5474735088646412E-13</v>
      </c>
      <c r="BE117" s="14">
        <f>BD117*VLOOKUP('Données projet'!$B$11,Paramètres!$A$1:$I$89,3,0)*VLOOKUP('Données projet'!$B$11,Paramètres!$A$1:$I$89,5,0)</f>
        <v>-2.7193891583010558E-13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216.94426559495264</v>
      </c>
      <c r="BJ117" s="62">
        <f t="shared" si="92"/>
        <v>225.33715877618704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1.2514613792905478</v>
      </c>
      <c r="BR117" s="23">
        <f>EXP(-LN(2)/2)*BR116+(1-EXP(-LN(2)/2))/(LN(2)/2)*BL117*BO117*VLOOKUP('Données projet'!$B$11,Paramètres!$A$1:$I$89,3,0)*0.475*44/12</f>
        <v>5.3954317704253689E-12</v>
      </c>
      <c r="BS117" s="24">
        <f t="shared" si="63"/>
        <v>1.2514613792959433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284.49999999999994</v>
      </c>
      <c r="O118" s="14">
        <f>N118*VLOOKUP('Données projet'!$B$9,Paramètres!$A$1:$I$89,3,0)*VLOOKUP('Données projet'!$B$9,Paramètres!$A$1:$I$89,5,0)</f>
        <v>257.41559999999993</v>
      </c>
      <c r="P118" s="14">
        <f t="shared" si="87"/>
        <v>62.171168434977119</v>
      </c>
      <c r="Q118" s="22">
        <f t="shared" si="107"/>
        <v>556.61362169091831</v>
      </c>
      <c r="R118" s="62">
        <f t="shared" si="55"/>
        <v>849.94695502425157</v>
      </c>
      <c r="S118" s="62">
        <f ca="1">AVERAGE(OFFSET($R$3,0,0,'Données projet'!$E$9+1,1))-AVERAGE(OFFSET($H$3,0,0,'Données projet'!$E$9+1,1))</f>
        <v>237.22177246688199</v>
      </c>
      <c r="T118" s="62">
        <f t="shared" si="88"/>
        <v>149.27472147904302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0.29423262141249956</v>
      </c>
      <c r="AB118" s="23">
        <f>EXP(-LN(2)/2)*AB117+(1-EXP(-LN(2)/2))/(LN(2)/2)*V118*Y118*VLOOKUP('Données projet'!$B$9,Paramètres!$A$1:$I$89,3,0)*0.475*44/12</f>
        <v>9.9510767517784854E-13</v>
      </c>
      <c r="AC118" s="24">
        <f t="shared" si="57"/>
        <v>0.29423262141349465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-2.8421709430404007E-14</v>
      </c>
      <c r="AJ118" s="14">
        <f>AI118*VLOOKUP('Données projet'!$B$10,Paramètres!$A$1:$I$89,3,0)*VLOOKUP('Données projet'!$B$10,Paramètres!$A$1:$I$89,5,0)</f>
        <v>-2.4829205358400945E-14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223.81948236065614</v>
      </c>
      <c r="AO118" s="62">
        <f t="shared" si="90"/>
        <v>320.1204011431372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0.57080407440124237</v>
      </c>
      <c r="AV118" s="23">
        <f>EXP(-LN(2)/25)*AV117+(1-EXP(-LN(2)/25))/(LN(2)/25)*Calculateur!AQ118*Calculateur!AS118*VLOOKUP('Données projet'!$B$10,Paramètres!$A$1:$I$89,3,0)*0.475*44/12</f>
        <v>1.6760419332912639</v>
      </c>
      <c r="AW118" s="23">
        <f>EXP(-LN(2)/2)*AW117+(1-EXP(-LN(2)/2))/(LN(2)/2)*AQ118*AT118*VLOOKUP('Données projet'!$B$10,Paramètres!$A$1:$I$89,3,0)*0.475*44/12</f>
        <v>4.4647913747114602E-12</v>
      </c>
      <c r="AX118" s="23">
        <f t="shared" si="60"/>
        <v>2.2468460076969712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-4.5474735088646412E-13</v>
      </c>
      <c r="BE118" s="14">
        <f>BD118*VLOOKUP('Données projet'!$B$11,Paramètres!$A$1:$I$89,3,0)*VLOOKUP('Données projet'!$B$11,Paramètres!$A$1:$I$89,5,0)</f>
        <v>-2.7193891583010558E-13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216.94426559495264</v>
      </c>
      <c r="BJ118" s="62">
        <f t="shared" si="92"/>
        <v>225.33715877618704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1.217240102062354</v>
      </c>
      <c r="BR118" s="23">
        <f>EXP(-LN(2)/2)*BR117+(1-EXP(-LN(2)/2))/(LN(2)/2)*BL118*BO118*VLOOKUP('Données projet'!$B$11,Paramètres!$A$1:$I$89,3,0)*0.475*44/12</f>
        <v>3.8151463922971179E-12</v>
      </c>
      <c r="BS118" s="24">
        <f t="shared" si="63"/>
        <v>1.2172401020661692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288.19999999999993</v>
      </c>
      <c r="O119" s="14">
        <f>N119*VLOOKUP('Données projet'!$B$9,Paramètres!$A$1:$I$89,3,0)*VLOOKUP('Données projet'!$B$9,Paramètres!$A$1:$I$89,5,0)</f>
        <v>260.76335999999992</v>
      </c>
      <c r="P119" s="14">
        <f t="shared" si="87"/>
        <v>62.885067686031952</v>
      </c>
      <c r="Q119" s="22">
        <f t="shared" si="107"/>
        <v>563.68767821983886</v>
      </c>
      <c r="R119" s="62">
        <f t="shared" si="55"/>
        <v>857.02101155317223</v>
      </c>
      <c r="S119" s="62">
        <f ca="1">AVERAGE(OFFSET($R$3,0,0,'Données projet'!$E$9+1,1))-AVERAGE(OFFSET($H$3,0,0,'Données projet'!$E$9+1,1))</f>
        <v>237.22177246688199</v>
      </c>
      <c r="T119" s="62">
        <f t="shared" si="88"/>
        <v>149.27472147904302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0.28618681490695369</v>
      </c>
      <c r="AB119" s="23">
        <f>EXP(-LN(2)/2)*AB118+(1-EXP(-LN(2)/2))/(LN(2)/2)*V119*Y119*VLOOKUP('Données projet'!$B$9,Paramètres!$A$1:$I$89,3,0)*0.475*44/12</f>
        <v>7.0364738512903697E-13</v>
      </c>
      <c r="AC119" s="24">
        <f t="shared" si="57"/>
        <v>0.28618681490765735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-2.8421709430404007E-14</v>
      </c>
      <c r="AJ119" s="14">
        <f>AI119*VLOOKUP('Données projet'!$B$10,Paramètres!$A$1:$I$89,3,0)*VLOOKUP('Données projet'!$B$10,Paramètres!$A$1:$I$89,5,0)</f>
        <v>-2.4829205358400945E-14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223.81948236065614</v>
      </c>
      <c r="AO119" s="62">
        <f t="shared" si="90"/>
        <v>320.1204011431372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0.55961095465834187</v>
      </c>
      <c r="AV119" s="23">
        <f>EXP(-LN(2)/25)*AV118+(1-EXP(-LN(2)/25))/(LN(2)/25)*Calculateur!AQ119*Calculateur!AS119*VLOOKUP('Données projet'!$B$10,Paramètres!$A$1:$I$89,3,0)*0.475*44/12</f>
        <v>1.6302104784861997</v>
      </c>
      <c r="AW119" s="23">
        <f>EXP(-LN(2)/2)*AW118+(1-EXP(-LN(2)/2))/(LN(2)/2)*AQ119*AT119*VLOOKUP('Données projet'!$B$10,Paramètres!$A$1:$I$89,3,0)*0.475*44/12</f>
        <v>3.1570842576416812E-12</v>
      </c>
      <c r="AX119" s="23">
        <f t="shared" si="60"/>
        <v>2.1898214331476988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-4.5474735088646412E-13</v>
      </c>
      <c r="BE119" s="14">
        <f>BD119*VLOOKUP('Données projet'!$B$11,Paramètres!$A$1:$I$89,3,0)*VLOOKUP('Données projet'!$B$11,Paramètres!$A$1:$I$89,5,0)</f>
        <v>-2.7193891583010558E-13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216.94426559495264</v>
      </c>
      <c r="BJ119" s="62">
        <f t="shared" si="92"/>
        <v>225.33715877618704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1.1839546074595839</v>
      </c>
      <c r="BR119" s="23">
        <f>EXP(-LN(2)/2)*BR118+(1-EXP(-LN(2)/2))/(LN(2)/2)*BL119*BO119*VLOOKUP('Données projet'!$B$11,Paramètres!$A$1:$I$89,3,0)*0.475*44/12</f>
        <v>2.6977158852126844E-12</v>
      </c>
      <c r="BS119" s="24">
        <f t="shared" si="63"/>
        <v>1.1839546074622815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291.89999999999992</v>
      </c>
      <c r="O120" s="14">
        <f>N120*VLOOKUP('Données projet'!$B$9,Paramètres!$A$1:$I$89,3,0)*VLOOKUP('Données projet'!$B$9,Paramètres!$A$1:$I$89,5,0)</f>
        <v>264.11111999999991</v>
      </c>
      <c r="P120" s="14">
        <f t="shared" si="87"/>
        <v>63.59790086687066</v>
      </c>
      <c r="Q120" s="22">
        <f t="shared" si="107"/>
        <v>570.75987800979954</v>
      </c>
      <c r="R120" s="62">
        <f t="shared" si="55"/>
        <v>864.09321134313291</v>
      </c>
      <c r="S120" s="62">
        <f ca="1">AVERAGE(OFFSET($R$3,0,0,'Données projet'!$E$9+1,1))-AVERAGE(OFFSET($H$3,0,0,'Données projet'!$E$9+1,1))</f>
        <v>237.22177246688199</v>
      </c>
      <c r="T120" s="62">
        <f t="shared" si="88"/>
        <v>149.27472147904302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0.27836102140341251</v>
      </c>
      <c r="AB120" s="23">
        <f>EXP(-LN(2)/2)*AB119+(1-EXP(-LN(2)/2))/(LN(2)/2)*V120*Y120*VLOOKUP('Données projet'!$B$9,Paramètres!$A$1:$I$89,3,0)*0.475*44/12</f>
        <v>4.9755383758892427E-13</v>
      </c>
      <c r="AC120" s="24">
        <f t="shared" si="57"/>
        <v>0.27836102140391006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-2.8421709430404007E-14</v>
      </c>
      <c r="AJ120" s="14">
        <f>AI120*VLOOKUP('Données projet'!$B$10,Paramètres!$A$1:$I$89,3,0)*VLOOKUP('Données projet'!$B$10,Paramètres!$A$1:$I$89,5,0)</f>
        <v>-2.4829205358400945E-14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223.81948236065614</v>
      </c>
      <c r="AO120" s="62">
        <f t="shared" si="90"/>
        <v>320.1204011431372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0.54863732516647068</v>
      </c>
      <c r="AV120" s="23">
        <f>EXP(-LN(2)/25)*AV119+(1-EXP(-LN(2)/25))/(LN(2)/25)*Calculateur!AQ120*Calculateur!AS120*VLOOKUP('Données projet'!$B$10,Paramètres!$A$1:$I$89,3,0)*0.475*44/12</f>
        <v>1.5856322872229514</v>
      </c>
      <c r="AW120" s="23">
        <f>EXP(-LN(2)/2)*AW119+(1-EXP(-LN(2)/2))/(LN(2)/2)*AQ120*AT120*VLOOKUP('Données projet'!$B$10,Paramètres!$A$1:$I$89,3,0)*0.475*44/12</f>
        <v>2.2323956873557301E-12</v>
      </c>
      <c r="AX120" s="23">
        <f t="shared" si="60"/>
        <v>2.1342696123916545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-4.5474735088646412E-13</v>
      </c>
      <c r="BE120" s="14">
        <f>BD120*VLOOKUP('Données projet'!$B$11,Paramètres!$A$1:$I$89,3,0)*VLOOKUP('Données projet'!$B$11,Paramètres!$A$1:$I$89,5,0)</f>
        <v>-2.7193891583010558E-13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216.94426559495264</v>
      </c>
      <c r="BJ120" s="62">
        <f t="shared" si="92"/>
        <v>225.33715877618704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1.1515793064571347</v>
      </c>
      <c r="BR120" s="23">
        <f>EXP(-LN(2)/2)*BR119+(1-EXP(-LN(2)/2))/(LN(2)/2)*BL120*BO120*VLOOKUP('Données projet'!$B$11,Paramètres!$A$1:$I$89,3,0)*0.475*44/12</f>
        <v>1.907573196148559E-12</v>
      </c>
      <c r="BS120" s="24">
        <f t="shared" si="63"/>
        <v>1.1515793064590423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295.59999999999991</v>
      </c>
      <c r="O121" s="14">
        <f>N121*VLOOKUP('Données projet'!$B$9,Paramètres!$A$1:$I$89,3,0)*VLOOKUP('Données projet'!$B$9,Paramètres!$A$1:$I$89,5,0)</f>
        <v>267.45887999999991</v>
      </c>
      <c r="P121" s="14">
        <f t="shared" si="87"/>
        <v>64.309683053152384</v>
      </c>
      <c r="Q121" s="22">
        <f t="shared" si="107"/>
        <v>577.83024731757359</v>
      </c>
      <c r="R121" s="62">
        <f t="shared" si="55"/>
        <v>871.16358065090685</v>
      </c>
      <c r="S121" s="62">
        <f ca="1">AVERAGE(OFFSET($R$3,0,0,'Données projet'!$E$9+1,1))-AVERAGE(OFFSET($H$3,0,0,'Données projet'!$E$9+1,1))</f>
        <v>237.22177246688199</v>
      </c>
      <c r="T121" s="62">
        <f t="shared" si="88"/>
        <v>149.27472147904302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0.27074922463476631</v>
      </c>
      <c r="AB121" s="23">
        <f>EXP(-LN(2)/2)*AB120+(1-EXP(-LN(2)/2))/(LN(2)/2)*V121*Y121*VLOOKUP('Données projet'!$B$9,Paramètres!$A$1:$I$89,3,0)*0.475*44/12</f>
        <v>3.5182369256451848E-13</v>
      </c>
      <c r="AC121" s="24">
        <f t="shared" si="57"/>
        <v>0.27074922463511814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-2.8421709430404007E-14</v>
      </c>
      <c r="AJ121" s="14">
        <f>AI121*VLOOKUP('Données projet'!$B$10,Paramètres!$A$1:$I$89,3,0)*VLOOKUP('Données projet'!$B$10,Paramètres!$A$1:$I$89,5,0)</f>
        <v>-2.4829205358400945E-14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223.81948236065614</v>
      </c>
      <c r="AO121" s="62">
        <f t="shared" si="90"/>
        <v>320.1204011431372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0.537878881855682</v>
      </c>
      <c r="AV121" s="23">
        <f>EXP(-LN(2)/25)*AV120+(1-EXP(-LN(2)/25))/(LN(2)/25)*Calculateur!AQ121*Calculateur!AS121*VLOOKUP('Données projet'!$B$10,Paramètres!$A$1:$I$89,3,0)*0.475*44/12</f>
        <v>1.5422730889440617</v>
      </c>
      <c r="AW121" s="23">
        <f>EXP(-LN(2)/2)*AW120+(1-EXP(-LN(2)/2))/(LN(2)/2)*AQ121*AT121*VLOOKUP('Données projet'!$B$10,Paramètres!$A$1:$I$89,3,0)*0.475*44/12</f>
        <v>1.5785421288208406E-12</v>
      </c>
      <c r="AX121" s="23">
        <f t="shared" si="60"/>
        <v>2.0801519708013223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-4.5474735088646412E-13</v>
      </c>
      <c r="BE121" s="14">
        <f>BD121*VLOOKUP('Données projet'!$B$11,Paramètres!$A$1:$I$89,3,0)*VLOOKUP('Données projet'!$B$11,Paramètres!$A$1:$I$89,5,0)</f>
        <v>-2.7193891583010558E-13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216.94426559495264</v>
      </c>
      <c r="BJ121" s="62">
        <f t="shared" si="92"/>
        <v>225.33715877618704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1.1200893097631406</v>
      </c>
      <c r="BR121" s="23">
        <f>EXP(-LN(2)/2)*BR120+(1-EXP(-LN(2)/2))/(LN(2)/2)*BL121*BO121*VLOOKUP('Données projet'!$B$11,Paramètres!$A$1:$I$89,3,0)*0.475*44/12</f>
        <v>1.3488579426063422E-12</v>
      </c>
      <c r="BS121" s="24">
        <f t="shared" si="63"/>
        <v>1.1200893097644895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299.2999999999999</v>
      </c>
      <c r="O122" s="14">
        <f>N122*VLOOKUP('Données projet'!$B$9,Paramètres!$A$1:$I$89,3,0)*VLOOKUP('Données projet'!$B$9,Paramètres!$A$1:$I$89,5,0)</f>
        <v>270.8066399999999</v>
      </c>
      <c r="P122" s="14">
        <f t="shared" si="87"/>
        <v>65.020428921429911</v>
      </c>
      <c r="Q122" s="22">
        <f t="shared" si="107"/>
        <v>584.89881170482352</v>
      </c>
      <c r="R122" s="62">
        <f t="shared" si="55"/>
        <v>878.23214503815689</v>
      </c>
      <c r="S122" s="62">
        <f ca="1">AVERAGE(OFFSET($R$3,0,0,'Données projet'!$E$9+1,1))-AVERAGE(OFFSET($H$3,0,0,'Données projet'!$E$9+1,1))</f>
        <v>237.22177246688199</v>
      </c>
      <c r="T122" s="62">
        <f t="shared" si="88"/>
        <v>149.27472147904302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0.26334557284904569</v>
      </c>
      <c r="AB122" s="23">
        <f>EXP(-LN(2)/2)*AB121+(1-EXP(-LN(2)/2))/(LN(2)/2)*V122*Y122*VLOOKUP('Données projet'!$B$9,Paramètres!$A$1:$I$89,3,0)*0.475*44/12</f>
        <v>2.4877691879446213E-13</v>
      </c>
      <c r="AC122" s="24">
        <f t="shared" si="57"/>
        <v>0.2633455728492945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-2.8421709430404007E-14</v>
      </c>
      <c r="AJ122" s="14">
        <f>AI122*VLOOKUP('Données projet'!$B$10,Paramètres!$A$1:$I$89,3,0)*VLOOKUP('Données projet'!$B$10,Paramètres!$A$1:$I$89,5,0)</f>
        <v>-2.4829205358400945E-14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223.81948236065614</v>
      </c>
      <c r="AO122" s="62">
        <f t="shared" si="90"/>
        <v>320.1204011431372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0.52733140505621545</v>
      </c>
      <c r="AV122" s="23">
        <f>EXP(-LN(2)/25)*AV121+(1-EXP(-LN(2)/25))/(LN(2)/25)*Calculateur!AQ122*Calculateur!AS122*VLOOKUP('Données projet'!$B$10,Paramètres!$A$1:$I$89,3,0)*0.475*44/12</f>
        <v>1.5000995502222694</v>
      </c>
      <c r="AW122" s="23">
        <f>EXP(-LN(2)/2)*AW121+(1-EXP(-LN(2)/2))/(LN(2)/2)*AQ122*AT122*VLOOKUP('Données projet'!$B$10,Paramètres!$A$1:$I$89,3,0)*0.475*44/12</f>
        <v>1.116197843677865E-12</v>
      </c>
      <c r="AX122" s="23">
        <f t="shared" si="60"/>
        <v>2.0274309552796006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-4.5474735088646412E-13</v>
      </c>
      <c r="BE122" s="14">
        <f>BD122*VLOOKUP('Données projet'!$B$11,Paramètres!$A$1:$I$89,3,0)*VLOOKUP('Données projet'!$B$11,Paramètres!$A$1:$I$89,5,0)</f>
        <v>-2.7193891583010558E-13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216.94426559495264</v>
      </c>
      <c r="BJ122" s="62">
        <f t="shared" si="92"/>
        <v>225.33715877618704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1.0894604086847306</v>
      </c>
      <c r="BR122" s="23">
        <f>EXP(-LN(2)/2)*BR121+(1-EXP(-LN(2)/2))/(LN(2)/2)*BL122*BO122*VLOOKUP('Données projet'!$B$11,Paramètres!$A$1:$I$89,3,0)*0.475*44/12</f>
        <v>9.5378659807427948E-13</v>
      </c>
      <c r="BS122" s="24">
        <f t="shared" si="63"/>
        <v>1.0894604086856843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302.99999999999989</v>
      </c>
      <c r="O123" s="14">
        <f>N123*VLOOKUP('Données projet'!$B$9,Paramètres!$A$1:$I$89,3,0)*VLOOKUP('Données projet'!$B$9,Paramètres!$A$1:$I$89,5,0)</f>
        <v>274.1543999999999</v>
      </c>
      <c r="P123" s="14">
        <f t="shared" si="87"/>
        <v>65.730152764515779</v>
      </c>
      <c r="Q123" s="22">
        <f t="shared" si="107"/>
        <v>591.96559606486471</v>
      </c>
      <c r="R123" s="62">
        <f t="shared" si="55"/>
        <v>885.29892939819797</v>
      </c>
      <c r="S123" s="62">
        <f ca="1">AVERAGE(OFFSET($R$3,0,0,'Données projet'!$E$9+1,1))-AVERAGE(OFFSET($H$3,0,0,'Données projet'!$E$9+1,1))</f>
        <v>237.22177246688199</v>
      </c>
      <c r="T123" s="62">
        <f t="shared" si="88"/>
        <v>149.27472147904302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303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0.25614437431074677</v>
      </c>
      <c r="AB123" s="23">
        <f>EXP(-LN(2)/2)*AB122+(1-EXP(-LN(2)/2))/(LN(2)/2)*V123*Y123*VLOOKUP('Données projet'!$B$9,Paramètres!$A$1:$I$89,3,0)*0.475*44/12</f>
        <v>1.7591184628225924E-13</v>
      </c>
      <c r="AC123" s="24">
        <f t="shared" si="57"/>
        <v>0.25614437431092268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-2.8421709430404007E-14</v>
      </c>
      <c r="AJ123" s="14">
        <f>AI123*VLOOKUP('Données projet'!$B$10,Paramètres!$A$1:$I$89,3,0)*VLOOKUP('Données projet'!$B$10,Paramètres!$A$1:$I$89,5,0)</f>
        <v>-2.4829205358400945E-14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223.81948236065614</v>
      </c>
      <c r="AO123" s="62">
        <f t="shared" si="90"/>
        <v>320.1204011431372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0.51699075784346082</v>
      </c>
      <c r="AV123" s="23">
        <f>EXP(-LN(2)/25)*AV122+(1-EXP(-LN(2)/25))/(LN(2)/25)*Calculateur!AQ123*Calculateur!AS123*VLOOKUP('Données projet'!$B$10,Paramètres!$A$1:$I$89,3,0)*0.475*44/12</f>
        <v>1.4590792491346345</v>
      </c>
      <c r="AW123" s="23">
        <f>EXP(-LN(2)/2)*AW122+(1-EXP(-LN(2)/2))/(LN(2)/2)*AQ123*AT123*VLOOKUP('Données projet'!$B$10,Paramètres!$A$1:$I$89,3,0)*0.475*44/12</f>
        <v>7.8927106441042031E-13</v>
      </c>
      <c r="AX123" s="23">
        <f t="shared" si="60"/>
        <v>1.9760700069788848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-4.5474735088646412E-13</v>
      </c>
      <c r="BE123" s="14">
        <f>BD123*VLOOKUP('Données projet'!$B$11,Paramètres!$A$1:$I$89,3,0)*VLOOKUP('Données projet'!$B$11,Paramètres!$A$1:$I$89,5,0)</f>
        <v>-2.7193891583010558E-13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216.94426559495264</v>
      </c>
      <c r="BJ123" s="62">
        <f t="shared" si="92"/>
        <v>225.33715877618704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1.0596690565170137</v>
      </c>
      <c r="BR123" s="23">
        <f>EXP(-LN(2)/2)*BR122+(1-EXP(-LN(2)/2))/(LN(2)/2)*BL123*BO123*VLOOKUP('Données projet'!$B$11,Paramètres!$A$1:$I$89,3,0)*0.475*44/12</f>
        <v>6.7442897130317111E-13</v>
      </c>
      <c r="BS123" s="24">
        <f t="shared" si="63"/>
        <v>1.0596690565176881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-1.0286385077051818E-13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237.22177246688199</v>
      </c>
      <c r="T124" s="62">
        <f t="shared" si="88"/>
        <v>149.27472147904302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0.24914009292517217</v>
      </c>
      <c r="AB124" s="23">
        <f>EXP(-LN(2)/2)*AB123+(1-EXP(-LN(2)/2))/(LN(2)/2)*V124*Y124*VLOOKUP('Données projet'!$B$9,Paramètres!$A$1:$I$89,3,0)*0.475*44/12</f>
        <v>1.2438845939723107E-13</v>
      </c>
      <c r="AC124" s="24">
        <f t="shared" si="57"/>
        <v>0.24914009292529657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-2.8421709430404007E-14</v>
      </c>
      <c r="AJ124" s="14">
        <f>AI124*VLOOKUP('Données projet'!$B$10,Paramètres!$A$1:$I$89,3,0)*VLOOKUP('Données projet'!$B$10,Paramètres!$A$1:$I$89,5,0)</f>
        <v>-2.4829205358400945E-14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223.81948236065614</v>
      </c>
      <c r="AO124" s="62">
        <f t="shared" si="90"/>
        <v>320.1204011431372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0.50685288441537624</v>
      </c>
      <c r="AV124" s="23">
        <f>EXP(-LN(2)/25)*AV123+(1-EXP(-LN(2)/25))/(LN(2)/25)*Calculateur!AQ124*Calculateur!AS124*VLOOKUP('Données projet'!$B$10,Paramètres!$A$1:$I$89,3,0)*0.475*44/12</f>
        <v>1.4191806503374049</v>
      </c>
      <c r="AW124" s="23">
        <f>EXP(-LN(2)/2)*AW123+(1-EXP(-LN(2)/2))/(LN(2)/2)*AQ124*AT124*VLOOKUP('Données projet'!$B$10,Paramètres!$A$1:$I$89,3,0)*0.475*44/12</f>
        <v>5.5809892183893252E-13</v>
      </c>
      <c r="AX124" s="23">
        <f t="shared" si="60"/>
        <v>1.926033534753339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-4.5474735088646412E-13</v>
      </c>
      <c r="BE124" s="14">
        <f>BD124*VLOOKUP('Données projet'!$B$11,Paramètres!$A$1:$I$89,3,0)*VLOOKUP('Données projet'!$B$11,Paramètres!$A$1:$I$89,5,0)</f>
        <v>-2.7193891583010558E-13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216.94426559495264</v>
      </c>
      <c r="BJ124" s="62">
        <f t="shared" si="92"/>
        <v>225.33715877618704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1.0306923504409822</v>
      </c>
      <c r="BR124" s="23">
        <f>EXP(-LN(2)/2)*BR123+(1-EXP(-LN(2)/2))/(LN(2)/2)*BL124*BO124*VLOOKUP('Données projet'!$B$11,Paramètres!$A$1:$I$89,3,0)*0.475*44/12</f>
        <v>4.7689329903713974E-13</v>
      </c>
      <c r="BS124" s="24">
        <f t="shared" si="63"/>
        <v>1.0306923504414591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-1.0286385077051818E-13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237.22177246688199</v>
      </c>
      <c r="T125" s="62">
        <f t="shared" si="88"/>
        <v>149.27472147904302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0.24232734398242525</v>
      </c>
      <c r="AB125" s="23">
        <f>EXP(-LN(2)/2)*AB124+(1-EXP(-LN(2)/2))/(LN(2)/2)*V125*Y125*VLOOKUP('Données projet'!$B$9,Paramètres!$A$1:$I$89,3,0)*0.475*44/12</f>
        <v>8.7955923141129621E-14</v>
      </c>
      <c r="AC125" s="24">
        <f t="shared" si="57"/>
        <v>0.24232734398251321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-2.8421709430404007E-14</v>
      </c>
      <c r="AJ125" s="14">
        <f>AI125*VLOOKUP('Données projet'!$B$10,Paramètres!$A$1:$I$89,3,0)*VLOOKUP('Données projet'!$B$10,Paramètres!$A$1:$I$89,5,0)</f>
        <v>-2.4829205358400945E-14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223.81948236065614</v>
      </c>
      <c r="AO125" s="62">
        <f t="shared" si="90"/>
        <v>320.1204011431372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0.49691380850172417</v>
      </c>
      <c r="AV125" s="23">
        <f>EXP(-LN(2)/25)*AV124+(1-EXP(-LN(2)/25))/(LN(2)/25)*Calculateur!AQ125*Calculateur!AS125*VLOOKUP('Données projet'!$B$10,Paramètres!$A$1:$I$89,3,0)*0.475*44/12</f>
        <v>1.3803730808224617</v>
      </c>
      <c r="AW125" s="23">
        <f>EXP(-LN(2)/2)*AW124+(1-EXP(-LN(2)/2))/(LN(2)/2)*AQ125*AT125*VLOOKUP('Données projet'!$B$10,Paramètres!$A$1:$I$89,3,0)*0.475*44/12</f>
        <v>3.9463553220521016E-13</v>
      </c>
      <c r="AX125" s="23">
        <f t="shared" si="60"/>
        <v>1.8772868893245804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-4.5474735088646412E-13</v>
      </c>
      <c r="BE125" s="14">
        <f>BD125*VLOOKUP('Données projet'!$B$11,Paramètres!$A$1:$I$89,3,0)*VLOOKUP('Données projet'!$B$11,Paramètres!$A$1:$I$89,5,0)</f>
        <v>-2.7193891583010558E-13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216.94426559495264</v>
      </c>
      <c r="BJ125" s="62">
        <f t="shared" si="92"/>
        <v>225.33715877618704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1.0025080139164184</v>
      </c>
      <c r="BR125" s="23">
        <f>EXP(-LN(2)/2)*BR124+(1-EXP(-LN(2)/2))/(LN(2)/2)*BL125*BO125*VLOOKUP('Données projet'!$B$11,Paramètres!$A$1:$I$89,3,0)*0.475*44/12</f>
        <v>3.3721448565158556E-13</v>
      </c>
      <c r="BS125" s="24">
        <f t="shared" si="63"/>
        <v>1.0025080139167557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-1.0286385077051818E-13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237.22177246688199</v>
      </c>
      <c r="T126" s="62">
        <f t="shared" si="88"/>
        <v>149.27472147904302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0.23570089001778466</v>
      </c>
      <c r="AB126" s="23">
        <f>EXP(-LN(2)/2)*AB125+(1-EXP(-LN(2)/2))/(LN(2)/2)*V126*Y126*VLOOKUP('Données projet'!$B$9,Paramètres!$A$1:$I$89,3,0)*0.475*44/12</f>
        <v>6.2194229698615533E-14</v>
      </c>
      <c r="AC126" s="24">
        <f t="shared" si="57"/>
        <v>0.23570089001784686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-2.8421709430404007E-14</v>
      </c>
      <c r="AJ126" s="14">
        <f>AI126*VLOOKUP('Données projet'!$B$10,Paramètres!$A$1:$I$89,3,0)*VLOOKUP('Données projet'!$B$10,Paramètres!$A$1:$I$89,5,0)</f>
        <v>-2.4829205358400945E-14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223.81948236065614</v>
      </c>
      <c r="AO126" s="62">
        <f t="shared" si="90"/>
        <v>320.1204011431372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0.48716963180450112</v>
      </c>
      <c r="AV126" s="23">
        <f>EXP(-LN(2)/25)*AV125+(1-EXP(-LN(2)/25))/(LN(2)/25)*Calculateur!AQ126*Calculateur!AS126*VLOOKUP('Données projet'!$B$10,Paramètres!$A$1:$I$89,3,0)*0.475*44/12</f>
        <v>1.3426267063367061</v>
      </c>
      <c r="AW126" s="23">
        <f>EXP(-LN(2)/2)*AW125+(1-EXP(-LN(2)/2))/(LN(2)/2)*AQ126*AT126*VLOOKUP('Données projet'!$B$10,Paramètres!$A$1:$I$89,3,0)*0.475*44/12</f>
        <v>2.7904946091946626E-13</v>
      </c>
      <c r="AX126" s="23">
        <f t="shared" si="60"/>
        <v>1.8297963381414863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-4.5474735088646412E-13</v>
      </c>
      <c r="BE126" s="14">
        <f>BD126*VLOOKUP('Données projet'!$B$11,Paramètres!$A$1:$I$89,3,0)*VLOOKUP('Données projet'!$B$11,Paramètres!$A$1:$I$89,5,0)</f>
        <v>-2.7193891583010558E-13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216.94426559495264</v>
      </c>
      <c r="BJ126" s="62">
        <f t="shared" si="92"/>
        <v>225.33715877618704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0.97509437955626876</v>
      </c>
      <c r="BR126" s="23">
        <f>EXP(-LN(2)/2)*BR125+(1-EXP(-LN(2)/2))/(LN(2)/2)*BL126*BO126*VLOOKUP('Données projet'!$B$11,Paramètres!$A$1:$I$89,3,0)*0.475*44/12</f>
        <v>2.3844664951856987E-13</v>
      </c>
      <c r="BS126" s="24">
        <f t="shared" si="63"/>
        <v>0.97509437955650724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-1.0286385077051818E-13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237.22177246688199</v>
      </c>
      <c r="T127" s="62">
        <f t="shared" si="88"/>
        <v>149.27472147904302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0.22925563678527724</v>
      </c>
      <c r="AB127" s="23">
        <f>EXP(-LN(2)/2)*AB126+(1-EXP(-LN(2)/2))/(LN(2)/2)*V127*Y127*VLOOKUP('Données projet'!$B$9,Paramètres!$A$1:$I$89,3,0)*0.475*44/12</f>
        <v>4.397796157056481E-14</v>
      </c>
      <c r="AC127" s="24">
        <f t="shared" si="57"/>
        <v>0.22925563678532121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-2.8421709430404007E-14</v>
      </c>
      <c r="AJ127" s="14">
        <f>AI127*VLOOKUP('Données projet'!$B$10,Paramètres!$A$1:$I$89,3,0)*VLOOKUP('Données projet'!$B$10,Paramètres!$A$1:$I$89,5,0)</f>
        <v>-2.4829205358400945E-14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223.81948236065614</v>
      </c>
      <c r="AO127" s="62">
        <f t="shared" si="90"/>
        <v>320.1204011431372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0.47761653246894969</v>
      </c>
      <c r="AV127" s="23">
        <f>EXP(-LN(2)/25)*AV126+(1-EXP(-LN(2)/25))/(LN(2)/25)*Calculateur!AQ127*Calculateur!AS127*VLOOKUP('Données projet'!$B$10,Paramètres!$A$1:$I$89,3,0)*0.475*44/12</f>
        <v>1.3059125084462591</v>
      </c>
      <c r="AW127" s="23">
        <f>EXP(-LN(2)/2)*AW126+(1-EXP(-LN(2)/2))/(LN(2)/2)*AQ127*AT127*VLOOKUP('Données projet'!$B$10,Paramètres!$A$1:$I$89,3,0)*0.475*44/12</f>
        <v>1.9731776610260508E-13</v>
      </c>
      <c r="AX127" s="23">
        <f t="shared" si="60"/>
        <v>1.7835290409154061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-4.5474735088646412E-13</v>
      </c>
      <c r="BE127" s="14">
        <f>BD127*VLOOKUP('Données projet'!$B$11,Paramètres!$A$1:$I$89,3,0)*VLOOKUP('Données projet'!$B$11,Paramètres!$A$1:$I$89,5,0)</f>
        <v>-2.7193891583010558E-13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216.94426559495264</v>
      </c>
      <c r="BJ127" s="62">
        <f t="shared" si="92"/>
        <v>225.33715877618704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0.94843037246931783</v>
      </c>
      <c r="BR127" s="23">
        <f>EXP(-LN(2)/2)*BR126+(1-EXP(-LN(2)/2))/(LN(2)/2)*BL127*BO127*VLOOKUP('Données projet'!$B$11,Paramètres!$A$1:$I$89,3,0)*0.475*44/12</f>
        <v>1.6860724282579278E-13</v>
      </c>
      <c r="BS127" s="24">
        <f t="shared" si="63"/>
        <v>0.94843037246948647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-1.0286385077051818E-13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237.22177246688199</v>
      </c>
      <c r="T128" s="62">
        <f t="shared" si="88"/>
        <v>149.27472147904302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0.22298662934135388</v>
      </c>
      <c r="AB128" s="23">
        <f>EXP(-LN(2)/2)*AB127+(1-EXP(-LN(2)/2))/(LN(2)/2)*V128*Y128*VLOOKUP('Données projet'!$B$9,Paramètres!$A$1:$I$89,3,0)*0.475*44/12</f>
        <v>3.1097114849307767E-14</v>
      </c>
      <c r="AC128" s="24">
        <f t="shared" si="57"/>
        <v>0.22298662934138497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-2.8421709430404007E-14</v>
      </c>
      <c r="AJ128" s="14">
        <f>AI128*VLOOKUP('Données projet'!$B$10,Paramètres!$A$1:$I$89,3,0)*VLOOKUP('Données projet'!$B$10,Paramètres!$A$1:$I$89,5,0)</f>
        <v>-2.4829205358400945E-14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223.81948236065614</v>
      </c>
      <c r="AO128" s="62">
        <f t="shared" si="90"/>
        <v>320.1204011431372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0.4682507635845532</v>
      </c>
      <c r="AV128" s="23">
        <f>EXP(-LN(2)/25)*AV127+(1-EXP(-LN(2)/25))/(LN(2)/25)*Calculateur!AQ128*Calculateur!AS128*VLOOKUP('Données projet'!$B$10,Paramètres!$A$1:$I$89,3,0)*0.475*44/12</f>
        <v>1.2702022622278419</v>
      </c>
      <c r="AW128" s="23">
        <f>EXP(-LN(2)/2)*AW127+(1-EXP(-LN(2)/2))/(LN(2)/2)*AQ128*AT128*VLOOKUP('Données projet'!$B$10,Paramètres!$A$1:$I$89,3,0)*0.475*44/12</f>
        <v>1.3952473045973313E-13</v>
      </c>
      <c r="AX128" s="23">
        <f t="shared" si="60"/>
        <v>1.7384530258125346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-4.5474735088646412E-13</v>
      </c>
      <c r="BE128" s="14">
        <f>BD128*VLOOKUP('Données projet'!$B$11,Paramètres!$A$1:$I$89,3,0)*VLOOKUP('Données projet'!$B$11,Paramètres!$A$1:$I$89,5,0)</f>
        <v>-2.7193891583010558E-13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216.94426559495264</v>
      </c>
      <c r="BJ128" s="62">
        <f t="shared" si="92"/>
        <v>225.33715877618704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0.92249549405835873</v>
      </c>
      <c r="BR128" s="23">
        <f>EXP(-LN(2)/2)*BR127+(1-EXP(-LN(2)/2))/(LN(2)/2)*BL128*BO128*VLOOKUP('Données projet'!$B$11,Paramètres!$A$1:$I$89,3,0)*0.475*44/12</f>
        <v>1.1922332475928494E-13</v>
      </c>
      <c r="BS128" s="24">
        <f t="shared" si="63"/>
        <v>0.92249549405847797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-1.0286385077051818E-13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237.22177246688199</v>
      </c>
      <c r="T129" s="62">
        <f t="shared" si="88"/>
        <v>149.27472147904302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0.21688904823565736</v>
      </c>
      <c r="AB129" s="23">
        <f>EXP(-LN(2)/2)*AB128+(1-EXP(-LN(2)/2))/(LN(2)/2)*V129*Y129*VLOOKUP('Données projet'!$B$9,Paramètres!$A$1:$I$89,3,0)*0.475*44/12</f>
        <v>2.1988980785282405E-14</v>
      </c>
      <c r="AC129" s="24">
        <f t="shared" si="57"/>
        <v>0.21688904823567934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-2.8421709430404007E-14</v>
      </c>
      <c r="AJ129" s="14">
        <f>AI129*VLOOKUP('Données projet'!$B$10,Paramètres!$A$1:$I$89,3,0)*VLOOKUP('Données projet'!$B$10,Paramètres!$A$1:$I$89,5,0)</f>
        <v>-2.4829205358400945E-14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223.81948236065614</v>
      </c>
      <c r="AO129" s="62">
        <f t="shared" si="90"/>
        <v>320.1204011431372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0.45906865171542477</v>
      </c>
      <c r="AV129" s="23">
        <f>EXP(-LN(2)/25)*AV128+(1-EXP(-LN(2)/25))/(LN(2)/25)*Calculateur!AQ129*Calculateur!AS129*VLOOKUP('Données projet'!$B$10,Paramètres!$A$1:$I$89,3,0)*0.475*44/12</f>
        <v>1.2354685145701878</v>
      </c>
      <c r="AW129" s="23">
        <f>EXP(-LN(2)/2)*AW128+(1-EXP(-LN(2)/2))/(LN(2)/2)*AQ129*AT129*VLOOKUP('Données projet'!$B$10,Paramètres!$A$1:$I$89,3,0)*0.475*44/12</f>
        <v>9.8658883051302539E-14</v>
      </c>
      <c r="AX129" s="23">
        <f t="shared" si="60"/>
        <v>1.6945371662857112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-4.5474735088646412E-13</v>
      </c>
      <c r="BE129" s="14">
        <f>BD129*VLOOKUP('Données projet'!$B$11,Paramètres!$A$1:$I$89,3,0)*VLOOKUP('Données projet'!$B$11,Paramètres!$A$1:$I$89,5,0)</f>
        <v>-2.7193891583010558E-13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216.94426559495264</v>
      </c>
      <c r="BJ129" s="62">
        <f t="shared" si="92"/>
        <v>225.33715877618704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0.89726980626140329</v>
      </c>
      <c r="BR129" s="23">
        <f>EXP(-LN(2)/2)*BR128+(1-EXP(-LN(2)/2))/(LN(2)/2)*BL129*BO129*VLOOKUP('Données projet'!$B$11,Paramètres!$A$1:$I$89,3,0)*0.475*44/12</f>
        <v>8.4303621412896389E-14</v>
      </c>
      <c r="BS129" s="24">
        <f t="shared" si="63"/>
        <v>0.89726980626148756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-1.0286385077051818E-13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237.22177246688199</v>
      </c>
      <c r="T130" s="62">
        <f t="shared" si="88"/>
        <v>149.27472147904302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0.21095820580595395</v>
      </c>
      <c r="AB130" s="23">
        <f>EXP(-LN(2)/2)*AB129+(1-EXP(-LN(2)/2))/(LN(2)/2)*V130*Y130*VLOOKUP('Données projet'!$B$9,Paramètres!$A$1:$I$89,3,0)*0.475*44/12</f>
        <v>1.5548557424653883E-14</v>
      </c>
      <c r="AC130" s="24">
        <f t="shared" si="57"/>
        <v>0.2109582058059695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-2.8421709430404007E-14</v>
      </c>
      <c r="AJ130" s="14">
        <f>AI130*VLOOKUP('Données projet'!$B$10,Paramètres!$A$1:$I$89,3,0)*VLOOKUP('Données projet'!$B$10,Paramètres!$A$1:$I$89,5,0)</f>
        <v>-2.4829205358400945E-14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223.81948236065614</v>
      </c>
      <c r="AO130" s="62">
        <f t="shared" si="90"/>
        <v>320.1204011431372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0.45006659545951472</v>
      </c>
      <c r="AV130" s="23">
        <f>EXP(-LN(2)/25)*AV129+(1-EXP(-LN(2)/25))/(LN(2)/25)*Calculateur!AQ130*Calculateur!AS130*VLOOKUP('Données projet'!$B$10,Paramètres!$A$1:$I$89,3,0)*0.475*44/12</f>
        <v>1.2016845630688004</v>
      </c>
      <c r="AW130" s="23">
        <f>EXP(-LN(2)/2)*AW129+(1-EXP(-LN(2)/2))/(LN(2)/2)*AQ130*AT130*VLOOKUP('Données projet'!$B$10,Paramètres!$A$1:$I$89,3,0)*0.475*44/12</f>
        <v>6.9762365229866565E-14</v>
      </c>
      <c r="AX130" s="23">
        <f t="shared" si="60"/>
        <v>1.6517511585283848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-4.5474735088646412E-13</v>
      </c>
      <c r="BE130" s="14">
        <f>BD130*VLOOKUP('Données projet'!$B$11,Paramètres!$A$1:$I$89,3,0)*VLOOKUP('Données projet'!$B$11,Paramètres!$A$1:$I$89,5,0)</f>
        <v>-2.7193891583010558E-13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216.94426559495264</v>
      </c>
      <c r="BJ130" s="62">
        <f t="shared" si="92"/>
        <v>225.33715877618704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0.8727339162238168</v>
      </c>
      <c r="BR130" s="23">
        <f>EXP(-LN(2)/2)*BR129+(1-EXP(-LN(2)/2))/(LN(2)/2)*BL130*BO130*VLOOKUP('Données projet'!$B$11,Paramètres!$A$1:$I$89,3,0)*0.475*44/12</f>
        <v>5.9611662379642468E-14</v>
      </c>
      <c r="BS130" s="24">
        <f t="shared" si="63"/>
        <v>0.87273391622387642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-1.0286385077051818E-13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237.22177246688199</v>
      </c>
      <c r="T131" s="62">
        <f t="shared" si="88"/>
        <v>149.27472147904302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0.20518954257438024</v>
      </c>
      <c r="AB131" s="23">
        <f>EXP(-LN(2)/2)*AB130+(1-EXP(-LN(2)/2))/(LN(2)/2)*V131*Y131*VLOOKUP('Données projet'!$B$9,Paramètres!$A$1:$I$89,3,0)*0.475*44/12</f>
        <v>1.0994490392641203E-14</v>
      </c>
      <c r="AC131" s="24">
        <f t="shared" si="57"/>
        <v>0.20518954257439123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-2.8421709430404007E-14</v>
      </c>
      <c r="AJ131" s="14">
        <f>AI131*VLOOKUP('Données projet'!$B$10,Paramètres!$A$1:$I$89,3,0)*VLOOKUP('Données projet'!$B$10,Paramètres!$A$1:$I$89,5,0)</f>
        <v>-2.4829205358400945E-14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223.81948236065614</v>
      </c>
      <c r="AO131" s="62">
        <f t="shared" si="90"/>
        <v>320.1204011431372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0.44124106403607088</v>
      </c>
      <c r="AV131" s="23">
        <f>EXP(-LN(2)/25)*AV130+(1-EXP(-LN(2)/25))/(LN(2)/25)*Calculateur!AQ131*Calculateur!AS131*VLOOKUP('Données projet'!$B$10,Paramètres!$A$1:$I$89,3,0)*0.475*44/12</f>
        <v>1.1688244354978394</v>
      </c>
      <c r="AW131" s="23">
        <f>EXP(-LN(2)/2)*AW130+(1-EXP(-LN(2)/2))/(LN(2)/2)*AQ131*AT131*VLOOKUP('Données projet'!$B$10,Paramètres!$A$1:$I$89,3,0)*0.475*44/12</f>
        <v>4.9329441525651269E-14</v>
      </c>
      <c r="AX131" s="23">
        <f t="shared" si="60"/>
        <v>1.6100654995339596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-4.5474735088646412E-13</v>
      </c>
      <c r="BE131" s="14">
        <f>BD131*VLOOKUP('Données projet'!$B$11,Paramètres!$A$1:$I$89,3,0)*VLOOKUP('Données projet'!$B$11,Paramètres!$A$1:$I$89,5,0)</f>
        <v>-2.7193891583010558E-13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216.94426559495264</v>
      </c>
      <c r="BJ131" s="62">
        <f t="shared" si="92"/>
        <v>225.33715877618704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0.84886896138959456</v>
      </c>
      <c r="BR131" s="23">
        <f>EXP(-LN(2)/2)*BR130+(1-EXP(-LN(2)/2))/(LN(2)/2)*BL131*BO131*VLOOKUP('Données projet'!$B$11,Paramètres!$A$1:$I$89,3,0)*0.475*44/12</f>
        <v>4.2151810706448194E-14</v>
      </c>
      <c r="BS131" s="24">
        <f t="shared" si="63"/>
        <v>0.84886896138963674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-1.0286385077051818E-13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237.22177246688199</v>
      </c>
      <c r="T132" s="62">
        <f t="shared" si="88"/>
        <v>149.27472147904302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0.19957862374223473</v>
      </c>
      <c r="AB132" s="23">
        <f>EXP(-LN(2)/2)*AB131+(1-EXP(-LN(2)/2))/(LN(2)/2)*V132*Y132*VLOOKUP('Données projet'!$B$9,Paramètres!$A$1:$I$89,3,0)*0.475*44/12</f>
        <v>7.7742787123269417E-15</v>
      </c>
      <c r="AC132" s="24">
        <f t="shared" ref="AC132:AC153" si="111">SUM(Z132:AB132)</f>
        <v>0.1995786237422425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-2.8421709430404007E-14</v>
      </c>
      <c r="AJ132" s="14">
        <f>AI132*VLOOKUP('Données projet'!$B$10,Paramètres!$A$1:$I$89,3,0)*VLOOKUP('Données projet'!$B$10,Paramètres!$A$1:$I$89,5,0)</f>
        <v>-2.4829205358400945E-14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223.81948236065614</v>
      </c>
      <c r="AO132" s="62">
        <f t="shared" si="90"/>
        <v>320.1204011431372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0.43258859590079818</v>
      </c>
      <c r="AV132" s="23">
        <f>EXP(-LN(2)/25)*AV131+(1-EXP(-LN(2)/25))/(LN(2)/25)*Calculateur!AQ132*Calculateur!AS132*VLOOKUP('Données projet'!$B$10,Paramètres!$A$1:$I$89,3,0)*0.475*44/12</f>
        <v>1.1368628698433454</v>
      </c>
      <c r="AW132" s="23">
        <f>EXP(-LN(2)/2)*AW131+(1-EXP(-LN(2)/2))/(LN(2)/2)*AQ132*AT132*VLOOKUP('Données projet'!$B$10,Paramètres!$A$1:$I$89,3,0)*0.475*44/12</f>
        <v>3.4881182614933283E-14</v>
      </c>
      <c r="AX132" s="23">
        <f t="shared" ref="AX132:AX153" si="114">SUM(AU132:AW132)</f>
        <v>1.5694514657441785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-4.5474735088646412E-13</v>
      </c>
      <c r="BE132" s="14">
        <f>BD132*VLOOKUP('Données projet'!$B$11,Paramètres!$A$1:$I$89,3,0)*VLOOKUP('Données projet'!$B$11,Paramètres!$A$1:$I$89,5,0)</f>
        <v>-2.7193891583010558E-13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216.94426559495264</v>
      </c>
      <c r="BJ132" s="62">
        <f t="shared" si="92"/>
        <v>225.33715877618704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0.82565659500031752</v>
      </c>
      <c r="BR132" s="23">
        <f>EXP(-LN(2)/2)*BR131+(1-EXP(-LN(2)/2))/(LN(2)/2)*BL132*BO132*VLOOKUP('Données projet'!$B$11,Paramètres!$A$1:$I$89,3,0)*0.475*44/12</f>
        <v>2.9805831189821234E-14</v>
      </c>
      <c r="BS132" s="24">
        <f t="shared" ref="BS132:BS153" si="117">SUM(BP132:BR132)</f>
        <v>0.82565659500034727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-1.0286385077051818E-13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237.22177246688199</v>
      </c>
      <c r="T133" s="62">
        <f t="shared" ref="T133:T196" si="142">$T$3</f>
        <v>149.27472147904302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0.19412113578061965</v>
      </c>
      <c r="AB133" s="23">
        <f>EXP(-LN(2)/2)*AB132+(1-EXP(-LN(2)/2))/(LN(2)/2)*V133*Y133*VLOOKUP('Données projet'!$B$9,Paramètres!$A$1:$I$89,3,0)*0.475*44/12</f>
        <v>5.4972451963206013E-15</v>
      </c>
      <c r="AC133" s="24">
        <f t="shared" si="111"/>
        <v>0.19412113578062515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-2.8421709430404007E-14</v>
      </c>
      <c r="AJ133" s="14">
        <f>AI133*VLOOKUP('Données projet'!$B$10,Paramètres!$A$1:$I$89,3,0)*VLOOKUP('Données projet'!$B$10,Paramètres!$A$1:$I$89,5,0)</f>
        <v>-2.4829205358400945E-14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223.81948236065614</v>
      </c>
      <c r="AO133" s="62">
        <f t="shared" ref="AO133:AO196" si="144">$AO$3</f>
        <v>320.1204011431372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0.42410579738817372</v>
      </c>
      <c r="AV133" s="23">
        <f>EXP(-LN(2)/25)*AV132+(1-EXP(-LN(2)/25))/(LN(2)/25)*Calculateur!AQ133*Calculateur!AS133*VLOOKUP('Données projet'!$B$10,Paramètres!$A$1:$I$89,3,0)*0.475*44/12</f>
        <v>1.1057752948824591</v>
      </c>
      <c r="AW133" s="23">
        <f>EXP(-LN(2)/2)*AW132+(1-EXP(-LN(2)/2))/(LN(2)/2)*AQ133*AT133*VLOOKUP('Données projet'!$B$10,Paramètres!$A$1:$I$89,3,0)*0.475*44/12</f>
        <v>2.4664720762825635E-14</v>
      </c>
      <c r="AX133" s="23">
        <f t="shared" si="114"/>
        <v>1.5298810922706574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-4.5474735088646412E-13</v>
      </c>
      <c r="BE133" s="14">
        <f>BD133*VLOOKUP('Données projet'!$B$11,Paramètres!$A$1:$I$89,3,0)*VLOOKUP('Données projet'!$B$11,Paramètres!$A$1:$I$89,5,0)</f>
        <v>-2.7193891583010558E-13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216.94426559495264</v>
      </c>
      <c r="BJ133" s="62">
        <f t="shared" ref="BJ133:BJ196" si="146">$BJ$3</f>
        <v>225.33715877618704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0.8030789719906406</v>
      </c>
      <c r="BR133" s="23">
        <f>EXP(-LN(2)/2)*BR132+(1-EXP(-LN(2)/2))/(LN(2)/2)*BL133*BO133*VLOOKUP('Données projet'!$B$11,Paramètres!$A$1:$I$89,3,0)*0.475*44/12</f>
        <v>2.1075905353224097E-14</v>
      </c>
      <c r="BS133" s="24">
        <f t="shared" si="117"/>
        <v>0.80307897199066169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-1.0286385077051818E-13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237.22177246688199</v>
      </c>
      <c r="T134" s="62">
        <f t="shared" si="142"/>
        <v>149.27472147904302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0.18881288311431174</v>
      </c>
      <c r="AB134" s="23">
        <f>EXP(-LN(2)/2)*AB133+(1-EXP(-LN(2)/2))/(LN(2)/2)*V134*Y134*VLOOKUP('Données projet'!$B$9,Paramètres!$A$1:$I$89,3,0)*0.475*44/12</f>
        <v>3.8871393561634708E-15</v>
      </c>
      <c r="AC134" s="24">
        <f t="shared" si="111"/>
        <v>0.18881288311431563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-2.8421709430404007E-14</v>
      </c>
      <c r="AJ134" s="14">
        <f>AI134*VLOOKUP('Données projet'!$B$10,Paramètres!$A$1:$I$89,3,0)*VLOOKUP('Données projet'!$B$10,Paramètres!$A$1:$I$89,5,0)</f>
        <v>-2.4829205358400945E-14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223.81948236065614</v>
      </c>
      <c r="AO134" s="62">
        <f t="shared" si="144"/>
        <v>320.1204011431372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0.41578934138038559</v>
      </c>
      <c r="AV134" s="23">
        <f>EXP(-LN(2)/25)*AV133+(1-EXP(-LN(2)/25))/(LN(2)/25)*Calculateur!AQ134*Calculateur!AS134*VLOOKUP('Données projet'!$B$10,Paramètres!$A$1:$I$89,3,0)*0.475*44/12</f>
        <v>1.0755378112937029</v>
      </c>
      <c r="AW134" s="23">
        <f>EXP(-LN(2)/2)*AW133+(1-EXP(-LN(2)/2))/(LN(2)/2)*AQ134*AT134*VLOOKUP('Données projet'!$B$10,Paramètres!$A$1:$I$89,3,0)*0.475*44/12</f>
        <v>1.7440591307466641E-14</v>
      </c>
      <c r="AX134" s="23">
        <f t="shared" si="114"/>
        <v>1.4913271526741061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-4.5474735088646412E-13</v>
      </c>
      <c r="BE134" s="14">
        <f>BD134*VLOOKUP('Données projet'!$B$11,Paramètres!$A$1:$I$89,3,0)*VLOOKUP('Données projet'!$B$11,Paramètres!$A$1:$I$89,5,0)</f>
        <v>-2.7193891583010558E-13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216.94426559495264</v>
      </c>
      <c r="BJ134" s="62">
        <f t="shared" si="146"/>
        <v>225.33715877618704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0.78111873526946884</v>
      </c>
      <c r="BR134" s="23">
        <f>EXP(-LN(2)/2)*BR133+(1-EXP(-LN(2)/2))/(LN(2)/2)*BL134*BO134*VLOOKUP('Données projet'!$B$11,Paramètres!$A$1:$I$89,3,0)*0.475*44/12</f>
        <v>1.4902915594910617E-14</v>
      </c>
      <c r="BS134" s="24">
        <f t="shared" si="117"/>
        <v>0.78111873526948372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-1.0286385077051818E-13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237.22177246688199</v>
      </c>
      <c r="T135" s="62">
        <f t="shared" si="142"/>
        <v>149.27472147904302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0.1836497848963129</v>
      </c>
      <c r="AB135" s="23">
        <f>EXP(-LN(2)/2)*AB134+(1-EXP(-LN(2)/2))/(LN(2)/2)*V135*Y135*VLOOKUP('Données projet'!$B$9,Paramètres!$A$1:$I$89,3,0)*0.475*44/12</f>
        <v>2.7486225981603006E-15</v>
      </c>
      <c r="AC135" s="24">
        <f t="shared" si="111"/>
        <v>0.18364978489631564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-2.8421709430404007E-14</v>
      </c>
      <c r="AJ135" s="14">
        <f>AI135*VLOOKUP('Données projet'!$B$10,Paramètres!$A$1:$I$89,3,0)*VLOOKUP('Données projet'!$B$10,Paramètres!$A$1:$I$89,5,0)</f>
        <v>-2.4829205358400945E-14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223.81948236065614</v>
      </c>
      <c r="AO135" s="62">
        <f t="shared" si="144"/>
        <v>320.1204011431372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0.4076359660023729</v>
      </c>
      <c r="AV135" s="23">
        <f>EXP(-LN(2)/25)*AV134+(1-EXP(-LN(2)/25))/(LN(2)/25)*Calculateur!AQ135*Calculateur!AS135*VLOOKUP('Données projet'!$B$10,Paramètres!$A$1:$I$89,3,0)*0.475*44/12</f>
        <v>1.0461271732838011</v>
      </c>
      <c r="AW135" s="23">
        <f>EXP(-LN(2)/2)*AW134+(1-EXP(-LN(2)/2))/(LN(2)/2)*AQ135*AT135*VLOOKUP('Données projet'!$B$10,Paramètres!$A$1:$I$89,3,0)*0.475*44/12</f>
        <v>1.2332360381412817E-14</v>
      </c>
      <c r="AX135" s="23">
        <f t="shared" si="114"/>
        <v>1.4537631392861865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-4.5474735088646412E-13</v>
      </c>
      <c r="BE135" s="14">
        <f>BD135*VLOOKUP('Données projet'!$B$11,Paramètres!$A$1:$I$89,3,0)*VLOOKUP('Données projet'!$B$11,Paramètres!$A$1:$I$89,5,0)</f>
        <v>-2.7193891583010558E-13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216.94426559495264</v>
      </c>
      <c r="BJ135" s="62">
        <f t="shared" si="146"/>
        <v>225.33715877618704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0.75975900237627625</v>
      </c>
      <c r="BR135" s="23">
        <f>EXP(-LN(2)/2)*BR134+(1-EXP(-LN(2)/2))/(LN(2)/2)*BL135*BO135*VLOOKUP('Données projet'!$B$11,Paramètres!$A$1:$I$89,3,0)*0.475*44/12</f>
        <v>1.0537952676612049E-14</v>
      </c>
      <c r="BS135" s="24">
        <f t="shared" si="117"/>
        <v>0.7597590023762868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-1.0286385077051818E-13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237.22177246688199</v>
      </c>
      <c r="T136" s="62">
        <f t="shared" si="142"/>
        <v>149.27472147904302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0.17862787187060078</v>
      </c>
      <c r="AB136" s="23">
        <f>EXP(-LN(2)/2)*AB135+(1-EXP(-LN(2)/2))/(LN(2)/2)*V136*Y136*VLOOKUP('Données projet'!$B$9,Paramètres!$A$1:$I$89,3,0)*0.475*44/12</f>
        <v>1.9435696780817354E-15</v>
      </c>
      <c r="AC136" s="24">
        <f t="shared" si="111"/>
        <v>0.17862787187060272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-2.8421709430404007E-14</v>
      </c>
      <c r="AJ136" s="14">
        <f>AI136*VLOOKUP('Données projet'!$B$10,Paramètres!$A$1:$I$89,3,0)*VLOOKUP('Données projet'!$B$10,Paramètres!$A$1:$I$89,5,0)</f>
        <v>-2.4829205358400945E-14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223.81948236065614</v>
      </c>
      <c r="AO136" s="62">
        <f t="shared" si="144"/>
        <v>320.1204011431372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0.39964247334245512</v>
      </c>
      <c r="AV136" s="23">
        <f>EXP(-LN(2)/25)*AV135+(1-EXP(-LN(2)/25))/(LN(2)/25)*Calculateur!AQ136*Calculateur!AS136*VLOOKUP('Données projet'!$B$10,Paramètres!$A$1:$I$89,3,0)*0.475*44/12</f>
        <v>1.0175207707169185</v>
      </c>
      <c r="AW136" s="23">
        <f>EXP(-LN(2)/2)*AW135+(1-EXP(-LN(2)/2))/(LN(2)/2)*AQ136*AT136*VLOOKUP('Données projet'!$B$10,Paramètres!$A$1:$I$89,3,0)*0.475*44/12</f>
        <v>8.7202956537333206E-15</v>
      </c>
      <c r="AX136" s="23">
        <f t="shared" si="114"/>
        <v>1.4171632440593822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-4.5474735088646412E-13</v>
      </c>
      <c r="BE136" s="14">
        <f>BD136*VLOOKUP('Données projet'!$B$11,Paramètres!$A$1:$I$89,3,0)*VLOOKUP('Données projet'!$B$11,Paramètres!$A$1:$I$89,5,0)</f>
        <v>-2.7193891583010558E-13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216.94426559495264</v>
      </c>
      <c r="BJ136" s="62">
        <f t="shared" si="146"/>
        <v>225.33715877618704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0.73898335250230751</v>
      </c>
      <c r="BR136" s="23">
        <f>EXP(-LN(2)/2)*BR135+(1-EXP(-LN(2)/2))/(LN(2)/2)*BL136*BO136*VLOOKUP('Données projet'!$B$11,Paramètres!$A$1:$I$89,3,0)*0.475*44/12</f>
        <v>7.4514577974553085E-15</v>
      </c>
      <c r="BS136" s="24">
        <f t="shared" si="117"/>
        <v>0.73898335250231495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-1.0286385077051818E-13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237.22177246688199</v>
      </c>
      <c r="T137" s="62">
        <f t="shared" si="142"/>
        <v>149.27472147904302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0.17374328332066769</v>
      </c>
      <c r="AB137" s="23">
        <f>EXP(-LN(2)/2)*AB136+(1-EXP(-LN(2)/2))/(LN(2)/2)*V137*Y137*VLOOKUP('Données projet'!$B$9,Paramètres!$A$1:$I$89,3,0)*0.475*44/12</f>
        <v>1.3743112990801503E-15</v>
      </c>
      <c r="AC137" s="24">
        <f t="shared" si="111"/>
        <v>0.17374328332066907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-2.8421709430404007E-14</v>
      </c>
      <c r="AJ137" s="14">
        <f>AI137*VLOOKUP('Données projet'!$B$10,Paramètres!$A$1:$I$89,3,0)*VLOOKUP('Données projet'!$B$10,Paramètres!$A$1:$I$89,5,0)</f>
        <v>-2.4829205358400945E-14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223.81948236065614</v>
      </c>
      <c r="AO137" s="62">
        <f t="shared" si="144"/>
        <v>320.1204011431372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0.39180572819804921</v>
      </c>
      <c r="AV137" s="23">
        <f>EXP(-LN(2)/25)*AV136+(1-EXP(-LN(2)/25))/(LN(2)/25)*Calculateur!AQ137*Calculateur!AS137*VLOOKUP('Données projet'!$B$10,Paramètres!$A$1:$I$89,3,0)*0.475*44/12</f>
        <v>0.98969661173257262</v>
      </c>
      <c r="AW137" s="23">
        <f>EXP(-LN(2)/2)*AW136+(1-EXP(-LN(2)/2))/(LN(2)/2)*AQ137*AT137*VLOOKUP('Données projet'!$B$10,Paramètres!$A$1:$I$89,3,0)*0.475*44/12</f>
        <v>6.1661801907064087E-15</v>
      </c>
      <c r="AX137" s="23">
        <f t="shared" si="114"/>
        <v>1.3815023399306281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-4.5474735088646412E-13</v>
      </c>
      <c r="BE137" s="14">
        <f>BD137*VLOOKUP('Données projet'!$B$11,Paramètres!$A$1:$I$89,3,0)*VLOOKUP('Données projet'!$B$11,Paramètres!$A$1:$I$89,5,0)</f>
        <v>-2.7193891583010558E-13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216.94426559495264</v>
      </c>
      <c r="BJ137" s="62">
        <f t="shared" si="146"/>
        <v>225.33715877618704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0.71877581386668632</v>
      </c>
      <c r="BR137" s="23">
        <f>EXP(-LN(2)/2)*BR136+(1-EXP(-LN(2)/2))/(LN(2)/2)*BL137*BO137*VLOOKUP('Données projet'!$B$11,Paramètres!$A$1:$I$89,3,0)*0.475*44/12</f>
        <v>5.2689763383060243E-15</v>
      </c>
      <c r="BS137" s="24">
        <f t="shared" si="117"/>
        <v>0.71877581386669154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-1.0286385077051818E-13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237.22177246688199</v>
      </c>
      <c r="T138" s="62">
        <f t="shared" si="142"/>
        <v>149.27472147904302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0.16899226410150187</v>
      </c>
      <c r="AB138" s="23">
        <f>EXP(-LN(2)/2)*AB137+(1-EXP(-LN(2)/2))/(LN(2)/2)*V138*Y138*VLOOKUP('Données projet'!$B$9,Paramètres!$A$1:$I$89,3,0)*0.475*44/12</f>
        <v>9.7178483904086771E-16</v>
      </c>
      <c r="AC138" s="24">
        <f t="shared" si="111"/>
        <v>0.16899226410150284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-2.8421709430404007E-14</v>
      </c>
      <c r="AJ138" s="14">
        <f>AI138*VLOOKUP('Données projet'!$B$10,Paramètres!$A$1:$I$89,3,0)*VLOOKUP('Données projet'!$B$10,Paramètres!$A$1:$I$89,5,0)</f>
        <v>-2.4829205358400945E-14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223.81948236065614</v>
      </c>
      <c r="AO138" s="62">
        <f t="shared" si="144"/>
        <v>320.1204011431372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0.38412265684598257</v>
      </c>
      <c r="AV138" s="23">
        <f>EXP(-LN(2)/25)*AV137+(1-EXP(-LN(2)/25))/(LN(2)/25)*Calculateur!AQ138*Calculateur!AS138*VLOOKUP('Données projet'!$B$10,Paramètres!$A$1:$I$89,3,0)*0.475*44/12</f>
        <v>0.96263330583886264</v>
      </c>
      <c r="AW138" s="23">
        <f>EXP(-LN(2)/2)*AW137+(1-EXP(-LN(2)/2))/(LN(2)/2)*AQ138*AT138*VLOOKUP('Données projet'!$B$10,Paramètres!$A$1:$I$89,3,0)*0.475*44/12</f>
        <v>4.3601478268666603E-15</v>
      </c>
      <c r="AX138" s="23">
        <f t="shared" si="114"/>
        <v>1.3467559626848495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-4.5474735088646412E-13</v>
      </c>
      <c r="BE138" s="14">
        <f>BD138*VLOOKUP('Données projet'!$B$11,Paramètres!$A$1:$I$89,3,0)*VLOOKUP('Données projet'!$B$11,Paramètres!$A$1:$I$89,5,0)</f>
        <v>-2.7193891583010558E-13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216.94426559495264</v>
      </c>
      <c r="BJ138" s="62">
        <f t="shared" si="146"/>
        <v>225.33715877618704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0.69912085143772451</v>
      </c>
      <c r="BR138" s="23">
        <f>EXP(-LN(2)/2)*BR137+(1-EXP(-LN(2)/2))/(LN(2)/2)*BL138*BO138*VLOOKUP('Données projet'!$B$11,Paramètres!$A$1:$I$89,3,0)*0.475*44/12</f>
        <v>3.7257288987276542E-15</v>
      </c>
      <c r="BS138" s="24">
        <f t="shared" si="117"/>
        <v>0.69912085143772829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-1.0286385077051818E-13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237.22177246688199</v>
      </c>
      <c r="T139" s="62">
        <f t="shared" si="142"/>
        <v>149.27472147904302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0.16437116175272937</v>
      </c>
      <c r="AB139" s="23">
        <f>EXP(-LN(2)/2)*AB138+(1-EXP(-LN(2)/2))/(LN(2)/2)*V139*Y139*VLOOKUP('Données projet'!$B$9,Paramètres!$A$1:$I$89,3,0)*0.475*44/12</f>
        <v>6.8715564954007516E-16</v>
      </c>
      <c r="AC139" s="24">
        <f t="shared" si="111"/>
        <v>0.16437116175273006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-2.8421709430404007E-14</v>
      </c>
      <c r="AJ139" s="14">
        <f>AI139*VLOOKUP('Données projet'!$B$10,Paramètres!$A$1:$I$89,3,0)*VLOOKUP('Données projet'!$B$10,Paramètres!$A$1:$I$89,5,0)</f>
        <v>-2.4829205358400945E-14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223.81948236065614</v>
      </c>
      <c r="AO139" s="62">
        <f t="shared" si="144"/>
        <v>320.1204011431372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0.37659024583691914</v>
      </c>
      <c r="AV139" s="23">
        <f>EXP(-LN(2)/25)*AV138+(1-EXP(-LN(2)/25))/(LN(2)/25)*Calculateur!AQ139*Calculateur!AS139*VLOOKUP('Données projet'!$B$10,Paramètres!$A$1:$I$89,3,0)*0.475*44/12</f>
        <v>0.9363100474680135</v>
      </c>
      <c r="AW139" s="23">
        <f>EXP(-LN(2)/2)*AW138+(1-EXP(-LN(2)/2))/(LN(2)/2)*AQ139*AT139*VLOOKUP('Données projet'!$B$10,Paramètres!$A$1:$I$89,3,0)*0.475*44/12</f>
        <v>3.0830900953532043E-15</v>
      </c>
      <c r="AX139" s="23">
        <f t="shared" si="114"/>
        <v>1.3129002933049359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-4.5474735088646412E-13</v>
      </c>
      <c r="BE139" s="14">
        <f>BD139*VLOOKUP('Données projet'!$B$11,Paramètres!$A$1:$I$89,3,0)*VLOOKUP('Données projet'!$B$11,Paramètres!$A$1:$I$89,5,0)</f>
        <v>-2.7193891583010558E-13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216.94426559495264</v>
      </c>
      <c r="BJ139" s="62">
        <f t="shared" si="146"/>
        <v>225.33715877618704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0.6800033549899922</v>
      </c>
      <c r="BR139" s="23">
        <f>EXP(-LN(2)/2)*BR138+(1-EXP(-LN(2)/2))/(LN(2)/2)*BL139*BO139*VLOOKUP('Données projet'!$B$11,Paramètres!$A$1:$I$89,3,0)*0.475*44/12</f>
        <v>2.6344881691530121E-15</v>
      </c>
      <c r="BS139" s="24">
        <f t="shared" si="117"/>
        <v>0.68000335498999487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-1.0286385077051818E-13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237.22177246688199</v>
      </c>
      <c r="T140" s="62">
        <f t="shared" si="142"/>
        <v>149.27472147904302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0.15987642369069727</v>
      </c>
      <c r="AB140" s="23">
        <f>EXP(-LN(2)/2)*AB139+(1-EXP(-LN(2)/2))/(LN(2)/2)*V140*Y140*VLOOKUP('Données projet'!$B$9,Paramètres!$A$1:$I$89,3,0)*0.475*44/12</f>
        <v>4.8589241952043386E-16</v>
      </c>
      <c r="AC140" s="24">
        <f t="shared" si="111"/>
        <v>0.15987642369069777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-2.8421709430404007E-14</v>
      </c>
      <c r="AJ140" s="14">
        <f>AI140*VLOOKUP('Données projet'!$B$10,Paramètres!$A$1:$I$89,3,0)*VLOOKUP('Données projet'!$B$10,Paramètres!$A$1:$I$89,5,0)</f>
        <v>-2.4829205358400945E-14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223.81948236065614</v>
      </c>
      <c r="AO140" s="62">
        <f t="shared" si="144"/>
        <v>320.1204011431372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0.36920554081342638</v>
      </c>
      <c r="AV140" s="23">
        <f>EXP(-LN(2)/25)*AV139+(1-EXP(-LN(2)/25))/(LN(2)/25)*Calculateur!AQ140*Calculateur!AS140*VLOOKUP('Données projet'!$B$10,Paramètres!$A$1:$I$89,3,0)*0.475*44/12</f>
        <v>0.9107065999815952</v>
      </c>
      <c r="AW140" s="23">
        <f>EXP(-LN(2)/2)*AW139+(1-EXP(-LN(2)/2))/(LN(2)/2)*AQ140*AT140*VLOOKUP('Données projet'!$B$10,Paramètres!$A$1:$I$89,3,0)*0.475*44/12</f>
        <v>2.1800739134333302E-15</v>
      </c>
      <c r="AX140" s="23">
        <f t="shared" si="114"/>
        <v>1.2799121407950238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-4.5474735088646412E-13</v>
      </c>
      <c r="BE140" s="14">
        <f>BD140*VLOOKUP('Données projet'!$B$11,Paramètres!$A$1:$I$89,3,0)*VLOOKUP('Données projet'!$B$11,Paramètres!$A$1:$I$89,5,0)</f>
        <v>-2.7193891583010558E-13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216.94426559495264</v>
      </c>
      <c r="BJ140" s="62">
        <f t="shared" si="146"/>
        <v>225.33715877618704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0.66140862748796858</v>
      </c>
      <c r="BR140" s="23">
        <f>EXP(-LN(2)/2)*BR139+(1-EXP(-LN(2)/2))/(LN(2)/2)*BL140*BO140*VLOOKUP('Données projet'!$B$11,Paramètres!$A$1:$I$89,3,0)*0.475*44/12</f>
        <v>1.8628644493638271E-15</v>
      </c>
      <c r="BS140" s="24">
        <f t="shared" si="117"/>
        <v>0.66140862748797047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-1.0286385077051818E-13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237.22177246688199</v>
      </c>
      <c r="T141" s="62">
        <f t="shared" si="142"/>
        <v>149.27472147904302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0.15550459447733944</v>
      </c>
      <c r="AB141" s="23">
        <f>EXP(-LN(2)/2)*AB140+(1-EXP(-LN(2)/2))/(LN(2)/2)*V141*Y141*VLOOKUP('Données projet'!$B$9,Paramètres!$A$1:$I$89,3,0)*0.475*44/12</f>
        <v>3.4357782477003758E-16</v>
      </c>
      <c r="AC141" s="24">
        <f t="shared" si="111"/>
        <v>0.15550459447733977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-2.8421709430404007E-14</v>
      </c>
      <c r="AJ141" s="14">
        <f>AI141*VLOOKUP('Données projet'!$B$10,Paramètres!$A$1:$I$89,3,0)*VLOOKUP('Données projet'!$B$10,Paramètres!$A$1:$I$89,5,0)</f>
        <v>-2.4829205358400945E-14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223.81948236065614</v>
      </c>
      <c r="AO141" s="62">
        <f t="shared" si="144"/>
        <v>320.1204011431372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0.361965645351219</v>
      </c>
      <c r="AV141" s="23">
        <f>EXP(-LN(2)/25)*AV140+(1-EXP(-LN(2)/25))/(LN(2)/25)*Calculateur!AQ141*Calculateur!AS141*VLOOKUP('Données projet'!$B$10,Paramètres!$A$1:$I$89,3,0)*0.475*44/12</f>
        <v>0.88580328011311982</v>
      </c>
      <c r="AW141" s="23">
        <f>EXP(-LN(2)/2)*AW140+(1-EXP(-LN(2)/2))/(LN(2)/2)*AQ141*AT141*VLOOKUP('Données projet'!$B$10,Paramètres!$A$1:$I$89,3,0)*0.475*44/12</f>
        <v>1.5415450476766022E-15</v>
      </c>
      <c r="AX141" s="23">
        <f t="shared" si="114"/>
        <v>1.2477689254643403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-4.5474735088646412E-13</v>
      </c>
      <c r="BE141" s="14">
        <f>BD141*VLOOKUP('Données projet'!$B$11,Paramètres!$A$1:$I$89,3,0)*VLOOKUP('Données projet'!$B$11,Paramètres!$A$1:$I$89,5,0)</f>
        <v>-2.7193891583010558E-13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216.94426559495264</v>
      </c>
      <c r="BJ141" s="62">
        <f t="shared" si="146"/>
        <v>225.33715877618704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0.64332237378734203</v>
      </c>
      <c r="BR141" s="23">
        <f>EXP(-LN(2)/2)*BR140+(1-EXP(-LN(2)/2))/(LN(2)/2)*BL141*BO141*VLOOKUP('Données projet'!$B$11,Paramètres!$A$1:$I$89,3,0)*0.475*44/12</f>
        <v>1.3172440845765061E-15</v>
      </c>
      <c r="BS141" s="24">
        <f t="shared" si="117"/>
        <v>0.64332237378734336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-1.0286385077051818E-13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237.22177246688199</v>
      </c>
      <c r="T142" s="62">
        <f t="shared" si="142"/>
        <v>149.27472147904302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0.15125231316372539</v>
      </c>
      <c r="AB142" s="23">
        <f>EXP(-LN(2)/2)*AB141+(1-EXP(-LN(2)/2))/(LN(2)/2)*V142*Y142*VLOOKUP('Données projet'!$B$9,Paramètres!$A$1:$I$89,3,0)*0.475*44/12</f>
        <v>2.4294620976021693E-16</v>
      </c>
      <c r="AC142" s="24">
        <f t="shared" si="111"/>
        <v>0.15125231316372564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-2.8421709430404007E-14</v>
      </c>
      <c r="AJ142" s="14">
        <f>AI142*VLOOKUP('Données projet'!$B$10,Paramètres!$A$1:$I$89,3,0)*VLOOKUP('Données projet'!$B$10,Paramètres!$A$1:$I$89,5,0)</f>
        <v>-2.4829205358400945E-14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223.81948236065614</v>
      </c>
      <c r="AO142" s="62">
        <f t="shared" si="144"/>
        <v>320.1204011431372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0.35486771982312532</v>
      </c>
      <c r="AV142" s="23">
        <f>EXP(-LN(2)/25)*AV141+(1-EXP(-LN(2)/25))/(LN(2)/25)*Calculateur!AQ142*Calculateur!AS142*VLOOKUP('Données projet'!$B$10,Paramètres!$A$1:$I$89,3,0)*0.475*44/12</f>
        <v>0.86158094283605657</v>
      </c>
      <c r="AW142" s="23">
        <f>EXP(-LN(2)/2)*AW141+(1-EXP(-LN(2)/2))/(LN(2)/2)*AQ142*AT142*VLOOKUP('Données projet'!$B$10,Paramètres!$A$1:$I$89,3,0)*0.475*44/12</f>
        <v>1.0900369567166651E-15</v>
      </c>
      <c r="AX142" s="23">
        <f t="shared" si="114"/>
        <v>1.2164486626591831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-4.5474735088646412E-13</v>
      </c>
      <c r="BE142" s="14">
        <f>BD142*VLOOKUP('Données projet'!$B$11,Paramètres!$A$1:$I$89,3,0)*VLOOKUP('Données projet'!$B$11,Paramètres!$A$1:$I$89,5,0)</f>
        <v>-2.7193891583010558E-13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216.94426559495264</v>
      </c>
      <c r="BJ142" s="62">
        <f t="shared" si="146"/>
        <v>225.33715877618704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0.6257306896452739</v>
      </c>
      <c r="BR142" s="23">
        <f>EXP(-LN(2)/2)*BR141+(1-EXP(-LN(2)/2))/(LN(2)/2)*BL142*BO142*VLOOKUP('Données projet'!$B$11,Paramètres!$A$1:$I$89,3,0)*0.475*44/12</f>
        <v>9.3143222468191356E-16</v>
      </c>
      <c r="BS142" s="24">
        <f t="shared" si="117"/>
        <v>0.62573068964527478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-1.0286385077051818E-13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237.22177246688199</v>
      </c>
      <c r="T143" s="62">
        <f t="shared" si="142"/>
        <v>149.27472147904302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0.14711631070624986</v>
      </c>
      <c r="AB143" s="23">
        <f>EXP(-LN(2)/2)*AB142+(1-EXP(-LN(2)/2))/(LN(2)/2)*V143*Y143*VLOOKUP('Données projet'!$B$9,Paramètres!$A$1:$I$89,3,0)*0.475*44/12</f>
        <v>1.7178891238501879E-16</v>
      </c>
      <c r="AC143" s="24">
        <f t="shared" si="111"/>
        <v>0.14711631070625003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-2.8421709430404007E-14</v>
      </c>
      <c r="AJ143" s="14">
        <f>AI143*VLOOKUP('Données projet'!$B$10,Paramètres!$A$1:$I$89,3,0)*VLOOKUP('Données projet'!$B$10,Paramètres!$A$1:$I$89,5,0)</f>
        <v>-2.4829205358400945E-14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223.81948236065614</v>
      </c>
      <c r="AO143" s="62">
        <f t="shared" si="144"/>
        <v>320.1204011431372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0.34790898028533046</v>
      </c>
      <c r="AV143" s="23">
        <f>EXP(-LN(2)/25)*AV142+(1-EXP(-LN(2)/25))/(LN(2)/25)*Calculateur!AQ143*Calculateur!AS143*VLOOKUP('Données projet'!$B$10,Paramètres!$A$1:$I$89,3,0)*0.475*44/12</f>
        <v>0.83802096664563197</v>
      </c>
      <c r="AW143" s="23">
        <f>EXP(-LN(2)/2)*AW142+(1-EXP(-LN(2)/2))/(LN(2)/2)*AQ143*AT143*VLOOKUP('Données projet'!$B$10,Paramètres!$A$1:$I$89,3,0)*0.475*44/12</f>
        <v>7.7077252383830108E-16</v>
      </c>
      <c r="AX143" s="23">
        <f t="shared" si="114"/>
        <v>1.185929946930963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-4.5474735088646412E-13</v>
      </c>
      <c r="BE143" s="14">
        <f>BD143*VLOOKUP('Données projet'!$B$11,Paramètres!$A$1:$I$89,3,0)*VLOOKUP('Données projet'!$B$11,Paramètres!$A$1:$I$89,5,0)</f>
        <v>-2.7193891583010558E-13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216.94426559495264</v>
      </c>
      <c r="BJ143" s="62">
        <f t="shared" si="146"/>
        <v>225.33715877618704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0.608620051031177</v>
      </c>
      <c r="BR143" s="23">
        <f>EXP(-LN(2)/2)*BR142+(1-EXP(-LN(2)/2))/(LN(2)/2)*BL143*BO143*VLOOKUP('Données projet'!$B$11,Paramètres!$A$1:$I$89,3,0)*0.475*44/12</f>
        <v>6.5862204228825304E-16</v>
      </c>
      <c r="BS143" s="24">
        <f t="shared" si="117"/>
        <v>0.60862005103117767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-1.0286385077051818E-13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237.22177246688199</v>
      </c>
      <c r="T144" s="62">
        <f t="shared" si="142"/>
        <v>149.27472147904302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0.14309340745347693</v>
      </c>
      <c r="AB144" s="23">
        <f>EXP(-LN(2)/2)*AB143+(1-EXP(-LN(2)/2))/(LN(2)/2)*V144*Y144*VLOOKUP('Données projet'!$B$9,Paramètres!$A$1:$I$89,3,0)*0.475*44/12</f>
        <v>1.2147310488010846E-16</v>
      </c>
      <c r="AC144" s="24">
        <f t="shared" si="111"/>
        <v>0.14309340745347704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-2.8421709430404007E-14</v>
      </c>
      <c r="AJ144" s="14">
        <f>AI144*VLOOKUP('Données projet'!$B$10,Paramètres!$A$1:$I$89,3,0)*VLOOKUP('Données projet'!$B$10,Paramètres!$A$1:$I$89,5,0)</f>
        <v>-2.4829205358400945E-14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223.81948236065614</v>
      </c>
      <c r="AO144" s="62">
        <f t="shared" si="144"/>
        <v>320.1204011431372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0.34108669738545977</v>
      </c>
      <c r="AV144" s="23">
        <f>EXP(-LN(2)/25)*AV143+(1-EXP(-LN(2)/25))/(LN(2)/25)*Calculateur!AQ144*Calculateur!AS144*VLOOKUP('Données projet'!$B$10,Paramètres!$A$1:$I$89,3,0)*0.475*44/12</f>
        <v>0.81510523924309985</v>
      </c>
      <c r="AW144" s="23">
        <f>EXP(-LN(2)/2)*AW143+(1-EXP(-LN(2)/2))/(LN(2)/2)*AQ144*AT144*VLOOKUP('Données projet'!$B$10,Paramètres!$A$1:$I$89,3,0)*0.475*44/12</f>
        <v>5.4501847835833254E-16</v>
      </c>
      <c r="AX144" s="23">
        <f t="shared" si="114"/>
        <v>1.15619193662856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-4.5474735088646412E-13</v>
      </c>
      <c r="BE144" s="14">
        <f>BD144*VLOOKUP('Données projet'!$B$11,Paramètres!$A$1:$I$89,3,0)*VLOOKUP('Données projet'!$B$11,Paramètres!$A$1:$I$89,5,0)</f>
        <v>-2.7193891583010558E-13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216.94426559495264</v>
      </c>
      <c r="BJ144" s="62">
        <f t="shared" si="146"/>
        <v>225.33715877618704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0.59197730372979196</v>
      </c>
      <c r="BR144" s="23">
        <f>EXP(-LN(2)/2)*BR143+(1-EXP(-LN(2)/2))/(LN(2)/2)*BL144*BO144*VLOOKUP('Données projet'!$B$11,Paramètres!$A$1:$I$89,3,0)*0.475*44/12</f>
        <v>4.6571611234095678E-16</v>
      </c>
      <c r="BS144" s="24">
        <f t="shared" si="117"/>
        <v>0.5919773037297924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-1.0286385077051818E-13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237.22177246688199</v>
      </c>
      <c r="T145" s="62">
        <f t="shared" si="142"/>
        <v>149.27472147904302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0.13918051070170634</v>
      </c>
      <c r="AB145" s="23">
        <f>EXP(-LN(2)/2)*AB144+(1-EXP(-LN(2)/2))/(LN(2)/2)*V145*Y145*VLOOKUP('Données projet'!$B$9,Paramètres!$A$1:$I$89,3,0)*0.475*44/12</f>
        <v>8.5894456192509395E-17</v>
      </c>
      <c r="AC145" s="24">
        <f t="shared" si="111"/>
        <v>0.13918051070170642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-2.8421709430404007E-14</v>
      </c>
      <c r="AJ145" s="14">
        <f>AI145*VLOOKUP('Données projet'!$B$10,Paramètres!$A$1:$I$89,3,0)*VLOOKUP('Données projet'!$B$10,Paramètres!$A$1:$I$89,5,0)</f>
        <v>-2.4829205358400945E-14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223.81948236065614</v>
      </c>
      <c r="AO145" s="62">
        <f t="shared" si="144"/>
        <v>320.1204011431372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0.33439819529207382</v>
      </c>
      <c r="AV145" s="23">
        <f>EXP(-LN(2)/25)*AV144+(1-EXP(-LN(2)/25))/(LN(2)/25)*Calculateur!AQ145*Calculateur!AS145*VLOOKUP('Données projet'!$B$10,Paramètres!$A$1:$I$89,3,0)*0.475*44/12</f>
        <v>0.79281614361147568</v>
      </c>
      <c r="AW145" s="23">
        <f>EXP(-LN(2)/2)*AW144+(1-EXP(-LN(2)/2))/(LN(2)/2)*AQ145*AT145*VLOOKUP('Données projet'!$B$10,Paramètres!$A$1:$I$89,3,0)*0.475*44/12</f>
        <v>3.8538626191915054E-16</v>
      </c>
      <c r="AX145" s="23">
        <f t="shared" si="114"/>
        <v>1.1272143389035501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-4.5474735088646412E-13</v>
      </c>
      <c r="BE145" s="14">
        <f>BD145*VLOOKUP('Données projet'!$B$11,Paramètres!$A$1:$I$89,3,0)*VLOOKUP('Données projet'!$B$11,Paramètres!$A$1:$I$89,5,0)</f>
        <v>-2.7193891583010558E-13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216.94426559495264</v>
      </c>
      <c r="BJ145" s="62">
        <f t="shared" si="146"/>
        <v>225.33715877618704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0.57578965322856734</v>
      </c>
      <c r="BR145" s="23">
        <f>EXP(-LN(2)/2)*BR144+(1-EXP(-LN(2)/2))/(LN(2)/2)*BL145*BO145*VLOOKUP('Données projet'!$B$11,Paramètres!$A$1:$I$89,3,0)*0.475*44/12</f>
        <v>3.2931102114412652E-16</v>
      </c>
      <c r="BS145" s="24">
        <f t="shared" si="117"/>
        <v>0.57578965322856768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-1.0286385077051818E-13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237.22177246688199</v>
      </c>
      <c r="T146" s="62">
        <f t="shared" si="142"/>
        <v>149.27472147904302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0.13537461231738324</v>
      </c>
      <c r="AB146" s="23">
        <f>EXP(-LN(2)/2)*AB145+(1-EXP(-LN(2)/2))/(LN(2)/2)*V146*Y146*VLOOKUP('Données projet'!$B$9,Paramètres!$A$1:$I$89,3,0)*0.475*44/12</f>
        <v>6.0736552440054232E-17</v>
      </c>
      <c r="AC146" s="24">
        <f t="shared" si="111"/>
        <v>0.13537461231738329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-2.8421709430404007E-14</v>
      </c>
      <c r="AJ146" s="14">
        <f>AI146*VLOOKUP('Données projet'!$B$10,Paramètres!$A$1:$I$89,3,0)*VLOOKUP('Données projet'!$B$10,Paramètres!$A$1:$I$89,5,0)</f>
        <v>-2.4829205358400945E-14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223.81948236065614</v>
      </c>
      <c r="AO146" s="62">
        <f t="shared" si="144"/>
        <v>320.1204011431372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0.32784085064515572</v>
      </c>
      <c r="AV146" s="23">
        <f>EXP(-LN(2)/25)*AV145+(1-EXP(-LN(2)/25))/(LN(2)/25)*Calculateur!AQ146*Calculateur!AS146*VLOOKUP('Données projet'!$B$10,Paramètres!$A$1:$I$89,3,0)*0.475*44/12</f>
        <v>0.77113654447203084</v>
      </c>
      <c r="AW146" s="23">
        <f>EXP(-LN(2)/2)*AW145+(1-EXP(-LN(2)/2))/(LN(2)/2)*AQ146*AT146*VLOOKUP('Données projet'!$B$10,Paramètres!$A$1:$I$89,3,0)*0.475*44/12</f>
        <v>2.7250923917916627E-16</v>
      </c>
      <c r="AX146" s="23">
        <f t="shared" si="114"/>
        <v>1.0989773951171868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-4.5474735088646412E-13</v>
      </c>
      <c r="BE146" s="14">
        <f>BD146*VLOOKUP('Données projet'!$B$11,Paramètres!$A$1:$I$89,3,0)*VLOOKUP('Données projet'!$B$11,Paramètres!$A$1:$I$89,5,0)</f>
        <v>-2.7193891583010558E-13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216.94426559495264</v>
      </c>
      <c r="BJ146" s="62">
        <f t="shared" si="146"/>
        <v>225.33715877618704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0.56004465488157029</v>
      </c>
      <c r="BR146" s="23">
        <f>EXP(-LN(2)/2)*BR145+(1-EXP(-LN(2)/2))/(LN(2)/2)*BL146*BO146*VLOOKUP('Données projet'!$B$11,Paramètres!$A$1:$I$89,3,0)*0.475*44/12</f>
        <v>2.3285805617047839E-16</v>
      </c>
      <c r="BS146" s="24">
        <f t="shared" si="117"/>
        <v>0.56004465488157051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-1.0286385077051818E-13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237.22177246688199</v>
      </c>
      <c r="T147" s="62">
        <f t="shared" si="142"/>
        <v>149.27472147904302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0.13167278642452293</v>
      </c>
      <c r="AB147" s="23">
        <f>EXP(-LN(2)/2)*AB146+(1-EXP(-LN(2)/2))/(LN(2)/2)*V147*Y147*VLOOKUP('Données projet'!$B$9,Paramètres!$A$1:$I$89,3,0)*0.475*44/12</f>
        <v>4.2947228096254698E-17</v>
      </c>
      <c r="AC147" s="24">
        <f t="shared" si="111"/>
        <v>0.13167278642452299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-2.8421709430404007E-14</v>
      </c>
      <c r="AJ147" s="14">
        <f>AI147*VLOOKUP('Données projet'!$B$10,Paramètres!$A$1:$I$89,3,0)*VLOOKUP('Données projet'!$B$10,Paramètres!$A$1:$I$89,5,0)</f>
        <v>-2.4829205358400945E-14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223.81948236065614</v>
      </c>
      <c r="AO147" s="62">
        <f t="shared" si="144"/>
        <v>320.1204011431372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0.32141209152717837</v>
      </c>
      <c r="AV147" s="23">
        <f>EXP(-LN(2)/25)*AV146+(1-EXP(-LN(2)/25))/(LN(2)/25)*Calculateur!AQ147*Calculateur!AS147*VLOOKUP('Données projet'!$B$10,Paramètres!$A$1:$I$89,3,0)*0.475*44/12</f>
        <v>0.75004977511113469</v>
      </c>
      <c r="AW147" s="23">
        <f>EXP(-LN(2)/2)*AW146+(1-EXP(-LN(2)/2))/(LN(2)/2)*AQ147*AT147*VLOOKUP('Données projet'!$B$10,Paramètres!$A$1:$I$89,3,0)*0.475*44/12</f>
        <v>1.9269313095957527E-16</v>
      </c>
      <c r="AX147" s="23">
        <f t="shared" si="114"/>
        <v>1.0714618666383133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-4.5474735088646412E-13</v>
      </c>
      <c r="BE147" s="14">
        <f>BD147*VLOOKUP('Données projet'!$B$11,Paramètres!$A$1:$I$89,3,0)*VLOOKUP('Données projet'!$B$11,Paramètres!$A$1:$I$89,5,0)</f>
        <v>-2.7193891583010558E-13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216.94426559495264</v>
      </c>
      <c r="BJ147" s="62">
        <f t="shared" si="146"/>
        <v>225.33715877618704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0.5447302043423653</v>
      </c>
      <c r="BR147" s="23">
        <f>EXP(-LN(2)/2)*BR146+(1-EXP(-LN(2)/2))/(LN(2)/2)*BL147*BO147*VLOOKUP('Données projet'!$B$11,Paramètres!$A$1:$I$89,3,0)*0.475*44/12</f>
        <v>1.6465551057206326E-16</v>
      </c>
      <c r="BS147" s="24">
        <f t="shared" si="117"/>
        <v>0.54473020434236541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-1.0286385077051818E-13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237.22177246688199</v>
      </c>
      <c r="T148" s="62">
        <f t="shared" si="142"/>
        <v>149.27472147904302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0.12807218715537347</v>
      </c>
      <c r="AB148" s="23">
        <f>EXP(-LN(2)/2)*AB147+(1-EXP(-LN(2)/2))/(LN(2)/2)*V148*Y148*VLOOKUP('Données projet'!$B$9,Paramètres!$A$1:$I$89,3,0)*0.475*44/12</f>
        <v>3.0368276220027116E-17</v>
      </c>
      <c r="AC148" s="24">
        <f t="shared" si="111"/>
        <v>0.1280721871553735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-2.8421709430404007E-14</v>
      </c>
      <c r="AJ148" s="14">
        <f>AI148*VLOOKUP('Données projet'!$B$10,Paramètres!$A$1:$I$89,3,0)*VLOOKUP('Données projet'!$B$10,Paramètres!$A$1:$I$89,5,0)</f>
        <v>-2.4829205358400945E-14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223.81948236065614</v>
      </c>
      <c r="AO148" s="62">
        <f t="shared" si="144"/>
        <v>320.1204011431372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0.31510939645434871</v>
      </c>
      <c r="AV148" s="23">
        <f>EXP(-LN(2)/25)*AV147+(1-EXP(-LN(2)/25))/(LN(2)/25)*Calculateur!AQ148*Calculateur!AS148*VLOOKUP('Données projet'!$B$10,Paramètres!$A$1:$I$89,3,0)*0.475*44/12</f>
        <v>0.72953962456731725</v>
      </c>
      <c r="AW148" s="23">
        <f>EXP(-LN(2)/2)*AW147+(1-EXP(-LN(2)/2))/(LN(2)/2)*AQ148*AT148*VLOOKUP('Données projet'!$B$10,Paramètres!$A$1:$I$89,3,0)*0.475*44/12</f>
        <v>1.3625461958958313E-16</v>
      </c>
      <c r="AX148" s="23">
        <f t="shared" si="114"/>
        <v>1.0446490210216661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-4.5474735088646412E-13</v>
      </c>
      <c r="BE148" s="14">
        <f>BD148*VLOOKUP('Données projet'!$B$11,Paramètres!$A$1:$I$89,3,0)*VLOOKUP('Données projet'!$B$11,Paramètres!$A$1:$I$89,5,0)</f>
        <v>-2.7193891583010558E-13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216.94426559495264</v>
      </c>
      <c r="BJ148" s="62">
        <f t="shared" si="146"/>
        <v>225.33715877618704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0.52983452825850685</v>
      </c>
      <c r="BR148" s="23">
        <f>EXP(-LN(2)/2)*BR147+(1-EXP(-LN(2)/2))/(LN(2)/2)*BL148*BO148*VLOOKUP('Données projet'!$B$11,Paramètres!$A$1:$I$89,3,0)*0.475*44/12</f>
        <v>1.1642902808523919E-16</v>
      </c>
      <c r="BS148" s="24">
        <f t="shared" si="117"/>
        <v>0.52983452825850696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-1.0286385077051818E-13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237.22177246688199</v>
      </c>
      <c r="T149" s="62">
        <f t="shared" si="142"/>
        <v>149.27472147904302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0.12457004646258617</v>
      </c>
      <c r="AB149" s="23">
        <f>EXP(-LN(2)/2)*AB148+(1-EXP(-LN(2)/2))/(LN(2)/2)*V149*Y149*VLOOKUP('Données projet'!$B$9,Paramètres!$A$1:$I$89,3,0)*0.475*44/12</f>
        <v>2.1473614048127349E-17</v>
      </c>
      <c r="AC149" s="24">
        <f t="shared" si="111"/>
        <v>0.1245700464625862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-2.8421709430404007E-14</v>
      </c>
      <c r="AJ149" s="14">
        <f>AI149*VLOOKUP('Données projet'!$B$10,Paramètres!$A$1:$I$89,3,0)*VLOOKUP('Données projet'!$B$10,Paramètres!$A$1:$I$89,5,0)</f>
        <v>-2.4829205358400945E-14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223.81948236065614</v>
      </c>
      <c r="AO149" s="62">
        <f t="shared" si="144"/>
        <v>320.1204011431372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0.30893029338763284</v>
      </c>
      <c r="AV149" s="23">
        <f>EXP(-LN(2)/25)*AV148+(1-EXP(-LN(2)/25))/(LN(2)/25)*Calculateur!AQ149*Calculateur!AS149*VLOOKUP('Données projet'!$B$10,Paramètres!$A$1:$I$89,3,0)*0.475*44/12</f>
        <v>0.70959032516870246</v>
      </c>
      <c r="AW149" s="23">
        <f>EXP(-LN(2)/2)*AW148+(1-EXP(-LN(2)/2))/(LN(2)/2)*AQ149*AT149*VLOOKUP('Données projet'!$B$10,Paramètres!$A$1:$I$89,3,0)*0.475*44/12</f>
        <v>9.6346565479787636E-17</v>
      </c>
      <c r="AX149" s="23">
        <f t="shared" si="114"/>
        <v>1.0185206185563354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-4.5474735088646412E-13</v>
      </c>
      <c r="BE149" s="14">
        <f>BD149*VLOOKUP('Données projet'!$B$11,Paramètres!$A$1:$I$89,3,0)*VLOOKUP('Données projet'!$B$11,Paramètres!$A$1:$I$89,5,0)</f>
        <v>-2.7193891583010558E-13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216.94426559495264</v>
      </c>
      <c r="BJ149" s="62">
        <f t="shared" si="146"/>
        <v>225.33715877618704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0.51534617522049109</v>
      </c>
      <c r="BR149" s="23">
        <f>EXP(-LN(2)/2)*BR148+(1-EXP(-LN(2)/2))/(LN(2)/2)*BL149*BO149*VLOOKUP('Données projet'!$B$11,Paramètres!$A$1:$I$89,3,0)*0.475*44/12</f>
        <v>8.232775528603163E-17</v>
      </c>
      <c r="BS149" s="24">
        <f t="shared" si="117"/>
        <v>0.5153461752204912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-1.0286385077051818E-13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237.22177246688199</v>
      </c>
      <c r="T150" s="62">
        <f t="shared" si="142"/>
        <v>149.27472147904302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0.12116367199121271</v>
      </c>
      <c r="AB150" s="23">
        <f>EXP(-LN(2)/2)*AB149+(1-EXP(-LN(2)/2))/(LN(2)/2)*V150*Y150*VLOOKUP('Données projet'!$B$9,Paramètres!$A$1:$I$89,3,0)*0.475*44/12</f>
        <v>1.5184138110013558E-17</v>
      </c>
      <c r="AC150" s="24">
        <f t="shared" si="111"/>
        <v>0.12116367199121272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-2.8421709430404007E-14</v>
      </c>
      <c r="AJ150" s="14">
        <f>AI150*VLOOKUP('Données projet'!$B$10,Paramètres!$A$1:$I$89,3,0)*VLOOKUP('Données projet'!$B$10,Paramètres!$A$1:$I$89,5,0)</f>
        <v>-2.4829205358400945E-14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223.81948236065614</v>
      </c>
      <c r="AO150" s="62">
        <f t="shared" si="144"/>
        <v>320.1204011431372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0.30287235876317453</v>
      </c>
      <c r="AV150" s="23">
        <f>EXP(-LN(2)/25)*AV149+(1-EXP(-LN(2)/25))/(LN(2)/25)*Calculateur!AQ150*Calculateur!AS150*VLOOKUP('Données projet'!$B$10,Paramètres!$A$1:$I$89,3,0)*0.475*44/12</f>
        <v>0.69018654041123084</v>
      </c>
      <c r="AW150" s="23">
        <f>EXP(-LN(2)/2)*AW149+(1-EXP(-LN(2)/2))/(LN(2)/2)*AQ150*AT150*VLOOKUP('Données projet'!$B$10,Paramètres!$A$1:$I$89,3,0)*0.475*44/12</f>
        <v>6.8127309794791567E-17</v>
      </c>
      <c r="AX150" s="23">
        <f t="shared" si="114"/>
        <v>0.99305889917440548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-4.5474735088646412E-13</v>
      </c>
      <c r="BE150" s="14">
        <f>BD150*VLOOKUP('Données projet'!$B$11,Paramètres!$A$1:$I$89,3,0)*VLOOKUP('Données projet'!$B$11,Paramètres!$A$1:$I$89,5,0)</f>
        <v>-2.7193891583010558E-13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216.94426559495264</v>
      </c>
      <c r="BJ150" s="62">
        <f t="shared" si="146"/>
        <v>225.33715877618704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0.50125400695820921</v>
      </c>
      <c r="BR150" s="23">
        <f>EXP(-LN(2)/2)*BR149+(1-EXP(-LN(2)/2))/(LN(2)/2)*BL150*BO150*VLOOKUP('Données projet'!$B$11,Paramètres!$A$1:$I$89,3,0)*0.475*44/12</f>
        <v>5.8214514042619597E-17</v>
      </c>
      <c r="BS150" s="24">
        <f t="shared" si="117"/>
        <v>0.50125400695820932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-1.0286385077051818E-13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237.22177246688199</v>
      </c>
      <c r="T151" s="62">
        <f t="shared" si="142"/>
        <v>149.27472147904302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0.11785044500889241</v>
      </c>
      <c r="AB151" s="23">
        <f>EXP(-LN(2)/2)*AB150+(1-EXP(-LN(2)/2))/(LN(2)/2)*V151*Y151*VLOOKUP('Données projet'!$B$9,Paramètres!$A$1:$I$89,3,0)*0.475*44/12</f>
        <v>1.0736807024063674E-17</v>
      </c>
      <c r="AC151" s="24">
        <f t="shared" si="111"/>
        <v>0.11785044500889243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-2.8421709430404007E-14</v>
      </c>
      <c r="AJ151" s="14">
        <f>AI151*VLOOKUP('Données projet'!$B$10,Paramètres!$A$1:$I$89,3,0)*VLOOKUP('Données projet'!$B$10,Paramètres!$A$1:$I$89,5,0)</f>
        <v>-2.4829205358400945E-14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223.81948236065614</v>
      </c>
      <c r="AO151" s="62">
        <f t="shared" si="144"/>
        <v>320.1204011431372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0.29693321654172655</v>
      </c>
      <c r="AV151" s="23">
        <f>EXP(-LN(2)/25)*AV150+(1-EXP(-LN(2)/25))/(LN(2)/25)*Calculateur!AQ151*Calculateur!AS151*VLOOKUP('Données projet'!$B$10,Paramètres!$A$1:$I$89,3,0)*0.475*44/12</f>
        <v>0.67131335316835306</v>
      </c>
      <c r="AW151" s="23">
        <f>EXP(-LN(2)/2)*AW150+(1-EXP(-LN(2)/2))/(LN(2)/2)*AQ151*AT151*VLOOKUP('Données projet'!$B$10,Paramètres!$A$1:$I$89,3,0)*0.475*44/12</f>
        <v>4.8173282739893818E-17</v>
      </c>
      <c r="AX151" s="23">
        <f t="shared" si="114"/>
        <v>0.96824656971007961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-4.5474735088646412E-13</v>
      </c>
      <c r="BE151" s="14">
        <f>BD151*VLOOKUP('Données projet'!$B$11,Paramètres!$A$1:$I$89,3,0)*VLOOKUP('Données projet'!$B$11,Paramètres!$A$1:$I$89,5,0)</f>
        <v>-2.7193891583010558E-13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216.94426559495264</v>
      </c>
      <c r="BJ151" s="62">
        <f t="shared" si="146"/>
        <v>225.33715877618704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0.48754718977813438</v>
      </c>
      <c r="BR151" s="23">
        <f>EXP(-LN(2)/2)*BR150+(1-EXP(-LN(2)/2))/(LN(2)/2)*BL151*BO151*VLOOKUP('Données projet'!$B$11,Paramètres!$A$1:$I$89,3,0)*0.475*44/12</f>
        <v>4.1163877643015815E-17</v>
      </c>
      <c r="BS151" s="24">
        <f t="shared" si="117"/>
        <v>0.48754718977813444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-1.0286385077051818E-13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237.22177246688199</v>
      </c>
      <c r="T152" s="62">
        <f t="shared" si="142"/>
        <v>149.27472147904302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0.11462781839263869</v>
      </c>
      <c r="AB152" s="23">
        <f>EXP(-LN(2)/2)*AB151+(1-EXP(-LN(2)/2))/(LN(2)/2)*V152*Y152*VLOOKUP('Données projet'!$B$9,Paramètres!$A$1:$I$89,3,0)*0.475*44/12</f>
        <v>7.592069055006779E-18</v>
      </c>
      <c r="AC152" s="24">
        <f t="shared" si="111"/>
        <v>0.11462781839263871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-2.8421709430404007E-14</v>
      </c>
      <c r="AJ152" s="14">
        <f>AI152*VLOOKUP('Données projet'!$B$10,Paramètres!$A$1:$I$89,3,0)*VLOOKUP('Données projet'!$B$10,Paramètres!$A$1:$I$89,5,0)</f>
        <v>-2.4829205358400945E-14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223.81948236065614</v>
      </c>
      <c r="AO152" s="62">
        <f t="shared" si="144"/>
        <v>320.1204011431372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0.29111053727672215</v>
      </c>
      <c r="AV152" s="23">
        <f>EXP(-LN(2)/25)*AV151+(1-EXP(-LN(2)/25))/(LN(2)/25)*Calculateur!AQ152*Calculateur!AS152*VLOOKUP('Données projet'!$B$10,Paramètres!$A$1:$I$89,3,0)*0.475*44/12</f>
        <v>0.65295625422312953</v>
      </c>
      <c r="AW152" s="23">
        <f>EXP(-LN(2)/2)*AW151+(1-EXP(-LN(2)/2))/(LN(2)/2)*AQ152*AT152*VLOOKUP('Données projet'!$B$10,Paramètres!$A$1:$I$89,3,0)*0.475*44/12</f>
        <v>3.4063654897395784E-17</v>
      </c>
      <c r="AX152" s="23">
        <f t="shared" si="114"/>
        <v>0.94406679149985173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-4.5474735088646412E-13</v>
      </c>
      <c r="BE152" s="14">
        <f>BD152*VLOOKUP('Données projet'!$B$11,Paramètres!$A$1:$I$89,3,0)*VLOOKUP('Données projet'!$B$11,Paramètres!$A$1:$I$89,5,0)</f>
        <v>-2.7193891583010558E-13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216.94426559495264</v>
      </c>
      <c r="BJ152" s="62">
        <f t="shared" si="146"/>
        <v>225.33715877618704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0.47421518623465891</v>
      </c>
      <c r="BR152" s="23">
        <f>EXP(-LN(2)/2)*BR151+(1-EXP(-LN(2)/2))/(LN(2)/2)*BL152*BO152*VLOOKUP('Données projet'!$B$11,Paramètres!$A$1:$I$89,3,0)*0.475*44/12</f>
        <v>2.9107257021309799E-17</v>
      </c>
      <c r="BS152" s="24">
        <f t="shared" si="117"/>
        <v>0.47421518623465897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-1.0286385077051818E-13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237.22177246688199</v>
      </c>
      <c r="T153" s="62">
        <f t="shared" si="142"/>
        <v>149.27472147904302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0.111493314670677</v>
      </c>
      <c r="AB153" s="23">
        <f>EXP(-LN(2)/2)*AB152+(1-EXP(-LN(2)/2))/(LN(2)/2)*V153*Y153*VLOOKUP('Données projet'!$B$9,Paramètres!$A$1:$I$89,3,0)*0.475*44/12</f>
        <v>5.3684035120318372E-18</v>
      </c>
      <c r="AC153" s="24">
        <f t="shared" si="111"/>
        <v>0.111493314670677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-2.8421709430404007E-14</v>
      </c>
      <c r="AJ153" s="14">
        <f>AI153*VLOOKUP('Données projet'!$B$10,Paramètres!$A$1:$I$89,3,0)*VLOOKUP('Données projet'!$B$10,Paramètres!$A$1:$I$89,5,0)</f>
        <v>-2.4829205358400945E-14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223.81948236065614</v>
      </c>
      <c r="AO153" s="62">
        <f t="shared" si="144"/>
        <v>320.1204011431372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0.2854020372006208</v>
      </c>
      <c r="AV153" s="23">
        <f>EXP(-LN(2)/25)*AV152+(1-EXP(-LN(2)/25))/(LN(2)/25)*Calculateur!AQ153*Calculateur!AS153*VLOOKUP('Données projet'!$B$10,Paramètres!$A$1:$I$89,3,0)*0.475*44/12</f>
        <v>0.63510113111392097</v>
      </c>
      <c r="AW153" s="23">
        <f>EXP(-LN(2)/2)*AW152+(1-EXP(-LN(2)/2))/(LN(2)/2)*AQ153*AT153*VLOOKUP('Données projet'!$B$10,Paramètres!$A$1:$I$89,3,0)*0.475*44/12</f>
        <v>2.4086641369946909E-17</v>
      </c>
      <c r="AX153" s="23">
        <f t="shared" si="114"/>
        <v>0.92050316831454171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-4.5474735088646412E-13</v>
      </c>
      <c r="BE153" s="14">
        <f>BD153*VLOOKUP('Données projet'!$B$11,Paramètres!$A$1:$I$89,3,0)*VLOOKUP('Données projet'!$B$11,Paramètres!$A$1:$I$89,5,0)</f>
        <v>-2.7193891583010558E-13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216.94426559495264</v>
      </c>
      <c r="BJ153" s="62">
        <f t="shared" si="146"/>
        <v>225.33715877618704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0.46124774702917937</v>
      </c>
      <c r="BR153" s="23">
        <f>EXP(-LN(2)/2)*BR152+(1-EXP(-LN(2)/2))/(LN(2)/2)*BL153*BO153*VLOOKUP('Données projet'!$B$11,Paramètres!$A$1:$I$89,3,0)*0.475*44/12</f>
        <v>2.0581938821507907E-17</v>
      </c>
      <c r="BS153" s="24">
        <f t="shared" si="117"/>
        <v>0.46124774702917937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237.22177246688199</v>
      </c>
      <c r="T154" s="62">
        <f t="shared" si="142"/>
        <v>149.27472147904302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0.10844452411782873</v>
      </c>
      <c r="AB154" s="23">
        <f>EXP(-LN(2)/2)*AB153+(1-EXP(-LN(2)/2))/(LN(2)/2)*V154*Y154*VLOOKUP('Données projet'!$B$9,Paramètres!$A$1:$I$89,3,0)*0.475*44/12</f>
        <v>3.7960345275033895E-18</v>
      </c>
      <c r="AC154" s="24">
        <f t="shared" ref="AC154:AC203" si="163">SUM(Z154:AB154)</f>
        <v>0.10844452411782873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-2.8421709430404007E-14</v>
      </c>
      <c r="AJ154" s="14">
        <f>AI154*VLOOKUP('Données projet'!$B$10,Paramètres!$A$1:$I$89,3,0)*VLOOKUP('Données projet'!$B$10,Paramètres!$A$1:$I$89,5,0)</f>
        <v>-2.4829205358400945E-14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223.81948236065614</v>
      </c>
      <c r="AO154" s="62">
        <f t="shared" si="144"/>
        <v>320.1204011431372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0.27980547732917055</v>
      </c>
      <c r="AV154" s="23">
        <f>EXP(-LN(2)/25)*AV153+(1-EXP(-LN(2)/25))/(LN(2)/25)*Calculateur!AQ154*Calculateur!AS154*VLOOKUP('Données projet'!$B$10,Paramètres!$A$1:$I$89,3,0)*0.475*44/12</f>
        <v>0.6177342572850939</v>
      </c>
      <c r="AW154" s="23">
        <f>EXP(-LN(2)/2)*AW153+(1-EXP(-LN(2)/2))/(LN(2)/2)*AQ154*AT154*VLOOKUP('Données projet'!$B$10,Paramètres!$A$1:$I$89,3,0)*0.475*44/12</f>
        <v>1.7031827448697892E-17</v>
      </c>
      <c r="AX154" s="23">
        <f t="shared" ref="AX154:AX203" si="166">SUM(AU154:AW154)</f>
        <v>0.8975397346142644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-4.5474735088646412E-13</v>
      </c>
      <c r="BE154" s="14">
        <f>BD154*VLOOKUP('Données projet'!$B$11,Paramètres!$A$1:$I$89,3,0)*VLOOKUP('Données projet'!$B$11,Paramètres!$A$1:$I$89,5,0)</f>
        <v>-2.7193891583010558E-13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216.94426559495264</v>
      </c>
      <c r="BJ154" s="62">
        <f t="shared" si="146"/>
        <v>225.33715877618704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0.44863490313070165</v>
      </c>
      <c r="BR154" s="23">
        <f>EXP(-LN(2)/2)*BR153+(1-EXP(-LN(2)/2))/(LN(2)/2)*BL154*BO154*VLOOKUP('Données projet'!$B$11,Paramètres!$A$1:$I$89,3,0)*0.475*44/12</f>
        <v>1.4553628510654899E-17</v>
      </c>
      <c r="BS154" s="24">
        <f t="shared" ref="BS154:BS203" si="169">SUM(BP154:BR154)</f>
        <v>0.44863490313070165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-1.0286385077051818E-13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237.22177246688199</v>
      </c>
      <c r="T155" s="62">
        <f t="shared" si="142"/>
        <v>149.27472147904302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0.10547910290297703</v>
      </c>
      <c r="AB155" s="23">
        <f>EXP(-LN(2)/2)*AB154+(1-EXP(-LN(2)/2))/(LN(2)/2)*V155*Y155*VLOOKUP('Données projet'!$B$9,Paramètres!$A$1:$I$89,3,0)*0.475*44/12</f>
        <v>2.6842017560159186E-18</v>
      </c>
      <c r="AC155" s="24">
        <f t="shared" si="163"/>
        <v>0.10547910290297703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-2.8421709430404007E-14</v>
      </c>
      <c r="AJ155" s="14">
        <f>AI155*VLOOKUP('Données projet'!$B$10,Paramètres!$A$1:$I$89,3,0)*VLOOKUP('Données projet'!$B$10,Paramètres!$A$1:$I$89,5,0)</f>
        <v>-2.4829205358400945E-14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223.81948236065614</v>
      </c>
      <c r="AO155" s="62">
        <f t="shared" si="144"/>
        <v>320.1204011431372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0.27431866258323495</v>
      </c>
      <c r="AV155" s="23">
        <f>EXP(-LN(2)/25)*AV154+(1-EXP(-LN(2)/25))/(LN(2)/25)*Calculateur!AQ155*Calculateur!AS155*VLOOKUP('Données projet'!$B$10,Paramètres!$A$1:$I$89,3,0)*0.475*44/12</f>
        <v>0.60084228153440022</v>
      </c>
      <c r="AW155" s="23">
        <f>EXP(-LN(2)/2)*AW154+(1-EXP(-LN(2)/2))/(LN(2)/2)*AQ155*AT155*VLOOKUP('Données projet'!$B$10,Paramètres!$A$1:$I$89,3,0)*0.475*44/12</f>
        <v>1.2043320684973454E-17</v>
      </c>
      <c r="AX155" s="23">
        <f t="shared" si="166"/>
        <v>0.87516094411763512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-4.5474735088646412E-13</v>
      </c>
      <c r="BE155" s="14">
        <f>BD155*VLOOKUP('Données projet'!$B$11,Paramètres!$A$1:$I$89,3,0)*VLOOKUP('Données projet'!$B$11,Paramètres!$A$1:$I$89,5,0)</f>
        <v>-2.7193891583010558E-13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216.94426559495264</v>
      </c>
      <c r="BJ155" s="62">
        <f t="shared" si="146"/>
        <v>225.33715877618704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0.4363669581119084</v>
      </c>
      <c r="BR155" s="23">
        <f>EXP(-LN(2)/2)*BR154+(1-EXP(-LN(2)/2))/(LN(2)/2)*BL155*BO155*VLOOKUP('Données projet'!$B$11,Paramètres!$A$1:$I$89,3,0)*0.475*44/12</f>
        <v>1.0290969410753954E-17</v>
      </c>
      <c r="BS155" s="24">
        <f t="shared" si="169"/>
        <v>0.4363669581119084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-1.0286385077051818E-13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237.22177246688199</v>
      </c>
      <c r="T156" s="62">
        <f t="shared" si="142"/>
        <v>149.27472147904302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0.10259477128719018</v>
      </c>
      <c r="AB156" s="23">
        <f>EXP(-LN(2)/2)*AB155+(1-EXP(-LN(2)/2))/(LN(2)/2)*V156*Y156*VLOOKUP('Données projet'!$B$9,Paramètres!$A$1:$I$89,3,0)*0.475*44/12</f>
        <v>1.8980172637516947E-18</v>
      </c>
      <c r="AC156" s="24">
        <f t="shared" si="163"/>
        <v>0.10259477128719018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-2.8421709430404007E-14</v>
      </c>
      <c r="AJ156" s="14">
        <f>AI156*VLOOKUP('Données projet'!$B$10,Paramètres!$A$1:$I$89,3,0)*VLOOKUP('Données projet'!$B$10,Paramètres!$A$1:$I$89,5,0)</f>
        <v>-2.4829205358400945E-14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223.81948236065614</v>
      </c>
      <c r="AO156" s="62">
        <f t="shared" si="144"/>
        <v>320.1204011431372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0.26893944092784061</v>
      </c>
      <c r="AV156" s="23">
        <f>EXP(-LN(2)/25)*AV155+(1-EXP(-LN(2)/25))/(LN(2)/25)*Calculateur!AQ156*Calculateur!AS156*VLOOKUP('Données projet'!$B$10,Paramètres!$A$1:$I$89,3,0)*0.475*44/12</f>
        <v>0.58441221774891972</v>
      </c>
      <c r="AW156" s="23">
        <f>EXP(-LN(2)/2)*AW155+(1-EXP(-LN(2)/2))/(LN(2)/2)*AQ156*AT156*VLOOKUP('Données projet'!$B$10,Paramètres!$A$1:$I$89,3,0)*0.475*44/12</f>
        <v>8.5159137243489459E-18</v>
      </c>
      <c r="AX156" s="23">
        <f t="shared" si="166"/>
        <v>0.85335165867676033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-4.5474735088646412E-13</v>
      </c>
      <c r="BE156" s="14">
        <f>BD156*VLOOKUP('Données projet'!$B$11,Paramètres!$A$1:$I$89,3,0)*VLOOKUP('Données projet'!$B$11,Paramètres!$A$1:$I$89,5,0)</f>
        <v>-2.7193891583010558E-13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216.94426559495264</v>
      </c>
      <c r="BJ156" s="62">
        <f t="shared" si="146"/>
        <v>225.33715877618704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0.42443448069479728</v>
      </c>
      <c r="BR156" s="23">
        <f>EXP(-LN(2)/2)*BR155+(1-EXP(-LN(2)/2))/(LN(2)/2)*BL156*BO156*VLOOKUP('Données projet'!$B$11,Paramètres!$A$1:$I$89,3,0)*0.475*44/12</f>
        <v>7.2768142553274497E-18</v>
      </c>
      <c r="BS156" s="24">
        <f t="shared" si="169"/>
        <v>0.42443448069479728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-1.0286385077051818E-13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237.22177246688199</v>
      </c>
      <c r="T157" s="62">
        <f t="shared" si="142"/>
        <v>149.27472147904302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9.978931187111742E-2</v>
      </c>
      <c r="AB157" s="23">
        <f>EXP(-LN(2)/2)*AB156+(1-EXP(-LN(2)/2))/(LN(2)/2)*V157*Y157*VLOOKUP('Données projet'!$B$9,Paramètres!$A$1:$I$89,3,0)*0.475*44/12</f>
        <v>1.3421008780079593E-18</v>
      </c>
      <c r="AC157" s="24">
        <f t="shared" si="163"/>
        <v>9.978931187111742E-2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-2.8421709430404007E-14</v>
      </c>
      <c r="AJ157" s="14">
        <f>AI157*VLOOKUP('Données projet'!$B$10,Paramètres!$A$1:$I$89,3,0)*VLOOKUP('Données projet'!$B$10,Paramètres!$A$1:$I$89,5,0)</f>
        <v>-2.4829205358400945E-14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223.81948236065614</v>
      </c>
      <c r="AO157" s="62">
        <f t="shared" si="144"/>
        <v>320.1204011431372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0.26366570252810734</v>
      </c>
      <c r="AV157" s="23">
        <f>EXP(-LN(2)/25)*AV156+(1-EXP(-LN(2)/25))/(LN(2)/25)*Calculateur!AQ157*Calculateur!AS157*VLOOKUP('Données projet'!$B$10,Paramètres!$A$1:$I$89,3,0)*0.475*44/12</f>
        <v>0.5684314349216727</v>
      </c>
      <c r="AW157" s="23">
        <f>EXP(-LN(2)/2)*AW156+(1-EXP(-LN(2)/2))/(LN(2)/2)*AQ157*AT157*VLOOKUP('Données projet'!$B$10,Paramètres!$A$1:$I$89,3,0)*0.475*44/12</f>
        <v>6.0216603424867272E-18</v>
      </c>
      <c r="AX157" s="23">
        <f t="shared" si="166"/>
        <v>0.83209713744978009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-4.5474735088646412E-13</v>
      </c>
      <c r="BE157" s="14">
        <f>BD157*VLOOKUP('Données projet'!$B$11,Paramètres!$A$1:$I$89,3,0)*VLOOKUP('Données projet'!$B$11,Paramètres!$A$1:$I$89,5,0)</f>
        <v>-2.7193891583010558E-13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216.94426559495264</v>
      </c>
      <c r="BJ157" s="62">
        <f t="shared" si="146"/>
        <v>225.33715877618704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0.41282829750015876</v>
      </c>
      <c r="BR157" s="23">
        <f>EXP(-LN(2)/2)*BR156+(1-EXP(-LN(2)/2))/(LN(2)/2)*BL157*BO157*VLOOKUP('Données projet'!$B$11,Paramètres!$A$1:$I$89,3,0)*0.475*44/12</f>
        <v>5.1454847053769769E-18</v>
      </c>
      <c r="BS157" s="24">
        <f t="shared" si="169"/>
        <v>0.41282829750015876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-1.0286385077051818E-13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237.22177246688199</v>
      </c>
      <c r="T158" s="62">
        <f t="shared" si="142"/>
        <v>149.27472147904302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9.7060567890309868E-2</v>
      </c>
      <c r="AB158" s="23">
        <f>EXP(-LN(2)/2)*AB157+(1-EXP(-LN(2)/2))/(LN(2)/2)*V158*Y158*VLOOKUP('Données projet'!$B$9,Paramètres!$A$1:$I$89,3,0)*0.475*44/12</f>
        <v>9.4900863187584737E-19</v>
      </c>
      <c r="AC158" s="24">
        <f t="shared" si="163"/>
        <v>9.7060567890309868E-2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-2.8421709430404007E-14</v>
      </c>
      <c r="AJ158" s="14">
        <f>AI158*VLOOKUP('Données projet'!$B$10,Paramètres!$A$1:$I$89,3,0)*VLOOKUP('Données projet'!$B$10,Paramètres!$A$1:$I$89,5,0)</f>
        <v>-2.4829205358400945E-14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223.81948236065614</v>
      </c>
      <c r="AO158" s="62">
        <f t="shared" si="144"/>
        <v>320.1204011431372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0.25849537892173002</v>
      </c>
      <c r="AV158" s="23">
        <f>EXP(-LN(2)/25)*AV157+(1-EXP(-LN(2)/25))/(LN(2)/25)*Calculateur!AQ158*Calculateur!AS158*VLOOKUP('Données projet'!$B$10,Paramètres!$A$1:$I$89,3,0)*0.475*44/12</f>
        <v>0.55288764744122953</v>
      </c>
      <c r="AW158" s="23">
        <f>EXP(-LN(2)/2)*AW157+(1-EXP(-LN(2)/2))/(LN(2)/2)*AQ158*AT158*VLOOKUP('Données projet'!$B$10,Paramètres!$A$1:$I$89,3,0)*0.475*44/12</f>
        <v>4.257956862174473E-18</v>
      </c>
      <c r="AX158" s="23">
        <f t="shared" si="166"/>
        <v>0.81138302636295956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-4.5474735088646412E-13</v>
      </c>
      <c r="BE158" s="14">
        <f>BD158*VLOOKUP('Données projet'!$B$11,Paramètres!$A$1:$I$89,3,0)*VLOOKUP('Données projet'!$B$11,Paramètres!$A$1:$I$89,5,0)</f>
        <v>-2.7193891583010558E-13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216.94426559495264</v>
      </c>
      <c r="BJ158" s="62">
        <f t="shared" si="146"/>
        <v>225.33715877618704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0.4015394859953203</v>
      </c>
      <c r="BR158" s="23">
        <f>EXP(-LN(2)/2)*BR157+(1-EXP(-LN(2)/2))/(LN(2)/2)*BL158*BO158*VLOOKUP('Données projet'!$B$11,Paramètres!$A$1:$I$89,3,0)*0.475*44/12</f>
        <v>3.6384071276637248E-18</v>
      </c>
      <c r="BS158" s="24">
        <f t="shared" si="169"/>
        <v>0.4015394859953203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-1.0286385077051818E-13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237.22177246688199</v>
      </c>
      <c r="T159" s="62">
        <f t="shared" si="142"/>
        <v>149.27472147904302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9.4406441557155912E-2</v>
      </c>
      <c r="AB159" s="23">
        <f>EXP(-LN(2)/2)*AB158+(1-EXP(-LN(2)/2))/(LN(2)/2)*V159*Y159*VLOOKUP('Données projet'!$B$9,Paramètres!$A$1:$I$89,3,0)*0.475*44/12</f>
        <v>6.7105043900397965E-19</v>
      </c>
      <c r="AC159" s="24">
        <f t="shared" si="163"/>
        <v>9.4406441557155912E-2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-2.8421709430404007E-14</v>
      </c>
      <c r="AJ159" s="14">
        <f>AI159*VLOOKUP('Données projet'!$B$10,Paramètres!$A$1:$I$89,3,0)*VLOOKUP('Données projet'!$B$10,Paramètres!$A$1:$I$89,5,0)</f>
        <v>-2.4829205358400945E-14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223.81948236065614</v>
      </c>
      <c r="AO159" s="62">
        <f t="shared" si="144"/>
        <v>320.1204011431372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0.25342644220768773</v>
      </c>
      <c r="AV159" s="23">
        <f>EXP(-LN(2)/25)*AV158+(1-EXP(-LN(2)/25))/(LN(2)/25)*Calculateur!AQ159*Calculateur!AS159*VLOOKUP('Données projet'!$B$10,Paramètres!$A$1:$I$89,3,0)*0.475*44/12</f>
        <v>0.53776890564685143</v>
      </c>
      <c r="AW159" s="23">
        <f>EXP(-LN(2)/2)*AW158+(1-EXP(-LN(2)/2))/(LN(2)/2)*AQ159*AT159*VLOOKUP('Données projet'!$B$10,Paramètres!$A$1:$I$89,3,0)*0.475*44/12</f>
        <v>3.0108301712433636E-18</v>
      </c>
      <c r="AX159" s="23">
        <f t="shared" si="166"/>
        <v>0.79119534785453915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-4.5474735088646412E-13</v>
      </c>
      <c r="BE159" s="14">
        <f>BD159*VLOOKUP('Données projet'!$B$11,Paramètres!$A$1:$I$89,3,0)*VLOOKUP('Données projet'!$B$11,Paramètres!$A$1:$I$89,5,0)</f>
        <v>-2.7193891583010558E-13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216.94426559495264</v>
      </c>
      <c r="BJ159" s="62">
        <f t="shared" si="146"/>
        <v>225.33715877618704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0.39055936763473442</v>
      </c>
      <c r="BR159" s="23">
        <f>EXP(-LN(2)/2)*BR158+(1-EXP(-LN(2)/2))/(LN(2)/2)*BL159*BO159*VLOOKUP('Données projet'!$B$11,Paramètres!$A$1:$I$89,3,0)*0.475*44/12</f>
        <v>2.5727423526884884E-18</v>
      </c>
      <c r="BS159" s="24">
        <f t="shared" si="169"/>
        <v>0.39055936763473442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-1.0286385077051818E-13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237.22177246688199</v>
      </c>
      <c r="T160" s="62">
        <f t="shared" si="142"/>
        <v>149.27472147904302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9.1824892448156489E-2</v>
      </c>
      <c r="AB160" s="23">
        <f>EXP(-LN(2)/2)*AB159+(1-EXP(-LN(2)/2))/(LN(2)/2)*V160*Y160*VLOOKUP('Données projet'!$B$9,Paramètres!$A$1:$I$89,3,0)*0.475*44/12</f>
        <v>4.7450431593792369E-19</v>
      </c>
      <c r="AC160" s="24">
        <f t="shared" si="163"/>
        <v>9.1824892448156489E-2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-2.8421709430404007E-14</v>
      </c>
      <c r="AJ160" s="14">
        <f>AI160*VLOOKUP('Données projet'!$B$10,Paramètres!$A$1:$I$89,3,0)*VLOOKUP('Données projet'!$B$10,Paramètres!$A$1:$I$89,5,0)</f>
        <v>-2.4829205358400945E-14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223.81948236065614</v>
      </c>
      <c r="AO160" s="62">
        <f t="shared" si="144"/>
        <v>320.1204011431372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0.24845690425086173</v>
      </c>
      <c r="AV160" s="23">
        <f>EXP(-LN(2)/25)*AV159+(1-EXP(-LN(2)/25))/(LN(2)/25)*Calculateur!AQ160*Calculateur!AS160*VLOOKUP('Données projet'!$B$10,Paramètres!$A$1:$I$89,3,0)*0.475*44/12</f>
        <v>0.52306358664190056</v>
      </c>
      <c r="AW160" s="23">
        <f>EXP(-LN(2)/2)*AW159+(1-EXP(-LN(2)/2))/(LN(2)/2)*AQ160*AT160*VLOOKUP('Données projet'!$B$10,Paramètres!$A$1:$I$89,3,0)*0.475*44/12</f>
        <v>2.1289784310872365E-18</v>
      </c>
      <c r="AX160" s="23">
        <f t="shared" si="166"/>
        <v>0.77152049089276231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-4.5474735088646412E-13</v>
      </c>
      <c r="BE160" s="14">
        <f>BD160*VLOOKUP('Données projet'!$B$11,Paramètres!$A$1:$I$89,3,0)*VLOOKUP('Données projet'!$B$11,Paramètres!$A$1:$I$89,5,0)</f>
        <v>-2.7193891583010558E-13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216.94426559495264</v>
      </c>
      <c r="BJ160" s="62">
        <f t="shared" si="146"/>
        <v>225.33715877618704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0.37987950118813812</v>
      </c>
      <c r="BR160" s="23">
        <f>EXP(-LN(2)/2)*BR159+(1-EXP(-LN(2)/2))/(LN(2)/2)*BL160*BO160*VLOOKUP('Données projet'!$B$11,Paramètres!$A$1:$I$89,3,0)*0.475*44/12</f>
        <v>1.8192035638318624E-18</v>
      </c>
      <c r="BS160" s="24">
        <f t="shared" si="169"/>
        <v>0.37987950118813812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-1.0286385077051818E-13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237.22177246688199</v>
      </c>
      <c r="T161" s="62">
        <f t="shared" si="142"/>
        <v>149.27472147904302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8.9313935935300431E-2</v>
      </c>
      <c r="AB161" s="23">
        <f>EXP(-LN(2)/2)*AB160+(1-EXP(-LN(2)/2))/(LN(2)/2)*V161*Y161*VLOOKUP('Données projet'!$B$9,Paramètres!$A$1:$I$89,3,0)*0.475*44/12</f>
        <v>3.3552521950198982E-19</v>
      </c>
      <c r="AC161" s="24">
        <f t="shared" si="163"/>
        <v>8.9313935935300431E-2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-2.8421709430404007E-14</v>
      </c>
      <c r="AJ161" s="14">
        <f>AI161*VLOOKUP('Données projet'!$B$10,Paramètres!$A$1:$I$89,3,0)*VLOOKUP('Données projet'!$B$10,Paramètres!$A$1:$I$89,5,0)</f>
        <v>-2.4829205358400945E-14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223.81948236065614</v>
      </c>
      <c r="AO161" s="62">
        <f t="shared" si="144"/>
        <v>320.1204011431372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0.24358481590225023</v>
      </c>
      <c r="AV161" s="23">
        <f>EXP(-LN(2)/25)*AV160+(1-EXP(-LN(2)/25))/(LN(2)/25)*Calculateur!AQ161*Calculateur!AS161*VLOOKUP('Données projet'!$B$10,Paramètres!$A$1:$I$89,3,0)*0.475*44/12</f>
        <v>0.50876038535845924</v>
      </c>
      <c r="AW161" s="23">
        <f>EXP(-LN(2)/2)*AW160+(1-EXP(-LN(2)/2))/(LN(2)/2)*AQ161*AT161*VLOOKUP('Données projet'!$B$10,Paramètres!$A$1:$I$89,3,0)*0.475*44/12</f>
        <v>1.5054150856216818E-18</v>
      </c>
      <c r="AX161" s="23">
        <f t="shared" si="166"/>
        <v>0.75234520126070947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-4.5474735088646412E-13</v>
      </c>
      <c r="BE161" s="14">
        <f>BD161*VLOOKUP('Données projet'!$B$11,Paramètres!$A$1:$I$89,3,0)*VLOOKUP('Données projet'!$B$11,Paramètres!$A$1:$I$89,5,0)</f>
        <v>-2.7193891583010558E-13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216.94426559495264</v>
      </c>
      <c r="BJ161" s="62">
        <f t="shared" si="146"/>
        <v>225.33715877618704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0.36949167625115376</v>
      </c>
      <c r="BR161" s="23">
        <f>EXP(-LN(2)/2)*BR160+(1-EXP(-LN(2)/2))/(LN(2)/2)*BL161*BO161*VLOOKUP('Données projet'!$B$11,Paramètres!$A$1:$I$89,3,0)*0.475*44/12</f>
        <v>1.2863711763442442E-18</v>
      </c>
      <c r="BS161" s="24">
        <f t="shared" si="169"/>
        <v>0.36949167625115376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-1.0286385077051818E-13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237.22177246688199</v>
      </c>
      <c r="T162" s="62">
        <f t="shared" si="142"/>
        <v>149.27472147904302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8.6871641660333884E-2</v>
      </c>
      <c r="AB162" s="23">
        <f>EXP(-LN(2)/2)*AB161+(1-EXP(-LN(2)/2))/(LN(2)/2)*V162*Y162*VLOOKUP('Données projet'!$B$9,Paramètres!$A$1:$I$89,3,0)*0.475*44/12</f>
        <v>2.3725215796896184E-19</v>
      </c>
      <c r="AC162" s="24">
        <f t="shared" si="163"/>
        <v>8.6871641660333884E-2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-2.8421709430404007E-14</v>
      </c>
      <c r="AJ162" s="14">
        <f>AI162*VLOOKUP('Données projet'!$B$10,Paramètres!$A$1:$I$89,3,0)*VLOOKUP('Données projet'!$B$10,Paramètres!$A$1:$I$89,5,0)</f>
        <v>-2.4829205358400945E-14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223.81948236065614</v>
      </c>
      <c r="AO162" s="62">
        <f t="shared" si="144"/>
        <v>320.1204011431372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0.23880826623447454</v>
      </c>
      <c r="AV162" s="23">
        <f>EXP(-LN(2)/25)*AV161+(1-EXP(-LN(2)/25))/(LN(2)/25)*Calculateur!AQ162*Calculateur!AS162*VLOOKUP('Données projet'!$B$10,Paramètres!$A$1:$I$89,3,0)*0.475*44/12</f>
        <v>0.49484830586628631</v>
      </c>
      <c r="AW162" s="23">
        <f>EXP(-LN(2)/2)*AW161+(1-EXP(-LN(2)/2))/(LN(2)/2)*AQ162*AT162*VLOOKUP('Données projet'!$B$10,Paramètres!$A$1:$I$89,3,0)*0.475*44/12</f>
        <v>1.0644892155436182E-18</v>
      </c>
      <c r="AX162" s="23">
        <f t="shared" si="166"/>
        <v>0.73365657210076085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-4.5474735088646412E-13</v>
      </c>
      <c r="BE162" s="14">
        <f>BD162*VLOOKUP('Données projet'!$B$11,Paramètres!$A$1:$I$89,3,0)*VLOOKUP('Données projet'!$B$11,Paramètres!$A$1:$I$89,5,0)</f>
        <v>-2.7193891583010558E-13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216.94426559495264</v>
      </c>
      <c r="BJ162" s="62">
        <f t="shared" si="146"/>
        <v>225.33715877618704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0.35938790693334316</v>
      </c>
      <c r="BR162" s="23">
        <f>EXP(-LN(2)/2)*BR161+(1-EXP(-LN(2)/2))/(LN(2)/2)*BL162*BO162*VLOOKUP('Données projet'!$B$11,Paramètres!$A$1:$I$89,3,0)*0.475*44/12</f>
        <v>9.0960178191593121E-19</v>
      </c>
      <c r="BS162" s="24">
        <f t="shared" si="169"/>
        <v>0.35938790693334316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-1.0286385077051818E-13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237.22177246688199</v>
      </c>
      <c r="T163" s="62">
        <f t="shared" si="142"/>
        <v>149.27472147904302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8.4496132050750961E-2</v>
      </c>
      <c r="AB163" s="23">
        <f>EXP(-LN(2)/2)*AB162+(1-EXP(-LN(2)/2))/(LN(2)/2)*V163*Y163*VLOOKUP('Données projet'!$B$9,Paramètres!$A$1:$I$89,3,0)*0.475*44/12</f>
        <v>1.6776260975099491E-19</v>
      </c>
      <c r="AC163" s="24">
        <f t="shared" si="163"/>
        <v>8.4496132050750961E-2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-2.8421709430404007E-14</v>
      </c>
      <c r="AJ163" s="14">
        <f>AI163*VLOOKUP('Données projet'!$B$10,Paramètres!$A$1:$I$89,3,0)*VLOOKUP('Données projet'!$B$10,Paramètres!$A$1:$I$89,5,0)</f>
        <v>-2.4829205358400945E-14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223.81948236065614</v>
      </c>
      <c r="AO163" s="62">
        <f t="shared" si="144"/>
        <v>320.1204011431372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0.23412538179227629</v>
      </c>
      <c r="AV163" s="23">
        <f>EXP(-LN(2)/25)*AV162+(1-EXP(-LN(2)/25))/(LN(2)/25)*Calculateur!AQ163*Calculateur!AS163*VLOOKUP('Données projet'!$B$10,Paramètres!$A$1:$I$89,3,0)*0.475*44/12</f>
        <v>0.48131665291943132</v>
      </c>
      <c r="AW163" s="23">
        <f>EXP(-LN(2)/2)*AW162+(1-EXP(-LN(2)/2))/(LN(2)/2)*AQ163*AT163*VLOOKUP('Données projet'!$B$10,Paramètres!$A$1:$I$89,3,0)*0.475*44/12</f>
        <v>7.527075428108409E-19</v>
      </c>
      <c r="AX163" s="23">
        <f t="shared" si="166"/>
        <v>0.71544203471170764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-4.5474735088646412E-13</v>
      </c>
      <c r="BE163" s="14">
        <f>BD163*VLOOKUP('Données projet'!$B$11,Paramètres!$A$1:$I$89,3,0)*VLOOKUP('Données projet'!$B$11,Paramètres!$A$1:$I$89,5,0)</f>
        <v>-2.7193891583010558E-13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216.94426559495264</v>
      </c>
      <c r="BJ163" s="62">
        <f t="shared" si="146"/>
        <v>225.33715877618704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0.34956042571886226</v>
      </c>
      <c r="BR163" s="23">
        <f>EXP(-LN(2)/2)*BR162+(1-EXP(-LN(2)/2))/(LN(2)/2)*BL163*BO163*VLOOKUP('Données projet'!$B$11,Paramètres!$A$1:$I$89,3,0)*0.475*44/12</f>
        <v>6.4318558817212211E-19</v>
      </c>
      <c r="BS163" s="24">
        <f t="shared" si="169"/>
        <v>0.34956042571886226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-1.0286385077051818E-13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237.22177246688199</v>
      </c>
      <c r="T164" s="62">
        <f t="shared" si="142"/>
        <v>149.27472147904302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8.2185580876364711E-2</v>
      </c>
      <c r="AB164" s="23">
        <f>EXP(-LN(2)/2)*AB163+(1-EXP(-LN(2)/2))/(LN(2)/2)*V164*Y164*VLOOKUP('Données projet'!$B$9,Paramètres!$A$1:$I$89,3,0)*0.475*44/12</f>
        <v>1.1862607898448092E-19</v>
      </c>
      <c r="AC164" s="24">
        <f t="shared" si="163"/>
        <v>8.2185580876364711E-2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-2.8421709430404007E-14</v>
      </c>
      <c r="AJ164" s="14">
        <f>AI164*VLOOKUP('Données projet'!$B$10,Paramètres!$A$1:$I$89,3,0)*VLOOKUP('Données projet'!$B$10,Paramètres!$A$1:$I$89,5,0)</f>
        <v>-2.4829205358400945E-14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223.81948236065614</v>
      </c>
      <c r="AO164" s="62">
        <f t="shared" si="144"/>
        <v>320.1204011431372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0.22953432585771208</v>
      </c>
      <c r="AV164" s="23">
        <f>EXP(-LN(2)/25)*AV163+(1-EXP(-LN(2)/25))/(LN(2)/25)*Calculateur!AQ164*Calculateur!AS164*VLOOKUP('Données projet'!$B$10,Paramètres!$A$1:$I$89,3,0)*0.475*44/12</f>
        <v>0.46815502373400675</v>
      </c>
      <c r="AW164" s="23">
        <f>EXP(-LN(2)/2)*AW163+(1-EXP(-LN(2)/2))/(LN(2)/2)*AQ164*AT164*VLOOKUP('Données projet'!$B$10,Paramètres!$A$1:$I$89,3,0)*0.475*44/12</f>
        <v>5.3224460777180912E-19</v>
      </c>
      <c r="AX164" s="23">
        <f t="shared" si="166"/>
        <v>0.6976893495917188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-4.5474735088646412E-13</v>
      </c>
      <c r="BE164" s="14">
        <f>BD164*VLOOKUP('Données projet'!$B$11,Paramètres!$A$1:$I$89,3,0)*VLOOKUP('Données projet'!$B$11,Paramètres!$A$1:$I$89,5,0)</f>
        <v>-2.7193891583010558E-13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216.94426559495264</v>
      </c>
      <c r="BJ164" s="62">
        <f t="shared" si="146"/>
        <v>225.33715877618704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0.3400016774949961</v>
      </c>
      <c r="BR164" s="23">
        <f>EXP(-LN(2)/2)*BR163+(1-EXP(-LN(2)/2))/(LN(2)/2)*BL164*BO164*VLOOKUP('Données projet'!$B$11,Paramètres!$A$1:$I$89,3,0)*0.475*44/12</f>
        <v>4.548008909579656E-19</v>
      </c>
      <c r="BS164" s="24">
        <f t="shared" si="169"/>
        <v>0.3400016774949961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-1.0286385077051818E-13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237.22177246688199</v>
      </c>
      <c r="T165" s="62">
        <f t="shared" si="142"/>
        <v>149.27472147904302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7.9938211845348661E-2</v>
      </c>
      <c r="AB165" s="23">
        <f>EXP(-LN(2)/2)*AB164+(1-EXP(-LN(2)/2))/(LN(2)/2)*V165*Y165*VLOOKUP('Données projet'!$B$9,Paramètres!$A$1:$I$89,3,0)*0.475*44/12</f>
        <v>8.3881304875497456E-20</v>
      </c>
      <c r="AC165" s="24">
        <f t="shared" si="163"/>
        <v>7.9938211845348661E-2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-2.8421709430404007E-14</v>
      </c>
      <c r="AJ165" s="14">
        <f>AI165*VLOOKUP('Données projet'!$B$10,Paramètres!$A$1:$I$89,3,0)*VLOOKUP('Données projet'!$B$10,Paramètres!$A$1:$I$89,5,0)</f>
        <v>-2.4829205358400945E-14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223.81948236065614</v>
      </c>
      <c r="AO165" s="62">
        <f t="shared" si="144"/>
        <v>320.1204011431372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0.22503329772975705</v>
      </c>
      <c r="AV165" s="23">
        <f>EXP(-LN(2)/25)*AV164+(1-EXP(-LN(2)/25))/(LN(2)/25)*Calculateur!AQ165*Calculateur!AS165*VLOOKUP('Données projet'!$B$10,Paramètres!$A$1:$I$89,3,0)*0.475*44/12</f>
        <v>0.4553532999907976</v>
      </c>
      <c r="AW165" s="23">
        <f>EXP(-LN(2)/2)*AW164+(1-EXP(-LN(2)/2))/(LN(2)/2)*AQ165*AT165*VLOOKUP('Données projet'!$B$10,Paramètres!$A$1:$I$89,3,0)*0.475*44/12</f>
        <v>3.7635377140542045E-19</v>
      </c>
      <c r="AX165" s="23">
        <f t="shared" si="166"/>
        <v>0.68038659772055465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-4.5474735088646412E-13</v>
      </c>
      <c r="BE165" s="14">
        <f>BD165*VLOOKUP('Données projet'!$B$11,Paramètres!$A$1:$I$89,3,0)*VLOOKUP('Données projet'!$B$11,Paramètres!$A$1:$I$89,5,0)</f>
        <v>-2.7193891583010558E-13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216.94426559495264</v>
      </c>
      <c r="BJ165" s="62">
        <f t="shared" si="146"/>
        <v>225.33715877618704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0.33070431374398429</v>
      </c>
      <c r="BR165" s="23">
        <f>EXP(-LN(2)/2)*BR164+(1-EXP(-LN(2)/2))/(LN(2)/2)*BL165*BO165*VLOOKUP('Données projet'!$B$11,Paramètres!$A$1:$I$89,3,0)*0.475*44/12</f>
        <v>3.2159279408606105E-19</v>
      </c>
      <c r="BS165" s="24">
        <f t="shared" si="169"/>
        <v>0.33070431374398429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-1.0286385077051818E-13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237.22177246688199</v>
      </c>
      <c r="T166" s="62">
        <f t="shared" si="142"/>
        <v>149.27472147904302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7.7752297238669749E-2</v>
      </c>
      <c r="AB166" s="23">
        <f>EXP(-LN(2)/2)*AB165+(1-EXP(-LN(2)/2))/(LN(2)/2)*V166*Y166*VLOOKUP('Données projet'!$B$9,Paramètres!$A$1:$I$89,3,0)*0.475*44/12</f>
        <v>5.9313039492240461E-20</v>
      </c>
      <c r="AC166" s="24">
        <f t="shared" si="163"/>
        <v>7.7752297238669749E-2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-2.8421709430404007E-14</v>
      </c>
      <c r="AJ166" s="14">
        <f>AI166*VLOOKUP('Données projet'!$B$10,Paramètres!$A$1:$I$89,3,0)*VLOOKUP('Données projet'!$B$10,Paramètres!$A$1:$I$89,5,0)</f>
        <v>-2.4829205358400945E-14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223.81948236065614</v>
      </c>
      <c r="AO166" s="62">
        <f t="shared" si="144"/>
        <v>320.1204011431372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0.22062053201803516</v>
      </c>
      <c r="AV166" s="23">
        <f>EXP(-LN(2)/25)*AV165+(1-EXP(-LN(2)/25))/(LN(2)/25)*Calculateur!AQ166*Calculateur!AS166*VLOOKUP('Données projet'!$B$10,Paramètres!$A$1:$I$89,3,0)*0.475*44/12</f>
        <v>0.44290164005655991</v>
      </c>
      <c r="AW166" s="23">
        <f>EXP(-LN(2)/2)*AW165+(1-EXP(-LN(2)/2))/(LN(2)/2)*AQ166*AT166*VLOOKUP('Données projet'!$B$10,Paramètres!$A$1:$I$89,3,0)*0.475*44/12</f>
        <v>2.6612230388590456E-19</v>
      </c>
      <c r="AX166" s="23">
        <f t="shared" si="166"/>
        <v>0.66352217207459507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-4.5474735088646412E-13</v>
      </c>
      <c r="BE166" s="14">
        <f>BD166*VLOOKUP('Données projet'!$B$11,Paramètres!$A$1:$I$89,3,0)*VLOOKUP('Données projet'!$B$11,Paramètres!$A$1:$I$89,5,0)</f>
        <v>-2.7193891583010558E-13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216.94426559495264</v>
      </c>
      <c r="BJ166" s="62">
        <f t="shared" si="146"/>
        <v>225.33715877618704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0.32166118689367101</v>
      </c>
      <c r="BR166" s="23">
        <f>EXP(-LN(2)/2)*BR165+(1-EXP(-LN(2)/2))/(LN(2)/2)*BL166*BO166*VLOOKUP('Données projet'!$B$11,Paramètres!$A$1:$I$89,3,0)*0.475*44/12</f>
        <v>2.274004454789828E-19</v>
      </c>
      <c r="BS166" s="24">
        <f t="shared" si="169"/>
        <v>0.32166118689367101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-1.0286385077051818E-13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237.22177246688199</v>
      </c>
      <c r="T167" s="62">
        <f t="shared" si="142"/>
        <v>149.27472147904302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7.5626156581862725E-2</v>
      </c>
      <c r="AB167" s="23">
        <f>EXP(-LN(2)/2)*AB166+(1-EXP(-LN(2)/2))/(LN(2)/2)*V167*Y167*VLOOKUP('Données projet'!$B$9,Paramètres!$A$1:$I$89,3,0)*0.475*44/12</f>
        <v>4.1940652437748728E-20</v>
      </c>
      <c r="AC167" s="24">
        <f t="shared" si="163"/>
        <v>7.5626156581862725E-2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-2.8421709430404007E-14</v>
      </c>
      <c r="AJ167" s="14">
        <f>AI167*VLOOKUP('Données projet'!$B$10,Paramètres!$A$1:$I$89,3,0)*VLOOKUP('Données projet'!$B$10,Paramètres!$A$1:$I$89,5,0)</f>
        <v>-2.4829205358400945E-14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223.81948236065614</v>
      </c>
      <c r="AO167" s="62">
        <f t="shared" si="144"/>
        <v>320.1204011431372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0.21629429795039881</v>
      </c>
      <c r="AV167" s="23">
        <f>EXP(-LN(2)/25)*AV166+(1-EXP(-LN(2)/25))/(LN(2)/25)*Calculateur!AQ167*Calculateur!AS167*VLOOKUP('Données projet'!$B$10,Paramètres!$A$1:$I$89,3,0)*0.475*44/12</f>
        <v>0.43079047141802829</v>
      </c>
      <c r="AW167" s="23">
        <f>EXP(-LN(2)/2)*AW166+(1-EXP(-LN(2)/2))/(LN(2)/2)*AQ167*AT167*VLOOKUP('Données projet'!$B$10,Paramètres!$A$1:$I$89,3,0)*0.475*44/12</f>
        <v>1.8817688570271023E-19</v>
      </c>
      <c r="AX167" s="23">
        <f t="shared" si="166"/>
        <v>0.64708476936842707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-4.5474735088646412E-13</v>
      </c>
      <c r="BE167" s="14">
        <f>BD167*VLOOKUP('Données projet'!$B$11,Paramètres!$A$1:$I$89,3,0)*VLOOKUP('Données projet'!$B$11,Paramètres!$A$1:$I$89,5,0)</f>
        <v>-2.7193891583010558E-13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216.94426559495264</v>
      </c>
      <c r="BJ167" s="62">
        <f t="shared" si="146"/>
        <v>225.33715877618704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0.31286534482263695</v>
      </c>
      <c r="BR167" s="23">
        <f>EXP(-LN(2)/2)*BR166+(1-EXP(-LN(2)/2))/(LN(2)/2)*BL167*BO167*VLOOKUP('Données projet'!$B$11,Paramètres!$A$1:$I$89,3,0)*0.475*44/12</f>
        <v>1.6079639704303053E-19</v>
      </c>
      <c r="BS167" s="24">
        <f t="shared" si="169"/>
        <v>0.31286534482263695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-1.0286385077051818E-13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237.22177246688199</v>
      </c>
      <c r="T168" s="62">
        <f t="shared" si="142"/>
        <v>149.27472147904302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7.355815535312496E-2</v>
      </c>
      <c r="AB168" s="23">
        <f>EXP(-LN(2)/2)*AB167+(1-EXP(-LN(2)/2))/(LN(2)/2)*V168*Y168*VLOOKUP('Données projet'!$B$9,Paramètres!$A$1:$I$89,3,0)*0.475*44/12</f>
        <v>2.965651974612023E-20</v>
      </c>
      <c r="AC168" s="24">
        <f t="shared" si="163"/>
        <v>7.355815535312496E-2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-2.8421709430404007E-14</v>
      </c>
      <c r="AJ168" s="14">
        <f>AI168*VLOOKUP('Données projet'!$B$10,Paramètres!$A$1:$I$89,3,0)*VLOOKUP('Données projet'!$B$10,Paramètres!$A$1:$I$89,5,0)</f>
        <v>-2.4829205358400945E-14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223.81948236065614</v>
      </c>
      <c r="AO168" s="62">
        <f t="shared" si="144"/>
        <v>320.1204011431372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0.21205289869408658</v>
      </c>
      <c r="AV168" s="23">
        <f>EXP(-LN(2)/25)*AV167+(1-EXP(-LN(2)/25))/(LN(2)/25)*Calculateur!AQ168*Calculateur!AS168*VLOOKUP('Données projet'!$B$10,Paramètres!$A$1:$I$89,3,0)*0.475*44/12</f>
        <v>0.41901048332281599</v>
      </c>
      <c r="AW168" s="23">
        <f>EXP(-LN(2)/2)*AW167+(1-EXP(-LN(2)/2))/(LN(2)/2)*AQ168*AT168*VLOOKUP('Données projet'!$B$10,Paramètres!$A$1:$I$89,3,0)*0.475*44/12</f>
        <v>1.3306115194295228E-19</v>
      </c>
      <c r="AX168" s="23">
        <f t="shared" si="166"/>
        <v>0.6310633820169026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-4.5474735088646412E-13</v>
      </c>
      <c r="BE168" s="14">
        <f>BD168*VLOOKUP('Données projet'!$B$11,Paramètres!$A$1:$I$89,3,0)*VLOOKUP('Données projet'!$B$11,Paramètres!$A$1:$I$89,5,0)</f>
        <v>-2.7193891583010558E-13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216.94426559495264</v>
      </c>
      <c r="BJ168" s="62">
        <f t="shared" si="146"/>
        <v>225.33715877618704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0.3043100255155885</v>
      </c>
      <c r="BR168" s="23">
        <f>EXP(-LN(2)/2)*BR167+(1-EXP(-LN(2)/2))/(LN(2)/2)*BL168*BO168*VLOOKUP('Données projet'!$B$11,Paramètres!$A$1:$I$89,3,0)*0.475*44/12</f>
        <v>1.137002227394914E-19</v>
      </c>
      <c r="BS168" s="24">
        <f t="shared" si="169"/>
        <v>0.3043100255155885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-1.0286385077051818E-13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237.22177246688199</v>
      </c>
      <c r="T169" s="62">
        <f t="shared" si="142"/>
        <v>149.27472147904302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7.1546703726738492E-2</v>
      </c>
      <c r="AB169" s="23">
        <f>EXP(-LN(2)/2)*AB168+(1-EXP(-LN(2)/2))/(LN(2)/2)*V169*Y169*VLOOKUP('Données projet'!$B$9,Paramètres!$A$1:$I$89,3,0)*0.475*44/12</f>
        <v>2.0970326218874364E-20</v>
      </c>
      <c r="AC169" s="24">
        <f t="shared" si="163"/>
        <v>7.1546703726738492E-2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-2.8421709430404007E-14</v>
      </c>
      <c r="AJ169" s="14">
        <f>AI169*VLOOKUP('Données projet'!$B$10,Paramètres!$A$1:$I$89,3,0)*VLOOKUP('Données projet'!$B$10,Paramètres!$A$1:$I$89,5,0)</f>
        <v>-2.4829205358400945E-14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223.81948236065614</v>
      </c>
      <c r="AO169" s="62">
        <f t="shared" si="144"/>
        <v>320.1204011431372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0.20789467069019255</v>
      </c>
      <c r="AV169" s="23">
        <f>EXP(-LN(2)/25)*AV168+(1-EXP(-LN(2)/25))/(LN(2)/25)*Calculateur!AQ169*Calculateur!AS169*VLOOKUP('Données projet'!$B$10,Paramètres!$A$1:$I$89,3,0)*0.475*44/12</f>
        <v>0.40755261962154993</v>
      </c>
      <c r="AW169" s="23">
        <f>EXP(-LN(2)/2)*AW168+(1-EXP(-LN(2)/2))/(LN(2)/2)*AQ169*AT169*VLOOKUP('Données projet'!$B$10,Paramètres!$A$1:$I$89,3,0)*0.475*44/12</f>
        <v>9.4088442851355113E-20</v>
      </c>
      <c r="AX169" s="23">
        <f t="shared" si="166"/>
        <v>0.6154472903117425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-4.5474735088646412E-13</v>
      </c>
      <c r="BE169" s="14">
        <f>BD169*VLOOKUP('Données projet'!$B$11,Paramètres!$A$1:$I$89,3,0)*VLOOKUP('Données projet'!$B$11,Paramètres!$A$1:$I$89,5,0)</f>
        <v>-2.7193891583010558E-13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216.94426559495264</v>
      </c>
      <c r="BJ169" s="62">
        <f t="shared" si="146"/>
        <v>225.33715877618704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0.29598865186489598</v>
      </c>
      <c r="BR169" s="23">
        <f>EXP(-LN(2)/2)*BR168+(1-EXP(-LN(2)/2))/(LN(2)/2)*BL169*BO169*VLOOKUP('Données projet'!$B$11,Paramètres!$A$1:$I$89,3,0)*0.475*44/12</f>
        <v>8.0398198521515263E-20</v>
      </c>
      <c r="BS169" s="24">
        <f t="shared" si="169"/>
        <v>0.29598865186489598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-1.0286385077051818E-13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237.22177246688199</v>
      </c>
      <c r="T170" s="62">
        <f t="shared" si="142"/>
        <v>149.27472147904302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6.9590255350853197E-2</v>
      </c>
      <c r="AB170" s="23">
        <f>EXP(-LN(2)/2)*AB169+(1-EXP(-LN(2)/2))/(LN(2)/2)*V170*Y170*VLOOKUP('Données projet'!$B$9,Paramètres!$A$1:$I$89,3,0)*0.475*44/12</f>
        <v>1.4828259873060115E-20</v>
      </c>
      <c r="AC170" s="24">
        <f t="shared" si="163"/>
        <v>6.9590255350853197E-2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-2.8421709430404007E-14</v>
      </c>
      <c r="AJ170" s="14">
        <f>AI170*VLOOKUP('Données projet'!$B$10,Paramètres!$A$1:$I$89,3,0)*VLOOKUP('Données projet'!$B$10,Paramètres!$A$1:$I$89,5,0)</f>
        <v>-2.4829205358400945E-14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223.81948236065614</v>
      </c>
      <c r="AO170" s="62">
        <f t="shared" si="144"/>
        <v>320.1204011431372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0.2038179830011862</v>
      </c>
      <c r="AV170" s="23">
        <f>EXP(-LN(2)/25)*AV169+(1-EXP(-LN(2)/25))/(LN(2)/25)*Calculateur!AQ170*Calculateur!AS170*VLOOKUP('Données projet'!$B$10,Paramètres!$A$1:$I$89,3,0)*0.475*44/12</f>
        <v>0.39640807180573784</v>
      </c>
      <c r="AW170" s="23">
        <f>EXP(-LN(2)/2)*AW169+(1-EXP(-LN(2)/2))/(LN(2)/2)*AQ170*AT170*VLOOKUP('Données projet'!$B$10,Paramètres!$A$1:$I$89,3,0)*0.475*44/12</f>
        <v>6.653057597147614E-20</v>
      </c>
      <c r="AX170" s="23">
        <f t="shared" si="166"/>
        <v>0.60022605480692404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-4.5474735088646412E-13</v>
      </c>
      <c r="BE170" s="14">
        <f>BD170*VLOOKUP('Données projet'!$B$11,Paramètres!$A$1:$I$89,3,0)*VLOOKUP('Données projet'!$B$11,Paramètres!$A$1:$I$89,5,0)</f>
        <v>-2.7193891583010558E-13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216.94426559495264</v>
      </c>
      <c r="BJ170" s="62">
        <f t="shared" si="146"/>
        <v>225.33715877618704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0.28789482661428367</v>
      </c>
      <c r="BR170" s="23">
        <f>EXP(-LN(2)/2)*BR169+(1-EXP(-LN(2)/2))/(LN(2)/2)*BL170*BO170*VLOOKUP('Données projet'!$B$11,Paramètres!$A$1:$I$89,3,0)*0.475*44/12</f>
        <v>5.6850111369745701E-20</v>
      </c>
      <c r="BS170" s="24">
        <f t="shared" si="169"/>
        <v>0.28789482661428367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-1.0286385077051818E-13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237.22177246688199</v>
      </c>
      <c r="T171" s="62">
        <f t="shared" si="142"/>
        <v>149.27472147904302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6.7687306158691632E-2</v>
      </c>
      <c r="AB171" s="23">
        <f>EXP(-LN(2)/2)*AB170+(1-EXP(-LN(2)/2))/(LN(2)/2)*V171*Y171*VLOOKUP('Données projet'!$B$9,Paramètres!$A$1:$I$89,3,0)*0.475*44/12</f>
        <v>1.0485163109437182E-20</v>
      </c>
      <c r="AC171" s="24">
        <f t="shared" si="163"/>
        <v>6.7687306158691632E-2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-2.8421709430404007E-14</v>
      </c>
      <c r="AJ171" s="14">
        <f>AI171*VLOOKUP('Données projet'!$B$10,Paramètres!$A$1:$I$89,3,0)*VLOOKUP('Données projet'!$B$10,Paramètres!$A$1:$I$89,5,0)</f>
        <v>-2.4829205358400945E-14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223.81948236065614</v>
      </c>
      <c r="AO171" s="62">
        <f t="shared" si="144"/>
        <v>320.1204011431372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0.19982123667122731</v>
      </c>
      <c r="AV171" s="23">
        <f>EXP(-LN(2)/25)*AV170+(1-EXP(-LN(2)/25))/(LN(2)/25)*Calculateur!AQ171*Calculateur!AS171*VLOOKUP('Données projet'!$B$10,Paramètres!$A$1:$I$89,3,0)*0.475*44/12</f>
        <v>0.38556827223601542</v>
      </c>
      <c r="AW171" s="23">
        <f>EXP(-LN(2)/2)*AW170+(1-EXP(-LN(2)/2))/(LN(2)/2)*AQ171*AT171*VLOOKUP('Données projet'!$B$10,Paramètres!$A$1:$I$89,3,0)*0.475*44/12</f>
        <v>4.7044221425677556E-20</v>
      </c>
      <c r="AX171" s="23">
        <f t="shared" si="166"/>
        <v>0.58538950890724273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-4.5474735088646412E-13</v>
      </c>
      <c r="BE171" s="14">
        <f>BD171*VLOOKUP('Données projet'!$B$11,Paramètres!$A$1:$I$89,3,0)*VLOOKUP('Données projet'!$B$11,Paramètres!$A$1:$I$89,5,0)</f>
        <v>-2.7193891583010558E-13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216.94426559495264</v>
      </c>
      <c r="BJ171" s="62">
        <f t="shared" si="146"/>
        <v>225.33715877618704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0.28002232744078515</v>
      </c>
      <c r="BR171" s="23">
        <f>EXP(-LN(2)/2)*BR170+(1-EXP(-LN(2)/2))/(LN(2)/2)*BL171*BO171*VLOOKUP('Données projet'!$B$11,Paramètres!$A$1:$I$89,3,0)*0.475*44/12</f>
        <v>4.0199099260757632E-20</v>
      </c>
      <c r="BS171" s="24">
        <f t="shared" si="169"/>
        <v>0.28002232744078515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-1.0286385077051818E-13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237.22177246688199</v>
      </c>
      <c r="T172" s="62">
        <f t="shared" si="142"/>
        <v>149.27472147904302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6.5836393212261479E-2</v>
      </c>
      <c r="AB172" s="23">
        <f>EXP(-LN(2)/2)*AB171+(1-EXP(-LN(2)/2))/(LN(2)/2)*V172*Y172*VLOOKUP('Données projet'!$B$9,Paramètres!$A$1:$I$89,3,0)*0.475*44/12</f>
        <v>7.4141299365300576E-21</v>
      </c>
      <c r="AC172" s="24">
        <f t="shared" si="163"/>
        <v>6.5836393212261479E-2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-2.8421709430404007E-14</v>
      </c>
      <c r="AJ172" s="14">
        <f>AI172*VLOOKUP('Données projet'!$B$10,Paramètres!$A$1:$I$89,3,0)*VLOOKUP('Données projet'!$B$10,Paramètres!$A$1:$I$89,5,0)</f>
        <v>-2.4829205358400945E-14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223.81948236065614</v>
      </c>
      <c r="AO172" s="62">
        <f t="shared" si="144"/>
        <v>320.1204011431372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0.19590286409902435</v>
      </c>
      <c r="AV172" s="23">
        <f>EXP(-LN(2)/25)*AV171+(1-EXP(-LN(2)/25))/(LN(2)/25)*Calculateur!AQ172*Calculateur!AS172*VLOOKUP('Données projet'!$B$10,Paramètres!$A$1:$I$89,3,0)*0.475*44/12</f>
        <v>0.37502488755556734</v>
      </c>
      <c r="AW172" s="23">
        <f>EXP(-LN(2)/2)*AW171+(1-EXP(-LN(2)/2))/(LN(2)/2)*AQ172*AT172*VLOOKUP('Données projet'!$B$10,Paramètres!$A$1:$I$89,3,0)*0.475*44/12</f>
        <v>3.326528798573807E-20</v>
      </c>
      <c r="AX172" s="23">
        <f t="shared" si="166"/>
        <v>0.57092775165459164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-4.5474735088646412E-13</v>
      </c>
      <c r="BE172" s="14">
        <f>BD172*VLOOKUP('Données projet'!$B$11,Paramètres!$A$1:$I$89,3,0)*VLOOKUP('Données projet'!$B$11,Paramètres!$A$1:$I$89,5,0)</f>
        <v>-2.7193891583010558E-13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216.94426559495264</v>
      </c>
      <c r="BJ172" s="62">
        <f t="shared" si="146"/>
        <v>225.33715877618704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0.27236510217118265</v>
      </c>
      <c r="BR172" s="23">
        <f>EXP(-LN(2)/2)*BR171+(1-EXP(-LN(2)/2))/(LN(2)/2)*BL172*BO172*VLOOKUP('Données projet'!$B$11,Paramètres!$A$1:$I$89,3,0)*0.475*44/12</f>
        <v>2.842505568487285E-20</v>
      </c>
      <c r="BS172" s="24">
        <f t="shared" si="169"/>
        <v>0.27236510217118265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-1.0286385077051818E-13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237.22177246688199</v>
      </c>
      <c r="T173" s="62">
        <f t="shared" si="142"/>
        <v>149.27472147904302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6.4036093577686748E-2</v>
      </c>
      <c r="AB173" s="23">
        <f>EXP(-LN(2)/2)*AB172+(1-EXP(-LN(2)/2))/(LN(2)/2)*V173*Y173*VLOOKUP('Données projet'!$B$9,Paramètres!$A$1:$I$89,3,0)*0.475*44/12</f>
        <v>5.242581554718591E-21</v>
      </c>
      <c r="AC173" s="24">
        <f t="shared" si="163"/>
        <v>6.4036093577686748E-2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-2.8421709430404007E-14</v>
      </c>
      <c r="AJ173" s="14">
        <f>AI173*VLOOKUP('Données projet'!$B$10,Paramètres!$A$1:$I$89,3,0)*VLOOKUP('Données projet'!$B$10,Paramètres!$A$1:$I$89,5,0)</f>
        <v>-2.4829205358400945E-14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223.81948236065614</v>
      </c>
      <c r="AO173" s="62">
        <f t="shared" si="144"/>
        <v>320.1204011431372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0.19206132842299103</v>
      </c>
      <c r="AV173" s="23">
        <f>EXP(-LN(2)/25)*AV172+(1-EXP(-LN(2)/25))/(LN(2)/25)*Calculateur!AQ173*Calculateur!AS173*VLOOKUP('Données projet'!$B$10,Paramètres!$A$1:$I$89,3,0)*0.475*44/12</f>
        <v>0.36476981228365862</v>
      </c>
      <c r="AW173" s="23">
        <f>EXP(-LN(2)/2)*AW172+(1-EXP(-LN(2)/2))/(LN(2)/2)*AQ173*AT173*VLOOKUP('Données projet'!$B$10,Paramètres!$A$1:$I$89,3,0)*0.475*44/12</f>
        <v>2.3522110712838778E-20</v>
      </c>
      <c r="AX173" s="23">
        <f t="shared" si="166"/>
        <v>0.55683114070664963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-4.5474735088646412E-13</v>
      </c>
      <c r="BE173" s="14">
        <f>BD173*VLOOKUP('Données projet'!$B$11,Paramètres!$A$1:$I$89,3,0)*VLOOKUP('Données projet'!$B$11,Paramètres!$A$1:$I$89,5,0)</f>
        <v>-2.7193891583010558E-13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216.94426559495264</v>
      </c>
      <c r="BJ173" s="62">
        <f t="shared" si="146"/>
        <v>225.33715877618704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0.26491726412925343</v>
      </c>
      <c r="BR173" s="23">
        <f>EXP(-LN(2)/2)*BR172+(1-EXP(-LN(2)/2))/(LN(2)/2)*BL173*BO173*VLOOKUP('Données projet'!$B$11,Paramètres!$A$1:$I$89,3,0)*0.475*44/12</f>
        <v>2.0099549630378816E-20</v>
      </c>
      <c r="BS173" s="24">
        <f t="shared" si="169"/>
        <v>0.26491726412925343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-1.0286385077051818E-13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237.22177246688199</v>
      </c>
      <c r="T174" s="62">
        <f t="shared" si="142"/>
        <v>149.27472147904302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6.2285023231293098E-2</v>
      </c>
      <c r="AB174" s="23">
        <f>EXP(-LN(2)/2)*AB173+(1-EXP(-LN(2)/2))/(LN(2)/2)*V174*Y174*VLOOKUP('Données projet'!$B$9,Paramètres!$A$1:$I$89,3,0)*0.475*44/12</f>
        <v>3.7070649682650288E-21</v>
      </c>
      <c r="AC174" s="24">
        <f t="shared" si="163"/>
        <v>6.2285023231293098E-2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-2.8421709430404007E-14</v>
      </c>
      <c r="AJ174" s="14">
        <f>AI174*VLOOKUP('Données projet'!$B$10,Paramètres!$A$1:$I$89,3,0)*VLOOKUP('Données projet'!$B$10,Paramètres!$A$1:$I$89,5,0)</f>
        <v>-2.4829205358400945E-14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223.81948236065614</v>
      </c>
      <c r="AO174" s="62">
        <f t="shared" si="144"/>
        <v>320.1204011431372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0.18829512291845932</v>
      </c>
      <c r="AV174" s="23">
        <f>EXP(-LN(2)/25)*AV173+(1-EXP(-LN(2)/25))/(LN(2)/25)*Calculateur!AQ174*Calculateur!AS174*VLOOKUP('Données projet'!$B$10,Paramètres!$A$1:$I$89,3,0)*0.475*44/12</f>
        <v>0.35479516258435123</v>
      </c>
      <c r="AW174" s="23">
        <f>EXP(-LN(2)/2)*AW173+(1-EXP(-LN(2)/2))/(LN(2)/2)*AQ174*AT174*VLOOKUP('Données projet'!$B$10,Paramètres!$A$1:$I$89,3,0)*0.475*44/12</f>
        <v>1.6632643992869035E-20</v>
      </c>
      <c r="AX174" s="23">
        <f t="shared" si="166"/>
        <v>0.54309028550281058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-4.5474735088646412E-13</v>
      </c>
      <c r="BE174" s="14">
        <f>BD174*VLOOKUP('Données projet'!$B$11,Paramètres!$A$1:$I$89,3,0)*VLOOKUP('Données projet'!$B$11,Paramètres!$A$1:$I$89,5,0)</f>
        <v>-2.7193891583010558E-13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216.94426559495264</v>
      </c>
      <c r="BJ174" s="62">
        <f t="shared" si="146"/>
        <v>225.33715877618704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0.25767308761024554</v>
      </c>
      <c r="BR174" s="23">
        <f>EXP(-LN(2)/2)*BR173+(1-EXP(-LN(2)/2))/(LN(2)/2)*BL174*BO174*VLOOKUP('Données projet'!$B$11,Paramètres!$A$1:$I$89,3,0)*0.475*44/12</f>
        <v>1.4212527842436425E-20</v>
      </c>
      <c r="BS174" s="24">
        <f t="shared" si="169"/>
        <v>0.25767308761024554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-1.0286385077051818E-13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237.22177246688199</v>
      </c>
      <c r="T175" s="62">
        <f t="shared" si="142"/>
        <v>149.27472147904302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6.0581835995606369E-2</v>
      </c>
      <c r="AB175" s="23">
        <f>EXP(-LN(2)/2)*AB174+(1-EXP(-LN(2)/2))/(LN(2)/2)*V175*Y175*VLOOKUP('Données projet'!$B$9,Paramètres!$A$1:$I$89,3,0)*0.475*44/12</f>
        <v>2.6212907773592955E-21</v>
      </c>
      <c r="AC175" s="24">
        <f t="shared" si="163"/>
        <v>6.0581835995606369E-2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-2.8421709430404007E-14</v>
      </c>
      <c r="AJ175" s="14">
        <f>AI175*VLOOKUP('Données projet'!$B$10,Paramètres!$A$1:$I$89,3,0)*VLOOKUP('Données projet'!$B$10,Paramètres!$A$1:$I$89,5,0)</f>
        <v>-2.4829205358400945E-14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223.81948236065614</v>
      </c>
      <c r="AO175" s="62">
        <f t="shared" si="144"/>
        <v>320.1204011431372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0.18460277040671294</v>
      </c>
      <c r="AV175" s="23">
        <f>EXP(-LN(2)/25)*AV174+(1-EXP(-LN(2)/25))/(LN(2)/25)*Calculateur!AQ175*Calculateur!AS175*VLOOKUP('Données projet'!$B$10,Paramètres!$A$1:$I$89,3,0)*0.475*44/12</f>
        <v>0.34509327020561542</v>
      </c>
      <c r="AW175" s="23">
        <f>EXP(-LN(2)/2)*AW174+(1-EXP(-LN(2)/2))/(LN(2)/2)*AQ175*AT175*VLOOKUP('Données projet'!$B$10,Paramètres!$A$1:$I$89,3,0)*0.475*44/12</f>
        <v>1.1761055356419389E-20</v>
      </c>
      <c r="AX175" s="23">
        <f t="shared" si="166"/>
        <v>0.52969604061232833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-4.5474735088646412E-13</v>
      </c>
      <c r="BE175" s="14">
        <f>BD175*VLOOKUP('Données projet'!$B$11,Paramètres!$A$1:$I$89,3,0)*VLOOKUP('Données projet'!$B$11,Paramètres!$A$1:$I$89,5,0)</f>
        <v>-2.7193891583010558E-13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216.94426559495264</v>
      </c>
      <c r="BJ175" s="62">
        <f t="shared" si="146"/>
        <v>225.33715877618704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0.2506270034791046</v>
      </c>
      <c r="BR175" s="23">
        <f>EXP(-LN(2)/2)*BR174+(1-EXP(-LN(2)/2))/(LN(2)/2)*BL175*BO175*VLOOKUP('Données projet'!$B$11,Paramètres!$A$1:$I$89,3,0)*0.475*44/12</f>
        <v>1.0049774815189408E-20</v>
      </c>
      <c r="BS175" s="24">
        <f t="shared" si="169"/>
        <v>0.2506270034791046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-1.0286385077051818E-13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237.22177246688199</v>
      </c>
      <c r="T176" s="62">
        <f t="shared" si="142"/>
        <v>149.27472147904302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5.892522250444622E-2</v>
      </c>
      <c r="AB176" s="23">
        <f>EXP(-LN(2)/2)*AB175+(1-EXP(-LN(2)/2))/(LN(2)/2)*V176*Y176*VLOOKUP('Données projet'!$B$9,Paramètres!$A$1:$I$89,3,0)*0.475*44/12</f>
        <v>1.8535324841325144E-21</v>
      </c>
      <c r="AC176" s="24">
        <f t="shared" si="163"/>
        <v>5.892522250444622E-2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-2.8421709430404007E-14</v>
      </c>
      <c r="AJ176" s="14">
        <f>AI176*VLOOKUP('Données projet'!$B$10,Paramètres!$A$1:$I$89,3,0)*VLOOKUP('Données projet'!$B$10,Paramètres!$A$1:$I$89,5,0)</f>
        <v>-2.4829205358400945E-14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223.81948236065614</v>
      </c>
      <c r="AO176" s="62">
        <f t="shared" si="144"/>
        <v>320.1204011431372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0.18098282267560925</v>
      </c>
      <c r="AV176" s="23">
        <f>EXP(-LN(2)/25)*AV175+(1-EXP(-LN(2)/25))/(LN(2)/25)*Calculateur!AQ176*Calculateur!AS176*VLOOKUP('Données projet'!$B$10,Paramètres!$A$1:$I$89,3,0)*0.475*44/12</f>
        <v>0.33565667658417653</v>
      </c>
      <c r="AW176" s="23">
        <f>EXP(-LN(2)/2)*AW175+(1-EXP(-LN(2)/2))/(LN(2)/2)*AQ176*AT176*VLOOKUP('Données projet'!$B$10,Paramètres!$A$1:$I$89,3,0)*0.475*44/12</f>
        <v>8.3163219964345175E-21</v>
      </c>
      <c r="AX176" s="23">
        <f t="shared" si="166"/>
        <v>0.51663949925978581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-4.5474735088646412E-13</v>
      </c>
      <c r="BE176" s="14">
        <f>BD176*VLOOKUP('Données projet'!$B$11,Paramètres!$A$1:$I$89,3,0)*VLOOKUP('Données projet'!$B$11,Paramètres!$A$1:$I$89,5,0)</f>
        <v>-2.7193891583010558E-13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216.94426559495264</v>
      </c>
      <c r="BJ176" s="62">
        <f t="shared" si="146"/>
        <v>225.33715877618704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0.24377359488906719</v>
      </c>
      <c r="BR176" s="23">
        <f>EXP(-LN(2)/2)*BR175+(1-EXP(-LN(2)/2))/(LN(2)/2)*BL176*BO176*VLOOKUP('Données projet'!$B$11,Paramètres!$A$1:$I$89,3,0)*0.475*44/12</f>
        <v>7.1062639212182126E-21</v>
      </c>
      <c r="BS176" s="24">
        <f t="shared" si="169"/>
        <v>0.24377359488906719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-1.0286385077051818E-13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237.22177246688199</v>
      </c>
      <c r="T177" s="62">
        <f t="shared" si="142"/>
        <v>149.27472147904302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5.731390919631936E-2</v>
      </c>
      <c r="AB177" s="23">
        <f>EXP(-LN(2)/2)*AB176+(1-EXP(-LN(2)/2))/(LN(2)/2)*V177*Y177*VLOOKUP('Données projet'!$B$9,Paramètres!$A$1:$I$89,3,0)*0.475*44/12</f>
        <v>1.3106453886796478E-21</v>
      </c>
      <c r="AC177" s="24">
        <f t="shared" si="163"/>
        <v>5.731390919631936E-2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-2.8421709430404007E-14</v>
      </c>
      <c r="AJ177" s="14">
        <f>AI177*VLOOKUP('Données projet'!$B$10,Paramètres!$A$1:$I$89,3,0)*VLOOKUP('Données projet'!$B$10,Paramètres!$A$1:$I$89,5,0)</f>
        <v>-2.4829205358400945E-14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223.81948236065614</v>
      </c>
      <c r="AO177" s="62">
        <f t="shared" si="144"/>
        <v>320.1204011431372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0.17743385991156241</v>
      </c>
      <c r="AV177" s="23">
        <f>EXP(-LN(2)/25)*AV176+(1-EXP(-LN(2)/25))/(LN(2)/25)*Calculateur!AQ177*Calculateur!AS177*VLOOKUP('Données projet'!$B$10,Paramètres!$A$1:$I$89,3,0)*0.475*44/12</f>
        <v>0.32647812711156476</v>
      </c>
      <c r="AW177" s="23">
        <f>EXP(-LN(2)/2)*AW176+(1-EXP(-LN(2)/2))/(LN(2)/2)*AQ177*AT177*VLOOKUP('Données projet'!$B$10,Paramètres!$A$1:$I$89,3,0)*0.475*44/12</f>
        <v>5.8805276782096946E-21</v>
      </c>
      <c r="AX177" s="23">
        <f t="shared" si="166"/>
        <v>0.50391198702312723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-4.5474735088646412E-13</v>
      </c>
      <c r="BE177" s="14">
        <f>BD177*VLOOKUP('Données projet'!$B$11,Paramètres!$A$1:$I$89,3,0)*VLOOKUP('Données projet'!$B$11,Paramètres!$A$1:$I$89,5,0)</f>
        <v>-2.7193891583010558E-13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216.94426559495264</v>
      </c>
      <c r="BJ177" s="62">
        <f t="shared" si="146"/>
        <v>225.33715877618704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0.23710759311732946</v>
      </c>
      <c r="BR177" s="23">
        <f>EXP(-LN(2)/2)*BR176+(1-EXP(-LN(2)/2))/(LN(2)/2)*BL177*BO177*VLOOKUP('Données projet'!$B$11,Paramètres!$A$1:$I$89,3,0)*0.475*44/12</f>
        <v>5.024887407594704E-21</v>
      </c>
      <c r="BS177" s="24">
        <f t="shared" si="169"/>
        <v>0.23710759311732946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-1.0286385077051818E-13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237.22177246688199</v>
      </c>
      <c r="T178" s="62">
        <f t="shared" si="142"/>
        <v>149.27472147904302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5.5746657335338512E-2</v>
      </c>
      <c r="AB178" s="23">
        <f>EXP(-LN(2)/2)*AB177+(1-EXP(-LN(2)/2))/(LN(2)/2)*V178*Y178*VLOOKUP('Données projet'!$B$9,Paramètres!$A$1:$I$89,3,0)*0.475*44/12</f>
        <v>9.267662420662572E-22</v>
      </c>
      <c r="AC178" s="24">
        <f t="shared" si="163"/>
        <v>5.5746657335338512E-2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-2.8421709430404007E-14</v>
      </c>
      <c r="AJ178" s="14">
        <f>AI178*VLOOKUP('Données projet'!$B$10,Paramètres!$A$1:$I$89,3,0)*VLOOKUP('Données projet'!$B$10,Paramètres!$A$1:$I$89,5,0)</f>
        <v>-2.4829205358400945E-14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223.81948236065614</v>
      </c>
      <c r="AO178" s="62">
        <f t="shared" si="144"/>
        <v>320.1204011431372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0.17395449014266498</v>
      </c>
      <c r="AV178" s="23">
        <f>EXP(-LN(2)/25)*AV177+(1-EXP(-LN(2)/25))/(LN(2)/25)*Calculateur!AQ178*Calculateur!AS178*VLOOKUP('Données projet'!$B$10,Paramètres!$A$1:$I$89,3,0)*0.475*44/12</f>
        <v>0.31755056555696048</v>
      </c>
      <c r="AW178" s="23">
        <f>EXP(-LN(2)/2)*AW177+(1-EXP(-LN(2)/2))/(LN(2)/2)*AQ178*AT178*VLOOKUP('Données projet'!$B$10,Paramètres!$A$1:$I$89,3,0)*0.475*44/12</f>
        <v>4.1581609982172588E-21</v>
      </c>
      <c r="AX178" s="23">
        <f t="shared" si="166"/>
        <v>0.49150505569962544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-4.5474735088646412E-13</v>
      </c>
      <c r="BE178" s="14">
        <f>BD178*VLOOKUP('Données projet'!$B$11,Paramètres!$A$1:$I$89,3,0)*VLOOKUP('Données projet'!$B$11,Paramètres!$A$1:$I$89,5,0)</f>
        <v>-2.7193891583010558E-13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216.94426559495264</v>
      </c>
      <c r="BJ178" s="62">
        <f t="shared" si="146"/>
        <v>225.33715877618704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0.23062387351458968</v>
      </c>
      <c r="BR178" s="23">
        <f>EXP(-LN(2)/2)*BR177+(1-EXP(-LN(2)/2))/(LN(2)/2)*BL178*BO178*VLOOKUP('Données projet'!$B$11,Paramètres!$A$1:$I$89,3,0)*0.475*44/12</f>
        <v>3.5531319606091063E-21</v>
      </c>
      <c r="BS178" s="24">
        <f t="shared" si="169"/>
        <v>0.23062387351458968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-1.0286385077051818E-13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237.22177246688199</v>
      </c>
      <c r="T179" s="62">
        <f t="shared" si="142"/>
        <v>149.27472147904302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5.4222262058914381E-2</v>
      </c>
      <c r="AB179" s="23">
        <f>EXP(-LN(2)/2)*AB178+(1-EXP(-LN(2)/2))/(LN(2)/2)*V179*Y179*VLOOKUP('Données projet'!$B$9,Paramètres!$A$1:$I$89,3,0)*0.475*44/12</f>
        <v>6.5532269433982388E-22</v>
      </c>
      <c r="AC179" s="24">
        <f t="shared" si="163"/>
        <v>5.4222262058914381E-2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-2.8421709430404007E-14</v>
      </c>
      <c r="AJ179" s="14">
        <f>AI179*VLOOKUP('Données projet'!$B$10,Paramètres!$A$1:$I$89,3,0)*VLOOKUP('Données projet'!$B$10,Paramètres!$A$1:$I$89,5,0)</f>
        <v>-2.4829205358400945E-14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223.81948236065614</v>
      </c>
      <c r="AO179" s="62">
        <f t="shared" si="144"/>
        <v>320.1204011431372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0.17054334869272963</v>
      </c>
      <c r="AV179" s="23">
        <f>EXP(-LN(2)/25)*AV178+(1-EXP(-LN(2)/25))/(LN(2)/25)*Calculateur!AQ179*Calculateur!AS179*VLOOKUP('Données projet'!$B$10,Paramètres!$A$1:$I$89,3,0)*0.475*44/12</f>
        <v>0.30886712864254695</v>
      </c>
      <c r="AW179" s="23">
        <f>EXP(-LN(2)/2)*AW178+(1-EXP(-LN(2)/2))/(LN(2)/2)*AQ179*AT179*VLOOKUP('Données projet'!$B$10,Paramètres!$A$1:$I$89,3,0)*0.475*44/12</f>
        <v>2.9402638391048473E-21</v>
      </c>
      <c r="AX179" s="23">
        <f t="shared" si="166"/>
        <v>0.47941047733527659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-4.5474735088646412E-13</v>
      </c>
      <c r="BE179" s="14">
        <f>BD179*VLOOKUP('Données projet'!$B$11,Paramètres!$A$1:$I$89,3,0)*VLOOKUP('Données projet'!$B$11,Paramètres!$A$1:$I$89,5,0)</f>
        <v>-2.7193891583010558E-13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216.94426559495264</v>
      </c>
      <c r="BJ179" s="62">
        <f t="shared" si="146"/>
        <v>225.33715877618704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0.22431745156535082</v>
      </c>
      <c r="BR179" s="23">
        <f>EXP(-LN(2)/2)*BR178+(1-EXP(-LN(2)/2))/(LN(2)/2)*BL179*BO179*VLOOKUP('Données projet'!$B$11,Paramètres!$A$1:$I$89,3,0)*0.475*44/12</f>
        <v>2.512443703797352E-21</v>
      </c>
      <c r="BS179" s="24">
        <f t="shared" si="169"/>
        <v>0.22431745156535082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-1.0286385077051818E-13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237.22177246688199</v>
      </c>
      <c r="T180" s="62">
        <f t="shared" si="142"/>
        <v>149.27472147904302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5.273955145148853E-2</v>
      </c>
      <c r="AB180" s="23">
        <f>EXP(-LN(2)/2)*AB179+(1-EXP(-LN(2)/2))/(LN(2)/2)*V180*Y180*VLOOKUP('Données projet'!$B$9,Paramètres!$A$1:$I$89,3,0)*0.475*44/12</f>
        <v>4.633831210331286E-22</v>
      </c>
      <c r="AC180" s="24">
        <f t="shared" si="163"/>
        <v>5.273955145148853E-2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-2.8421709430404007E-14</v>
      </c>
      <c r="AJ180" s="14">
        <f>AI180*VLOOKUP('Données projet'!$B$10,Paramètres!$A$1:$I$89,3,0)*VLOOKUP('Données projet'!$B$10,Paramètres!$A$1:$I$89,5,0)</f>
        <v>-2.4829205358400945E-14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223.81948236065614</v>
      </c>
      <c r="AO180" s="62">
        <f t="shared" si="144"/>
        <v>320.1204011431372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0.16719909764603666</v>
      </c>
      <c r="AV180" s="23">
        <f>EXP(-LN(2)/25)*AV179+(1-EXP(-LN(2)/25))/(LN(2)/25)*Calculateur!AQ180*Calculateur!AS180*VLOOKUP('Données projet'!$B$10,Paramètres!$A$1:$I$89,3,0)*0.475*44/12</f>
        <v>0.30042114076720011</v>
      </c>
      <c r="AW180" s="23">
        <f>EXP(-LN(2)/2)*AW179+(1-EXP(-LN(2)/2))/(LN(2)/2)*AQ180*AT180*VLOOKUP('Données projet'!$B$10,Paramètres!$A$1:$I$89,3,0)*0.475*44/12</f>
        <v>2.0790804991086294E-21</v>
      </c>
      <c r="AX180" s="23">
        <f t="shared" si="166"/>
        <v>0.46762023841323674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-4.5474735088646412E-13</v>
      </c>
      <c r="BE180" s="14">
        <f>BD180*VLOOKUP('Données projet'!$B$11,Paramètres!$A$1:$I$89,3,0)*VLOOKUP('Données projet'!$B$11,Paramètres!$A$1:$I$89,5,0)</f>
        <v>-2.7193891583010558E-13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216.94426559495264</v>
      </c>
      <c r="BJ180" s="62">
        <f t="shared" si="146"/>
        <v>225.33715877618704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0.2181834790559542</v>
      </c>
      <c r="BR180" s="23">
        <f>EXP(-LN(2)/2)*BR179+(1-EXP(-LN(2)/2))/(LN(2)/2)*BL180*BO180*VLOOKUP('Données projet'!$B$11,Paramètres!$A$1:$I$89,3,0)*0.475*44/12</f>
        <v>1.7765659803045531E-21</v>
      </c>
      <c r="BS180" s="24">
        <f t="shared" si="169"/>
        <v>0.2181834790559542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-1.0286385077051818E-13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237.22177246688199</v>
      </c>
      <c r="T181" s="62">
        <f t="shared" si="142"/>
        <v>149.27472147904302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5.1297385643595102E-2</v>
      </c>
      <c r="AB181" s="23">
        <f>EXP(-LN(2)/2)*AB180+(1-EXP(-LN(2)/2))/(LN(2)/2)*V181*Y181*VLOOKUP('Données projet'!$B$9,Paramètres!$A$1:$I$89,3,0)*0.475*44/12</f>
        <v>3.2766134716991194E-22</v>
      </c>
      <c r="AC181" s="24">
        <f t="shared" si="163"/>
        <v>5.1297385643595102E-2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-2.8421709430404007E-14</v>
      </c>
      <c r="AJ181" s="14">
        <f>AI181*VLOOKUP('Données projet'!$B$10,Paramètres!$A$1:$I$89,3,0)*VLOOKUP('Données projet'!$B$10,Paramètres!$A$1:$I$89,5,0)</f>
        <v>-2.4829205358400945E-14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223.81948236065614</v>
      </c>
      <c r="AO181" s="62">
        <f t="shared" si="144"/>
        <v>320.1204011431372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0.16392042532257761</v>
      </c>
      <c r="AV181" s="23">
        <f>EXP(-LN(2)/25)*AV180+(1-EXP(-LN(2)/25))/(LN(2)/25)*Calculateur!AQ181*Calculateur!AS181*VLOOKUP('Données projet'!$B$10,Paramètres!$A$1:$I$89,3,0)*0.475*44/12</f>
        <v>0.29220610887445986</v>
      </c>
      <c r="AW181" s="23">
        <f>EXP(-LN(2)/2)*AW180+(1-EXP(-LN(2)/2))/(LN(2)/2)*AQ181*AT181*VLOOKUP('Données projet'!$B$10,Paramètres!$A$1:$I$89,3,0)*0.475*44/12</f>
        <v>1.4701319195524236E-21</v>
      </c>
      <c r="AX181" s="23">
        <f t="shared" si="166"/>
        <v>0.45612653419703747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-4.5474735088646412E-13</v>
      </c>
      <c r="BE181" s="14">
        <f>BD181*VLOOKUP('Données projet'!$B$11,Paramètres!$A$1:$I$89,3,0)*VLOOKUP('Données projet'!$B$11,Paramètres!$A$1:$I$89,5,0)</f>
        <v>-2.7193891583010558E-13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216.94426559495264</v>
      </c>
      <c r="BJ181" s="62">
        <f t="shared" si="146"/>
        <v>225.33715877618704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0.21221724034739864</v>
      </c>
      <c r="BR181" s="23">
        <f>EXP(-LN(2)/2)*BR180+(1-EXP(-LN(2)/2))/(LN(2)/2)*BL181*BO181*VLOOKUP('Données projet'!$B$11,Paramètres!$A$1:$I$89,3,0)*0.475*44/12</f>
        <v>1.256221851898676E-21</v>
      </c>
      <c r="BS181" s="24">
        <f t="shared" si="169"/>
        <v>0.21221724034739864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-1.0286385077051818E-13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237.22177246688199</v>
      </c>
      <c r="T182" s="62">
        <f t="shared" si="142"/>
        <v>149.27472147904302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4.9894655935558724E-2</v>
      </c>
      <c r="AB182" s="23">
        <f>EXP(-LN(2)/2)*AB181+(1-EXP(-LN(2)/2))/(LN(2)/2)*V182*Y182*VLOOKUP('Données projet'!$B$9,Paramètres!$A$1:$I$89,3,0)*0.475*44/12</f>
        <v>2.316915605165643E-22</v>
      </c>
      <c r="AC182" s="24">
        <f t="shared" si="163"/>
        <v>4.9894655935558724E-2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-2.8421709430404007E-14</v>
      </c>
      <c r="AJ182" s="14">
        <f>AI182*VLOOKUP('Données projet'!$B$10,Paramètres!$A$1:$I$89,3,0)*VLOOKUP('Données projet'!$B$10,Paramètres!$A$1:$I$89,5,0)</f>
        <v>-2.4829205358400945E-14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223.81948236065614</v>
      </c>
      <c r="AO182" s="62">
        <f t="shared" si="144"/>
        <v>320.1204011431372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0.16070604576358896</v>
      </c>
      <c r="AV182" s="23">
        <f>EXP(-LN(2)/25)*AV181+(1-EXP(-LN(2)/25))/(LN(2)/25)*Calculateur!AQ182*Calculateur!AS182*VLOOKUP('Données projet'!$B$10,Paramètres!$A$1:$I$89,3,0)*0.475*44/12</f>
        <v>0.28421571746083635</v>
      </c>
      <c r="AW182" s="23">
        <f>EXP(-LN(2)/2)*AW181+(1-EXP(-LN(2)/2))/(LN(2)/2)*AQ182*AT182*VLOOKUP('Données projet'!$B$10,Paramètres!$A$1:$I$89,3,0)*0.475*44/12</f>
        <v>1.0395402495543147E-21</v>
      </c>
      <c r="AX182" s="23">
        <f t="shared" si="166"/>
        <v>0.44492176322442534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-4.5474735088646412E-13</v>
      </c>
      <c r="BE182" s="14">
        <f>BD182*VLOOKUP('Données projet'!$B$11,Paramètres!$A$1:$I$89,3,0)*VLOOKUP('Données projet'!$B$11,Paramètres!$A$1:$I$89,5,0)</f>
        <v>-2.7193891583010558E-13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216.94426559495264</v>
      </c>
      <c r="BJ182" s="62">
        <f t="shared" si="146"/>
        <v>225.33715877618704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0.20641414875007938</v>
      </c>
      <c r="BR182" s="23">
        <f>EXP(-LN(2)/2)*BR181+(1-EXP(-LN(2)/2))/(LN(2)/2)*BL182*BO182*VLOOKUP('Données projet'!$B$11,Paramètres!$A$1:$I$89,3,0)*0.475*44/12</f>
        <v>8.8828299015227657E-22</v>
      </c>
      <c r="BS182" s="24">
        <f t="shared" si="169"/>
        <v>0.20641414875007938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-1.0286385077051818E-13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237.22177246688199</v>
      </c>
      <c r="T183" s="62">
        <f t="shared" si="142"/>
        <v>149.27472147904302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4.8530283945154948E-2</v>
      </c>
      <c r="AB183" s="23">
        <f>EXP(-LN(2)/2)*AB182+(1-EXP(-LN(2)/2))/(LN(2)/2)*V183*Y183*VLOOKUP('Données projet'!$B$9,Paramètres!$A$1:$I$89,3,0)*0.475*44/12</f>
        <v>1.6383067358495597E-22</v>
      </c>
      <c r="AC183" s="24">
        <f t="shared" si="163"/>
        <v>4.8530283945154948E-2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-2.8421709430404007E-14</v>
      </c>
      <c r="AJ183" s="14">
        <f>AI183*VLOOKUP('Données projet'!$B$10,Paramètres!$A$1:$I$89,3,0)*VLOOKUP('Données projet'!$B$10,Paramètres!$A$1:$I$89,5,0)</f>
        <v>-2.4829205358400945E-14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223.81948236065614</v>
      </c>
      <c r="AO183" s="62">
        <f t="shared" si="144"/>
        <v>320.1204011431372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0.15755469822717413</v>
      </c>
      <c r="AV183" s="23">
        <f>EXP(-LN(2)/25)*AV182+(1-EXP(-LN(2)/25))/(LN(2)/25)*Calculateur!AQ183*Calculateur!AS183*VLOOKUP('Données projet'!$B$10,Paramètres!$A$1:$I$89,3,0)*0.475*44/12</f>
        <v>0.27644382372061477</v>
      </c>
      <c r="AW183" s="23">
        <f>EXP(-LN(2)/2)*AW182+(1-EXP(-LN(2)/2))/(LN(2)/2)*AQ183*AT183*VLOOKUP('Données projet'!$B$10,Paramètres!$A$1:$I$89,3,0)*0.475*44/12</f>
        <v>7.3506595977621182E-22</v>
      </c>
      <c r="AX183" s="23">
        <f t="shared" si="166"/>
        <v>0.43399852194778887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-4.5474735088646412E-13</v>
      </c>
      <c r="BE183" s="14">
        <f>BD183*VLOOKUP('Données projet'!$B$11,Paramètres!$A$1:$I$89,3,0)*VLOOKUP('Données projet'!$B$11,Paramètres!$A$1:$I$89,5,0)</f>
        <v>-2.7193891583010558E-13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216.94426559495264</v>
      </c>
      <c r="BJ183" s="62">
        <f t="shared" si="146"/>
        <v>225.33715877618704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0.20076974299766015</v>
      </c>
      <c r="BR183" s="23">
        <f>EXP(-LN(2)/2)*BR182+(1-EXP(-LN(2)/2))/(LN(2)/2)*BL183*BO183*VLOOKUP('Données projet'!$B$11,Paramètres!$A$1:$I$89,3,0)*0.475*44/12</f>
        <v>6.2811092594933799E-22</v>
      </c>
      <c r="BS183" s="24">
        <f t="shared" si="169"/>
        <v>0.20076974299766015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-1.0286385077051818E-13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237.22177246688199</v>
      </c>
      <c r="T184" s="62">
        <f t="shared" si="142"/>
        <v>149.27472147904302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4.720322077857797E-2</v>
      </c>
      <c r="AB184" s="23">
        <f>EXP(-LN(2)/2)*AB183+(1-EXP(-LN(2)/2))/(LN(2)/2)*V184*Y184*VLOOKUP('Données projet'!$B$9,Paramètres!$A$1:$I$89,3,0)*0.475*44/12</f>
        <v>1.1584578025828215E-22</v>
      </c>
      <c r="AC184" s="24">
        <f t="shared" si="163"/>
        <v>4.720322077857797E-2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-2.8421709430404007E-14</v>
      </c>
      <c r="AJ184" s="14">
        <f>AI184*VLOOKUP('Données projet'!$B$10,Paramètres!$A$1:$I$89,3,0)*VLOOKUP('Données projet'!$B$10,Paramètres!$A$1:$I$89,5,0)</f>
        <v>-2.4829205358400945E-14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223.81948236065614</v>
      </c>
      <c r="AO184" s="62">
        <f t="shared" si="144"/>
        <v>320.1204011431372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0.1544651466938162</v>
      </c>
      <c r="AV184" s="23">
        <f>EXP(-LN(2)/25)*AV183+(1-EXP(-LN(2)/25))/(LN(2)/25)*Calculateur!AQ184*Calculateur!AS184*VLOOKUP('Données projet'!$B$10,Paramètres!$A$1:$I$89,3,0)*0.475*44/12</f>
        <v>0.26888445282342571</v>
      </c>
      <c r="AW184" s="23">
        <f>EXP(-LN(2)/2)*AW183+(1-EXP(-LN(2)/2))/(LN(2)/2)*AQ184*AT184*VLOOKUP('Données projet'!$B$10,Paramètres!$A$1:$I$89,3,0)*0.475*44/12</f>
        <v>5.1977012477715734E-22</v>
      </c>
      <c r="AX184" s="23">
        <f t="shared" si="166"/>
        <v>0.42334959951724194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-4.5474735088646412E-13</v>
      </c>
      <c r="BE184" s="14">
        <f>BD184*VLOOKUP('Données projet'!$B$11,Paramètres!$A$1:$I$89,3,0)*VLOOKUP('Données projet'!$B$11,Paramètres!$A$1:$I$89,5,0)</f>
        <v>-2.7193891583010558E-13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216.94426559495264</v>
      </c>
      <c r="BJ184" s="62">
        <f t="shared" si="146"/>
        <v>225.33715877618704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0.19527968381736721</v>
      </c>
      <c r="BR184" s="23">
        <f>EXP(-LN(2)/2)*BR183+(1-EXP(-LN(2)/2))/(LN(2)/2)*BL184*BO184*VLOOKUP('Données projet'!$B$11,Paramètres!$A$1:$I$89,3,0)*0.475*44/12</f>
        <v>4.4414149507613829E-22</v>
      </c>
      <c r="BS184" s="24">
        <f t="shared" si="169"/>
        <v>0.19527968381736721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-1.0286385077051818E-13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237.22177246688199</v>
      </c>
      <c r="T185" s="62">
        <f t="shared" si="142"/>
        <v>149.27472147904302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4.5912446224078259E-2</v>
      </c>
      <c r="AB185" s="23">
        <f>EXP(-LN(2)/2)*AB184+(1-EXP(-LN(2)/2))/(LN(2)/2)*V185*Y185*VLOOKUP('Données projet'!$B$9,Paramètres!$A$1:$I$89,3,0)*0.475*44/12</f>
        <v>8.1915336792477985E-23</v>
      </c>
      <c r="AC185" s="24">
        <f t="shared" si="163"/>
        <v>4.5912446224078259E-2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-2.8421709430404007E-14</v>
      </c>
      <c r="AJ185" s="14">
        <f>AI185*VLOOKUP('Données projet'!$B$10,Paramètres!$A$1:$I$89,3,0)*VLOOKUP('Données projet'!$B$10,Paramètres!$A$1:$I$89,5,0)</f>
        <v>-2.4829205358400945E-14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223.81948236065614</v>
      </c>
      <c r="AO185" s="62">
        <f t="shared" si="144"/>
        <v>320.1204011431372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0.15143617938158704</v>
      </c>
      <c r="AV185" s="23">
        <f>EXP(-LN(2)/25)*AV184+(1-EXP(-LN(2)/25))/(LN(2)/25)*Calculateur!AQ185*Calculateur!AS185*VLOOKUP('Données projet'!$B$10,Paramètres!$A$1:$I$89,3,0)*0.475*44/12</f>
        <v>0.26153179332095028</v>
      </c>
      <c r="AW185" s="23">
        <f>EXP(-LN(2)/2)*AW184+(1-EXP(-LN(2)/2))/(LN(2)/2)*AQ185*AT185*VLOOKUP('Données projet'!$B$10,Paramètres!$A$1:$I$89,3,0)*0.475*44/12</f>
        <v>3.6753297988810591E-22</v>
      </c>
      <c r="AX185" s="23">
        <f t="shared" si="166"/>
        <v>0.41296797270253732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-4.5474735088646412E-13</v>
      </c>
      <c r="BE185" s="14">
        <f>BD185*VLOOKUP('Données projet'!$B$11,Paramètres!$A$1:$I$89,3,0)*VLOOKUP('Données projet'!$B$11,Paramètres!$A$1:$I$89,5,0)</f>
        <v>-2.7193891583010558E-13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216.94426559495264</v>
      </c>
      <c r="BJ185" s="62">
        <f t="shared" si="146"/>
        <v>225.33715877618704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0.18993975059406906</v>
      </c>
      <c r="BR185" s="23">
        <f>EXP(-LN(2)/2)*BR184+(1-EXP(-LN(2)/2))/(LN(2)/2)*BL185*BO185*VLOOKUP('Données projet'!$B$11,Paramètres!$A$1:$I$89,3,0)*0.475*44/12</f>
        <v>3.14055462974669E-22</v>
      </c>
      <c r="BS185" s="24">
        <f t="shared" si="169"/>
        <v>0.18993975059406906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-1.0286385077051818E-13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237.22177246688199</v>
      </c>
      <c r="T186" s="62">
        <f t="shared" si="142"/>
        <v>149.27472147904302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4.4656967967650223E-2</v>
      </c>
      <c r="AB186" s="23">
        <f>EXP(-LN(2)/2)*AB185+(1-EXP(-LN(2)/2))/(LN(2)/2)*V186*Y186*VLOOKUP('Données projet'!$B$9,Paramètres!$A$1:$I$89,3,0)*0.475*44/12</f>
        <v>5.7922890129141075E-23</v>
      </c>
      <c r="AC186" s="24">
        <f t="shared" si="163"/>
        <v>4.4656967967650223E-2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-2.8421709430404007E-14</v>
      </c>
      <c r="AJ186" s="14">
        <f>AI186*VLOOKUP('Données projet'!$B$10,Paramètres!$A$1:$I$89,3,0)*VLOOKUP('Données projet'!$B$10,Paramètres!$A$1:$I$89,5,0)</f>
        <v>-2.4829205358400945E-14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223.81948236065614</v>
      </c>
      <c r="AO186" s="62">
        <f t="shared" si="144"/>
        <v>320.1204011431372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0.14846660827086305</v>
      </c>
      <c r="AV186" s="23">
        <f>EXP(-LN(2)/25)*AV185+(1-EXP(-LN(2)/25))/(LN(2)/25)*Calculateur!AQ186*Calculateur!AS186*VLOOKUP('Données projet'!$B$10,Paramètres!$A$1:$I$89,3,0)*0.475*44/12</f>
        <v>0.25438019267922962</v>
      </c>
      <c r="AW186" s="23">
        <f>EXP(-LN(2)/2)*AW185+(1-EXP(-LN(2)/2))/(LN(2)/2)*AQ186*AT186*VLOOKUP('Données projet'!$B$10,Paramètres!$A$1:$I$89,3,0)*0.475*44/12</f>
        <v>2.5988506238857867E-22</v>
      </c>
      <c r="AX186" s="23">
        <f t="shared" si="166"/>
        <v>0.40284680095009268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-4.5474735088646412E-13</v>
      </c>
      <c r="BE186" s="14">
        <f>BD186*VLOOKUP('Données projet'!$B$11,Paramètres!$A$1:$I$89,3,0)*VLOOKUP('Données projet'!$B$11,Paramètres!$A$1:$I$89,5,0)</f>
        <v>-2.7193891583010558E-13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216.94426559495264</v>
      </c>
      <c r="BJ186" s="62">
        <f t="shared" si="146"/>
        <v>225.33715877618704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0.18474583812557688</v>
      </c>
      <c r="BR186" s="23">
        <f>EXP(-LN(2)/2)*BR185+(1-EXP(-LN(2)/2))/(LN(2)/2)*BL186*BO186*VLOOKUP('Données projet'!$B$11,Paramètres!$A$1:$I$89,3,0)*0.475*44/12</f>
        <v>2.2207074753806914E-22</v>
      </c>
      <c r="BS186" s="24">
        <f t="shared" si="169"/>
        <v>0.18474583812557688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-1.0286385077051818E-13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237.22177246688199</v>
      </c>
      <c r="T187" s="62">
        <f t="shared" si="142"/>
        <v>149.27472147904302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4.3435820830166949E-2</v>
      </c>
      <c r="AB187" s="23">
        <f>EXP(-LN(2)/2)*AB186+(1-EXP(-LN(2)/2))/(LN(2)/2)*V187*Y187*VLOOKUP('Données projet'!$B$9,Paramètres!$A$1:$I$89,3,0)*0.475*44/12</f>
        <v>4.0957668396238992E-23</v>
      </c>
      <c r="AC187" s="24">
        <f t="shared" si="163"/>
        <v>4.3435820830166949E-2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-2.8421709430404007E-14</v>
      </c>
      <c r="AJ187" s="14">
        <f>AI187*VLOOKUP('Données projet'!$B$10,Paramètres!$A$1:$I$89,3,0)*VLOOKUP('Données projet'!$B$10,Paramètres!$A$1:$I$89,5,0)</f>
        <v>-2.4829205358400945E-14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223.81948236065614</v>
      </c>
      <c r="AO187" s="62">
        <f t="shared" si="144"/>
        <v>320.1204011431372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0.14555526863836085</v>
      </c>
      <c r="AV187" s="23">
        <f>EXP(-LN(2)/25)*AV186+(1-EXP(-LN(2)/25))/(LN(2)/25)*Calculateur!AQ187*Calculateur!AS187*VLOOKUP('Données projet'!$B$10,Paramètres!$A$1:$I$89,3,0)*0.475*44/12</f>
        <v>0.24742415293314315</v>
      </c>
      <c r="AW187" s="23">
        <f>EXP(-LN(2)/2)*AW186+(1-EXP(-LN(2)/2))/(LN(2)/2)*AQ187*AT187*VLOOKUP('Données projet'!$B$10,Paramètres!$A$1:$I$89,3,0)*0.475*44/12</f>
        <v>1.8376648994405295E-22</v>
      </c>
      <c r="AX187" s="23">
        <f t="shared" si="166"/>
        <v>0.39297942157150401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-4.5474735088646412E-13</v>
      </c>
      <c r="BE187" s="14">
        <f>BD187*VLOOKUP('Données projet'!$B$11,Paramètres!$A$1:$I$89,3,0)*VLOOKUP('Données projet'!$B$11,Paramètres!$A$1:$I$89,5,0)</f>
        <v>-2.7193891583010558E-13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216.94426559495264</v>
      </c>
      <c r="BJ187" s="62">
        <f t="shared" si="146"/>
        <v>225.33715877618704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0.17969395346667158</v>
      </c>
      <c r="BR187" s="23">
        <f>EXP(-LN(2)/2)*BR186+(1-EXP(-LN(2)/2))/(LN(2)/2)*BL187*BO187*VLOOKUP('Données projet'!$B$11,Paramètres!$A$1:$I$89,3,0)*0.475*44/12</f>
        <v>1.570277314873345E-22</v>
      </c>
      <c r="BS187" s="24">
        <f t="shared" si="169"/>
        <v>0.17969395346667158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-1.0286385077051818E-13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237.22177246688199</v>
      </c>
      <c r="T188" s="62">
        <f t="shared" si="142"/>
        <v>149.27472147904302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4.2248066025375487E-2</v>
      </c>
      <c r="AB188" s="23">
        <f>EXP(-LN(2)/2)*AB187+(1-EXP(-LN(2)/2))/(LN(2)/2)*V188*Y188*VLOOKUP('Données projet'!$B$9,Paramètres!$A$1:$I$89,3,0)*0.475*44/12</f>
        <v>2.8961445064570538E-23</v>
      </c>
      <c r="AC188" s="24">
        <f t="shared" si="163"/>
        <v>4.2248066025375487E-2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-2.8421709430404007E-14</v>
      </c>
      <c r="AJ188" s="14">
        <f>AI188*VLOOKUP('Données projet'!$B$10,Paramètres!$A$1:$I$89,3,0)*VLOOKUP('Données projet'!$B$10,Paramètres!$A$1:$I$89,5,0)</f>
        <v>-2.4829205358400945E-14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223.81948236065614</v>
      </c>
      <c r="AO188" s="62">
        <f t="shared" si="144"/>
        <v>320.1204011431372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0.14270101860031018</v>
      </c>
      <c r="AV188" s="23">
        <f>EXP(-LN(2)/25)*AV187+(1-EXP(-LN(2)/25))/(LN(2)/25)*Calculateur!AQ188*Calculateur!AS188*VLOOKUP('Données projet'!$B$10,Paramètres!$A$1:$I$89,3,0)*0.475*44/12</f>
        <v>0.24065832645971566</v>
      </c>
      <c r="AW188" s="23">
        <f>EXP(-LN(2)/2)*AW187+(1-EXP(-LN(2)/2))/(LN(2)/2)*AQ188*AT188*VLOOKUP('Données projet'!$B$10,Paramètres!$A$1:$I$89,3,0)*0.475*44/12</f>
        <v>1.2994253119428934E-22</v>
      </c>
      <c r="AX188" s="23">
        <f t="shared" si="166"/>
        <v>0.38335934506002584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-4.5474735088646412E-13</v>
      </c>
      <c r="BE188" s="14">
        <f>BD188*VLOOKUP('Données projet'!$B$11,Paramètres!$A$1:$I$89,3,0)*VLOOKUP('Données projet'!$B$11,Paramètres!$A$1:$I$89,5,0)</f>
        <v>-2.7193891583010558E-13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216.94426559495264</v>
      </c>
      <c r="BJ188" s="62">
        <f t="shared" si="146"/>
        <v>225.33715877618704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0.17478021285943113</v>
      </c>
      <c r="BR188" s="23">
        <f>EXP(-LN(2)/2)*BR187+(1-EXP(-LN(2)/2))/(LN(2)/2)*BL188*BO188*VLOOKUP('Données projet'!$B$11,Paramètres!$A$1:$I$89,3,0)*0.475*44/12</f>
        <v>1.1103537376903457E-22</v>
      </c>
      <c r="BS188" s="24">
        <f t="shared" si="169"/>
        <v>0.17478021285943113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-1.0286385077051818E-13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237.22177246688199</v>
      </c>
      <c r="T189" s="62">
        <f t="shared" si="142"/>
        <v>149.27472147904302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4.1092790438182362E-2</v>
      </c>
      <c r="AB189" s="23">
        <f>EXP(-LN(2)/2)*AB188+(1-EXP(-LN(2)/2))/(LN(2)/2)*V189*Y189*VLOOKUP('Données projet'!$B$9,Paramètres!$A$1:$I$89,3,0)*0.475*44/12</f>
        <v>2.0478834198119496E-23</v>
      </c>
      <c r="AC189" s="24">
        <f t="shared" si="163"/>
        <v>4.1092790438182362E-2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-2.8421709430404007E-14</v>
      </c>
      <c r="AJ189" s="14">
        <f>AI189*VLOOKUP('Données projet'!$B$10,Paramètres!$A$1:$I$89,3,0)*VLOOKUP('Données projet'!$B$10,Paramètres!$A$1:$I$89,5,0)</f>
        <v>-2.4829205358400945E-14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223.81948236065614</v>
      </c>
      <c r="AO189" s="62">
        <f t="shared" si="144"/>
        <v>320.1204011431372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0.13990273866458505</v>
      </c>
      <c r="AV189" s="23">
        <f>EXP(-LN(2)/25)*AV188+(1-EXP(-LN(2)/25))/(LN(2)/25)*Calculateur!AQ189*Calculateur!AS189*VLOOKUP('Données projet'!$B$10,Paramètres!$A$1:$I$89,3,0)*0.475*44/12</f>
        <v>0.23407751186700337</v>
      </c>
      <c r="AW189" s="23">
        <f>EXP(-LN(2)/2)*AW188+(1-EXP(-LN(2)/2))/(LN(2)/2)*AQ189*AT189*VLOOKUP('Données projet'!$B$10,Paramètres!$A$1:$I$89,3,0)*0.475*44/12</f>
        <v>9.1883244972026477E-23</v>
      </c>
      <c r="AX189" s="23">
        <f t="shared" si="166"/>
        <v>0.37398025053158845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-4.5474735088646412E-13</v>
      </c>
      <c r="BE189" s="14">
        <f>BD189*VLOOKUP('Données projet'!$B$11,Paramètres!$A$1:$I$89,3,0)*VLOOKUP('Données projet'!$B$11,Paramètres!$A$1:$I$89,5,0)</f>
        <v>-2.7193891583010558E-13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216.94426559495264</v>
      </c>
      <c r="BJ189" s="62">
        <f t="shared" si="146"/>
        <v>225.33715877618704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0.17000083874749805</v>
      </c>
      <c r="BR189" s="23">
        <f>EXP(-LN(2)/2)*BR188+(1-EXP(-LN(2)/2))/(LN(2)/2)*BL189*BO189*VLOOKUP('Données projet'!$B$11,Paramètres!$A$1:$I$89,3,0)*0.475*44/12</f>
        <v>7.8513865743667249E-23</v>
      </c>
      <c r="BS189" s="24">
        <f t="shared" si="169"/>
        <v>0.17000083874749805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-1.0286385077051818E-13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237.22177246688199</v>
      </c>
      <c r="T190" s="62">
        <f t="shared" si="142"/>
        <v>149.27472147904302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3.9969105922674338E-2</v>
      </c>
      <c r="AB190" s="23">
        <f>EXP(-LN(2)/2)*AB189+(1-EXP(-LN(2)/2))/(LN(2)/2)*V190*Y190*VLOOKUP('Données projet'!$B$9,Paramètres!$A$1:$I$89,3,0)*0.475*44/12</f>
        <v>1.4480722532285269E-23</v>
      </c>
      <c r="AC190" s="24">
        <f t="shared" si="163"/>
        <v>3.9969105922674338E-2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-2.8421709430404007E-14</v>
      </c>
      <c r="AJ190" s="14">
        <f>AI190*VLOOKUP('Données projet'!$B$10,Paramètres!$A$1:$I$89,3,0)*VLOOKUP('Données projet'!$B$10,Paramètres!$A$1:$I$89,5,0)</f>
        <v>-2.4829205358400945E-14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223.81948236065614</v>
      </c>
      <c r="AO190" s="62">
        <f t="shared" si="144"/>
        <v>320.1204011431372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0.13715933129161725</v>
      </c>
      <c r="AV190" s="23">
        <f>EXP(-LN(2)/25)*AV189+(1-EXP(-LN(2)/25))/(LN(2)/25)*Calculateur!AQ190*Calculateur!AS190*VLOOKUP('Données projet'!$B$10,Paramètres!$A$1:$I$89,3,0)*0.475*44/12</f>
        <v>0.2276766499953988</v>
      </c>
      <c r="AW190" s="23">
        <f>EXP(-LN(2)/2)*AW189+(1-EXP(-LN(2)/2))/(LN(2)/2)*AQ190*AT190*VLOOKUP('Données projet'!$B$10,Paramètres!$A$1:$I$89,3,0)*0.475*44/12</f>
        <v>6.4971265597144668E-23</v>
      </c>
      <c r="AX190" s="23">
        <f t="shared" si="166"/>
        <v>0.36483598128701605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-4.5474735088646412E-13</v>
      </c>
      <c r="BE190" s="14">
        <f>BD190*VLOOKUP('Données projet'!$B$11,Paramètres!$A$1:$I$89,3,0)*VLOOKUP('Données projet'!$B$11,Paramètres!$A$1:$I$89,5,0)</f>
        <v>-2.7193891583010558E-13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216.94426559495264</v>
      </c>
      <c r="BJ190" s="62">
        <f t="shared" si="146"/>
        <v>225.33715877618704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0.16535215687199215</v>
      </c>
      <c r="BR190" s="23">
        <f>EXP(-LN(2)/2)*BR189+(1-EXP(-LN(2)/2))/(LN(2)/2)*BL190*BO190*VLOOKUP('Données projet'!$B$11,Paramètres!$A$1:$I$89,3,0)*0.475*44/12</f>
        <v>5.5517686884517286E-23</v>
      </c>
      <c r="BS190" s="24">
        <f t="shared" si="169"/>
        <v>0.16535215687199215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-1.0286385077051818E-13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237.22177246688199</v>
      </c>
      <c r="T191" s="62">
        <f t="shared" si="142"/>
        <v>149.27472147904302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3.8876148619334881E-2</v>
      </c>
      <c r="AB191" s="23">
        <f>EXP(-LN(2)/2)*AB190+(1-EXP(-LN(2)/2))/(LN(2)/2)*V191*Y191*VLOOKUP('Données projet'!$B$9,Paramètres!$A$1:$I$89,3,0)*0.475*44/12</f>
        <v>1.0239417099059748E-23</v>
      </c>
      <c r="AC191" s="24">
        <f t="shared" si="163"/>
        <v>3.8876148619334881E-2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-2.8421709430404007E-14</v>
      </c>
      <c r="AJ191" s="14">
        <f>AI191*VLOOKUP('Données projet'!$B$10,Paramètres!$A$1:$I$89,3,0)*VLOOKUP('Données projet'!$B$10,Paramètres!$A$1:$I$89,5,0)</f>
        <v>-2.4829205358400945E-14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223.81948236065614</v>
      </c>
      <c r="AO191" s="62">
        <f t="shared" si="144"/>
        <v>320.1204011431372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0.13446972046392008</v>
      </c>
      <c r="AV191" s="23">
        <f>EXP(-LN(2)/25)*AV190+(1-EXP(-LN(2)/25))/(LN(2)/25)*Calculateur!AQ191*Calculateur!AS191*VLOOKUP('Données projet'!$B$10,Paramètres!$A$1:$I$89,3,0)*0.475*44/12</f>
        <v>0.22145082002827995</v>
      </c>
      <c r="AW191" s="23">
        <f>EXP(-LN(2)/2)*AW190+(1-EXP(-LN(2)/2))/(LN(2)/2)*AQ191*AT191*VLOOKUP('Données projet'!$B$10,Paramètres!$A$1:$I$89,3,0)*0.475*44/12</f>
        <v>4.5941622486013239E-23</v>
      </c>
      <c r="AX191" s="23">
        <f t="shared" si="166"/>
        <v>0.35592054049220001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-4.5474735088646412E-13</v>
      </c>
      <c r="BE191" s="14">
        <f>BD191*VLOOKUP('Données projet'!$B$11,Paramètres!$A$1:$I$89,3,0)*VLOOKUP('Données projet'!$B$11,Paramètres!$A$1:$I$89,5,0)</f>
        <v>-2.7193891583010558E-13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216.94426559495264</v>
      </c>
      <c r="BJ191" s="62">
        <f t="shared" si="146"/>
        <v>225.33715877618704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0.16083059344683551</v>
      </c>
      <c r="BR191" s="23">
        <f>EXP(-LN(2)/2)*BR190+(1-EXP(-LN(2)/2))/(LN(2)/2)*BL191*BO191*VLOOKUP('Données projet'!$B$11,Paramètres!$A$1:$I$89,3,0)*0.475*44/12</f>
        <v>3.9256932871833625E-23</v>
      </c>
      <c r="BS191" s="24">
        <f t="shared" si="169"/>
        <v>0.16083059344683551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-1.0286385077051818E-13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237.22177246688199</v>
      </c>
      <c r="T192" s="62">
        <f t="shared" si="142"/>
        <v>149.27472147904302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3.7813078290931362E-2</v>
      </c>
      <c r="AB192" s="23">
        <f>EXP(-LN(2)/2)*AB191+(1-EXP(-LN(2)/2))/(LN(2)/2)*V192*Y192*VLOOKUP('Données projet'!$B$9,Paramètres!$A$1:$I$89,3,0)*0.475*44/12</f>
        <v>7.2403612661426344E-24</v>
      </c>
      <c r="AC192" s="24">
        <f t="shared" si="163"/>
        <v>3.7813078290931362E-2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-2.8421709430404007E-14</v>
      </c>
      <c r="AJ192" s="14">
        <f>AI192*VLOOKUP('Données projet'!$B$10,Paramètres!$A$1:$I$89,3,0)*VLOOKUP('Données projet'!$B$10,Paramètres!$A$1:$I$89,5,0)</f>
        <v>-2.4829205358400945E-14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223.81948236065614</v>
      </c>
      <c r="AO192" s="62">
        <f t="shared" si="144"/>
        <v>320.1204011431372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0.13183285126405345</v>
      </c>
      <c r="AV192" s="23">
        <f>EXP(-LN(2)/25)*AV191+(1-EXP(-LN(2)/25))/(LN(2)/25)*Calculateur!AQ192*Calculateur!AS192*VLOOKUP('Données projet'!$B$10,Paramètres!$A$1:$I$89,3,0)*0.475*44/12</f>
        <v>0.21539523570901414</v>
      </c>
      <c r="AW192" s="23">
        <f>EXP(-LN(2)/2)*AW191+(1-EXP(-LN(2)/2))/(LN(2)/2)*AQ192*AT192*VLOOKUP('Données projet'!$B$10,Paramètres!$A$1:$I$89,3,0)*0.475*44/12</f>
        <v>3.2485632798572334E-23</v>
      </c>
      <c r="AX192" s="23">
        <f t="shared" si="166"/>
        <v>0.34722808697306762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-4.5474735088646412E-13</v>
      </c>
      <c r="BE192" s="14">
        <f>BD192*VLOOKUP('Données projet'!$B$11,Paramètres!$A$1:$I$89,3,0)*VLOOKUP('Données projet'!$B$11,Paramètres!$A$1:$I$89,5,0)</f>
        <v>-2.7193891583010558E-13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216.94426559495264</v>
      </c>
      <c r="BJ192" s="62">
        <f t="shared" si="146"/>
        <v>225.33715877618704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0.15643267241131847</v>
      </c>
      <c r="BR192" s="23">
        <f>EXP(-LN(2)/2)*BR191+(1-EXP(-LN(2)/2))/(LN(2)/2)*BL192*BO192*VLOOKUP('Données projet'!$B$11,Paramètres!$A$1:$I$89,3,0)*0.475*44/12</f>
        <v>2.7758843442258643E-23</v>
      </c>
      <c r="BS192" s="24">
        <f t="shared" si="169"/>
        <v>0.15643267241131847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-1.0286385077051818E-13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237.22177246688199</v>
      </c>
      <c r="T193" s="62">
        <f t="shared" si="142"/>
        <v>149.27472147904302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3.677907767656248E-2</v>
      </c>
      <c r="AB193" s="23">
        <f>EXP(-LN(2)/2)*AB192+(1-EXP(-LN(2)/2))/(LN(2)/2)*V193*Y193*VLOOKUP('Données projet'!$B$9,Paramètres!$A$1:$I$89,3,0)*0.475*44/12</f>
        <v>5.119708549529874E-24</v>
      </c>
      <c r="AC193" s="24">
        <f t="shared" si="163"/>
        <v>3.677907767656248E-2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-2.8421709430404007E-14</v>
      </c>
      <c r="AJ193" s="14">
        <f>AI193*VLOOKUP('Données projet'!$B$10,Paramètres!$A$1:$I$89,3,0)*VLOOKUP('Données projet'!$B$10,Paramètres!$A$1:$I$89,5,0)</f>
        <v>-2.4829205358400945E-14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223.81948236065614</v>
      </c>
      <c r="AO193" s="62">
        <f t="shared" si="144"/>
        <v>320.1204011431372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0.12924768946086479</v>
      </c>
      <c r="AV193" s="23">
        <f>EXP(-LN(2)/25)*AV192+(1-EXP(-LN(2)/25))/(LN(2)/25)*Calculateur!AQ193*Calculateur!AS193*VLOOKUP('Données projet'!$B$10,Paramètres!$A$1:$I$89,3,0)*0.475*44/12</f>
        <v>0.20950524166140799</v>
      </c>
      <c r="AW193" s="23">
        <f>EXP(-LN(2)/2)*AW192+(1-EXP(-LN(2)/2))/(LN(2)/2)*AQ193*AT193*VLOOKUP('Données projet'!$B$10,Paramètres!$A$1:$I$89,3,0)*0.475*44/12</f>
        <v>2.2970811243006619E-23</v>
      </c>
      <c r="AX193" s="23">
        <f t="shared" si="166"/>
        <v>0.33875293112227278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-4.5474735088646412E-13</v>
      </c>
      <c r="BE193" s="14">
        <f>BD193*VLOOKUP('Données projet'!$B$11,Paramètres!$A$1:$I$89,3,0)*VLOOKUP('Données projet'!$B$11,Paramètres!$A$1:$I$89,5,0)</f>
        <v>-2.7193891583010558E-13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216.94426559495264</v>
      </c>
      <c r="BJ193" s="62">
        <f t="shared" si="146"/>
        <v>225.33715877618704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0.15215501275779425</v>
      </c>
      <c r="BR193" s="23">
        <f>EXP(-LN(2)/2)*BR192+(1-EXP(-LN(2)/2))/(LN(2)/2)*BL193*BO193*VLOOKUP('Données projet'!$B$11,Paramètres!$A$1:$I$89,3,0)*0.475*44/12</f>
        <v>1.9628466435916812E-23</v>
      </c>
      <c r="BS193" s="24">
        <f t="shared" si="169"/>
        <v>0.15215501275779425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-1.0286385077051818E-13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237.22177246688199</v>
      </c>
      <c r="T194" s="62">
        <f t="shared" si="142"/>
        <v>149.27472147904302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3.5773351863369246E-2</v>
      </c>
      <c r="AB194" s="23">
        <f>EXP(-LN(2)/2)*AB193+(1-EXP(-LN(2)/2))/(LN(2)/2)*V194*Y194*VLOOKUP('Données projet'!$B$9,Paramètres!$A$1:$I$89,3,0)*0.475*44/12</f>
        <v>3.6201806330713172E-24</v>
      </c>
      <c r="AC194" s="24">
        <f t="shared" si="163"/>
        <v>3.5773351863369246E-2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-2.8421709430404007E-14</v>
      </c>
      <c r="AJ194" s="14">
        <f>AI194*VLOOKUP('Données projet'!$B$10,Paramètres!$A$1:$I$89,3,0)*VLOOKUP('Données projet'!$B$10,Paramètres!$A$1:$I$89,5,0)</f>
        <v>-2.4829205358400945E-14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223.81948236065614</v>
      </c>
      <c r="AO194" s="62">
        <f t="shared" si="144"/>
        <v>320.1204011431372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0.12671322110384367</v>
      </c>
      <c r="AV194" s="23">
        <f>EXP(-LN(2)/25)*AV193+(1-EXP(-LN(2)/25))/(LN(2)/25)*Calculateur!AQ194*Calculateur!AS194*VLOOKUP('Données projet'!$B$10,Paramètres!$A$1:$I$89,3,0)*0.475*44/12</f>
        <v>0.20377630981077496</v>
      </c>
      <c r="AW194" s="23">
        <f>EXP(-LN(2)/2)*AW193+(1-EXP(-LN(2)/2))/(LN(2)/2)*AQ194*AT194*VLOOKUP('Données projet'!$B$10,Paramètres!$A$1:$I$89,3,0)*0.475*44/12</f>
        <v>1.6242816399286167E-23</v>
      </c>
      <c r="AX194" s="23">
        <f t="shared" si="166"/>
        <v>0.33048953091461863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-4.5474735088646412E-13</v>
      </c>
      <c r="BE194" s="14">
        <f>BD194*VLOOKUP('Données projet'!$B$11,Paramètres!$A$1:$I$89,3,0)*VLOOKUP('Données projet'!$B$11,Paramètres!$A$1:$I$89,5,0)</f>
        <v>-2.7193891583010558E-13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216.94426559495264</v>
      </c>
      <c r="BJ194" s="62">
        <f t="shared" si="146"/>
        <v>225.33715877618704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0.14799432593244799</v>
      </c>
      <c r="BR194" s="23">
        <f>EXP(-LN(2)/2)*BR193+(1-EXP(-LN(2)/2))/(LN(2)/2)*BL194*BO194*VLOOKUP('Données projet'!$B$11,Paramètres!$A$1:$I$89,3,0)*0.475*44/12</f>
        <v>1.3879421721129321E-23</v>
      </c>
      <c r="BS194" s="24">
        <f t="shared" si="169"/>
        <v>0.14799432593244799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-1.0286385077051818E-13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237.22177246688199</v>
      </c>
      <c r="T195" s="62">
        <f t="shared" si="142"/>
        <v>149.27472147904302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3.4795127675426599E-2</v>
      </c>
      <c r="AB195" s="23">
        <f>EXP(-LN(2)/2)*AB194+(1-EXP(-LN(2)/2))/(LN(2)/2)*V195*Y195*VLOOKUP('Données projet'!$B$9,Paramètres!$A$1:$I$89,3,0)*0.475*44/12</f>
        <v>2.559854274764937E-24</v>
      </c>
      <c r="AC195" s="24">
        <f t="shared" si="163"/>
        <v>3.4795127675426599E-2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-2.8421709430404007E-14</v>
      </c>
      <c r="AJ195" s="14">
        <f>AI195*VLOOKUP('Données projet'!$B$10,Paramètres!$A$1:$I$89,3,0)*VLOOKUP('Données projet'!$B$10,Paramètres!$A$1:$I$89,5,0)</f>
        <v>-2.4829205358400945E-14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223.81948236065614</v>
      </c>
      <c r="AO195" s="62">
        <f t="shared" si="144"/>
        <v>320.1204011431372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0.12422845212543067</v>
      </c>
      <c r="AV195" s="23">
        <f>EXP(-LN(2)/25)*AV194+(1-EXP(-LN(2)/25))/(LN(2)/25)*Calculateur!AQ195*Calculateur!AS195*VLOOKUP('Données projet'!$B$10,Paramètres!$A$1:$I$89,3,0)*0.475*44/12</f>
        <v>0.19820403590286892</v>
      </c>
      <c r="AW195" s="23">
        <f>EXP(-LN(2)/2)*AW194+(1-EXP(-LN(2)/2))/(LN(2)/2)*AQ195*AT195*VLOOKUP('Données projet'!$B$10,Paramètres!$A$1:$I$89,3,0)*0.475*44/12</f>
        <v>1.148540562150331E-23</v>
      </c>
      <c r="AX195" s="23">
        <f t="shared" si="166"/>
        <v>0.3224324880282996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-4.5474735088646412E-13</v>
      </c>
      <c r="BE195" s="14">
        <f>BD195*VLOOKUP('Données projet'!$B$11,Paramètres!$A$1:$I$89,3,0)*VLOOKUP('Données projet'!$B$11,Paramètres!$A$1:$I$89,5,0)</f>
        <v>-2.7193891583010558E-13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216.94426559495264</v>
      </c>
      <c r="BJ195" s="62">
        <f t="shared" si="146"/>
        <v>225.33715877618704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0.14394741330714184</v>
      </c>
      <c r="BR195" s="23">
        <f>EXP(-LN(2)/2)*BR194+(1-EXP(-LN(2)/2))/(LN(2)/2)*BL195*BO195*VLOOKUP('Données projet'!$B$11,Paramètres!$A$1:$I$89,3,0)*0.475*44/12</f>
        <v>9.8142332179584062E-24</v>
      </c>
      <c r="BS195" s="24">
        <f t="shared" si="169"/>
        <v>0.14394741330714184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-1.0286385077051818E-13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237.22177246688199</v>
      </c>
      <c r="T196" s="62">
        <f t="shared" si="142"/>
        <v>149.27472147904302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3.3843653079345816E-2</v>
      </c>
      <c r="AB196" s="23">
        <f>EXP(-LN(2)/2)*AB195+(1-EXP(-LN(2)/2))/(LN(2)/2)*V196*Y196*VLOOKUP('Données projet'!$B$9,Paramètres!$A$1:$I$89,3,0)*0.475*44/12</f>
        <v>1.8100903165356586E-24</v>
      </c>
      <c r="AC196" s="24">
        <f t="shared" si="163"/>
        <v>3.3843653079345816E-2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-2.8421709430404007E-14</v>
      </c>
      <c r="AJ196" s="14">
        <f>AI196*VLOOKUP('Données projet'!$B$10,Paramètres!$A$1:$I$89,3,0)*VLOOKUP('Données projet'!$B$10,Paramètres!$A$1:$I$89,5,0)</f>
        <v>-2.4829205358400945E-14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223.81948236065614</v>
      </c>
      <c r="AO196" s="62">
        <f t="shared" si="144"/>
        <v>320.1204011431372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0.12179240795112492</v>
      </c>
      <c r="AV196" s="23">
        <f>EXP(-LN(2)/25)*AV195+(1-EXP(-LN(2)/25))/(LN(2)/25)*Calculateur!AQ196*Calculateur!AS196*VLOOKUP('Données projet'!$B$10,Paramètres!$A$1:$I$89,3,0)*0.475*44/12</f>
        <v>0.19278413611800771</v>
      </c>
      <c r="AW196" s="23">
        <f>EXP(-LN(2)/2)*AW195+(1-EXP(-LN(2)/2))/(LN(2)/2)*AQ196*AT196*VLOOKUP('Données projet'!$B$10,Paramètres!$A$1:$I$89,3,0)*0.475*44/12</f>
        <v>8.1214081996430835E-24</v>
      </c>
      <c r="AX196" s="23">
        <f t="shared" si="166"/>
        <v>0.3145765440691326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-4.5474735088646412E-13</v>
      </c>
      <c r="BE196" s="14">
        <f>BD196*VLOOKUP('Données projet'!$B$11,Paramètres!$A$1:$I$89,3,0)*VLOOKUP('Données projet'!$B$11,Paramètres!$A$1:$I$89,5,0)</f>
        <v>-2.7193891583010558E-13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216.94426559495264</v>
      </c>
      <c r="BJ196" s="62">
        <f t="shared" si="146"/>
        <v>225.33715877618704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0.14001116372039257</v>
      </c>
      <c r="BR196" s="23">
        <f>EXP(-LN(2)/2)*BR195+(1-EXP(-LN(2)/2))/(LN(2)/2)*BL196*BO196*VLOOKUP('Données projet'!$B$11,Paramètres!$A$1:$I$89,3,0)*0.475*44/12</f>
        <v>6.9397108605646607E-24</v>
      </c>
      <c r="BS196" s="24">
        <f t="shared" si="169"/>
        <v>0.14001116372039257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237.22177246688199</v>
      </c>
      <c r="T197" s="62">
        <f t="shared" ref="T197:T203" si="204">$T$3</f>
        <v>149.27472147904302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3.291819660613074E-2</v>
      </c>
      <c r="AB197" s="23">
        <f>EXP(-LN(2)/2)*AB196+(1-EXP(-LN(2)/2))/(LN(2)/2)*V197*Y197*VLOOKUP('Données projet'!$B$9,Paramètres!$A$1:$I$89,3,0)*0.475*44/12</f>
        <v>1.2799271373824685E-24</v>
      </c>
      <c r="AC197" s="24">
        <f t="shared" si="163"/>
        <v>3.291819660613074E-2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-2.8421709430404007E-14</v>
      </c>
      <c r="AJ197" s="14">
        <f>AI197*VLOOKUP('Données projet'!$B$10,Paramètres!$A$1:$I$89,3,0)*VLOOKUP('Données projet'!$B$10,Paramètres!$A$1:$I$89,5,0)</f>
        <v>-2.4829205358400945E-14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223.81948236065614</v>
      </c>
      <c r="AO197" s="62">
        <f t="shared" ref="AO197:AO203" si="205">$AO$3</f>
        <v>320.1204011431372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0.11940413311723708</v>
      </c>
      <c r="AV197" s="23">
        <f>EXP(-LN(2)/25)*AV196+(1-EXP(-LN(2)/25))/(LN(2)/25)*Calculateur!AQ197*Calculateur!AS197*VLOOKUP('Données projet'!$B$10,Paramètres!$A$1:$I$89,3,0)*0.475*44/12</f>
        <v>0.18751244377778367</v>
      </c>
      <c r="AW197" s="23">
        <f>EXP(-LN(2)/2)*AW196+(1-EXP(-LN(2)/2))/(LN(2)/2)*AQ197*AT197*VLOOKUP('Données projet'!$B$10,Paramètres!$A$1:$I$89,3,0)*0.475*44/12</f>
        <v>5.7427028107516548E-24</v>
      </c>
      <c r="AX197" s="23">
        <f t="shared" si="166"/>
        <v>0.30691657689502072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-4.5474735088646412E-13</v>
      </c>
      <c r="BE197" s="14">
        <f>BD197*VLOOKUP('Données projet'!$B$11,Paramètres!$A$1:$I$89,3,0)*VLOOKUP('Données projet'!$B$11,Paramètres!$A$1:$I$89,5,0)</f>
        <v>-2.7193891583010558E-13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216.94426559495264</v>
      </c>
      <c r="BJ197" s="62">
        <f t="shared" ref="BJ197:BJ203" si="206">$BJ$3</f>
        <v>225.33715877618704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0.13618255108559132</v>
      </c>
      <c r="BR197" s="23">
        <f>EXP(-LN(2)/2)*BR196+(1-EXP(-LN(2)/2))/(LN(2)/2)*BL197*BO197*VLOOKUP('Données projet'!$B$11,Paramètres!$A$1:$I$89,3,0)*0.475*44/12</f>
        <v>4.9071166089792031E-24</v>
      </c>
      <c r="BS197" s="24">
        <f t="shared" si="169"/>
        <v>0.13618255108559132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-1.0286385077051818E-13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237.22177246688199</v>
      </c>
      <c r="T198" s="62">
        <f t="shared" si="204"/>
        <v>149.27472147904302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3.2018046788843374E-2</v>
      </c>
      <c r="AB198" s="23">
        <f>EXP(-LN(2)/2)*AB197+(1-EXP(-LN(2)/2))/(LN(2)/2)*V198*Y198*VLOOKUP('Données projet'!$B$9,Paramètres!$A$1:$I$89,3,0)*0.475*44/12</f>
        <v>9.050451582678293E-25</v>
      </c>
      <c r="AC198" s="24">
        <f t="shared" si="163"/>
        <v>3.2018046788843374E-2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-2.8421709430404007E-14</v>
      </c>
      <c r="AJ198" s="14">
        <f>AI198*VLOOKUP('Données projet'!$B$10,Paramètres!$A$1:$I$89,3,0)*VLOOKUP('Données projet'!$B$10,Paramètres!$A$1:$I$89,5,0)</f>
        <v>-2.4829205358400945E-14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223.81948236065614</v>
      </c>
      <c r="AO198" s="62">
        <f t="shared" si="205"/>
        <v>320.1204011431372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0.11706269089613797</v>
      </c>
      <c r="AV198" s="23">
        <f>EXP(-LN(2)/25)*AV197+(1-EXP(-LN(2)/25))/(LN(2)/25)*Calculateur!AQ198*Calculateur!AS198*VLOOKUP('Données projet'!$B$10,Paramètres!$A$1:$I$89,3,0)*0.475*44/12</f>
        <v>0.18238490614182931</v>
      </c>
      <c r="AW198" s="23">
        <f>EXP(-LN(2)/2)*AW197+(1-EXP(-LN(2)/2))/(LN(2)/2)*AQ198*AT198*VLOOKUP('Données projet'!$B$10,Paramètres!$A$1:$I$89,3,0)*0.475*44/12</f>
        <v>4.0607040998215418E-24</v>
      </c>
      <c r="AX198" s="23">
        <f t="shared" si="166"/>
        <v>0.29944759703796731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-4.5474735088646412E-13</v>
      </c>
      <c r="BE198" s="14">
        <f>BD198*VLOOKUP('Données projet'!$B$11,Paramètres!$A$1:$I$89,3,0)*VLOOKUP('Données projet'!$B$11,Paramètres!$A$1:$I$89,5,0)</f>
        <v>-2.7193891583010558E-13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216.94426559495264</v>
      </c>
      <c r="BJ198" s="62">
        <f t="shared" si="206"/>
        <v>225.33715877618704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0.13245863206462671</v>
      </c>
      <c r="BR198" s="23">
        <f>EXP(-LN(2)/2)*BR197+(1-EXP(-LN(2)/2))/(LN(2)/2)*BL198*BO198*VLOOKUP('Données projet'!$B$11,Paramètres!$A$1:$I$89,3,0)*0.475*44/12</f>
        <v>3.4698554302823304E-24</v>
      </c>
      <c r="BS198" s="24">
        <f t="shared" si="169"/>
        <v>0.13245863206462671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-1.0286385077051818E-13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237.22177246688199</v>
      </c>
      <c r="T199" s="62">
        <f t="shared" si="204"/>
        <v>149.27472147904302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3.1142511615646549E-2</v>
      </c>
      <c r="AB199" s="23">
        <f>EXP(-LN(2)/2)*AB198+(1-EXP(-LN(2)/2))/(LN(2)/2)*V199*Y199*VLOOKUP('Données projet'!$B$9,Paramètres!$A$1:$I$89,3,0)*0.475*44/12</f>
        <v>6.3996356869123425E-25</v>
      </c>
      <c r="AC199" s="24">
        <f t="shared" si="163"/>
        <v>3.1142511615646549E-2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-2.8421709430404007E-14</v>
      </c>
      <c r="AJ199" s="14">
        <f>AI199*VLOOKUP('Données projet'!$B$10,Paramètres!$A$1:$I$89,3,0)*VLOOKUP('Données projet'!$B$10,Paramètres!$A$1:$I$89,5,0)</f>
        <v>-2.4829205358400945E-14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223.81948236065614</v>
      </c>
      <c r="AO199" s="62">
        <f t="shared" si="205"/>
        <v>320.1204011431372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0.11476716292885586</v>
      </c>
      <c r="AV199" s="23">
        <f>EXP(-LN(2)/25)*AV198+(1-EXP(-LN(2)/25))/(LN(2)/25)*Calculateur!AQ199*Calculateur!AS199*VLOOKUP('Données projet'!$B$10,Paramètres!$A$1:$I$89,3,0)*0.475*44/12</f>
        <v>0.17739758129217562</v>
      </c>
      <c r="AW199" s="23">
        <f>EXP(-LN(2)/2)*AW198+(1-EXP(-LN(2)/2))/(LN(2)/2)*AQ199*AT199*VLOOKUP('Données projet'!$B$10,Paramètres!$A$1:$I$89,3,0)*0.475*44/12</f>
        <v>2.8713514053758274E-24</v>
      </c>
      <c r="AX199" s="23">
        <f t="shared" si="166"/>
        <v>0.29216474422103145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-4.5474735088646412E-13</v>
      </c>
      <c r="BE199" s="14">
        <f>BD199*VLOOKUP('Données projet'!$B$11,Paramètres!$A$1:$I$89,3,0)*VLOOKUP('Données projet'!$B$11,Paramètres!$A$1:$I$89,5,0)</f>
        <v>-2.7193891583010558E-13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216.94426559495264</v>
      </c>
      <c r="BJ199" s="62">
        <f t="shared" si="206"/>
        <v>225.33715877618704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0.12883654380512277</v>
      </c>
      <c r="BR199" s="23">
        <f>EXP(-LN(2)/2)*BR198+(1-EXP(-LN(2)/2))/(LN(2)/2)*BL199*BO199*VLOOKUP('Données projet'!$B$11,Paramètres!$A$1:$I$89,3,0)*0.475*44/12</f>
        <v>2.4535583044896015E-24</v>
      </c>
      <c r="BS199" s="24">
        <f t="shared" si="169"/>
        <v>0.12883654380512277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-1.0286385077051818E-13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237.22177246688199</v>
      </c>
      <c r="T200" s="62">
        <f t="shared" si="204"/>
        <v>149.27472147904302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3.0290917997803184E-2</v>
      </c>
      <c r="AB200" s="23">
        <f>EXP(-LN(2)/2)*AB199+(1-EXP(-LN(2)/2))/(LN(2)/2)*V200*Y200*VLOOKUP('Données projet'!$B$9,Paramètres!$A$1:$I$89,3,0)*0.475*44/12</f>
        <v>4.5252257913391465E-25</v>
      </c>
      <c r="AC200" s="24">
        <f t="shared" si="163"/>
        <v>3.0290917997803184E-2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-2.8421709430404007E-14</v>
      </c>
      <c r="AJ200" s="14">
        <f>AI200*VLOOKUP('Données projet'!$B$10,Paramètres!$A$1:$I$89,3,0)*VLOOKUP('Données projet'!$B$10,Paramètres!$A$1:$I$89,5,0)</f>
        <v>-2.4829205358400945E-14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223.81948236065614</v>
      </c>
      <c r="AO200" s="62">
        <f t="shared" si="205"/>
        <v>320.1204011431372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0.11251664886487835</v>
      </c>
      <c r="AV200" s="23">
        <f>EXP(-LN(2)/25)*AV199+(1-EXP(-LN(2)/25))/(LN(2)/25)*Calculateur!AQ200*Calculateur!AS200*VLOOKUP('Données projet'!$B$10,Paramètres!$A$1:$I$89,3,0)*0.475*44/12</f>
        <v>0.17254663510280771</v>
      </c>
      <c r="AW200" s="23">
        <f>EXP(-LN(2)/2)*AW199+(1-EXP(-LN(2)/2))/(LN(2)/2)*AQ200*AT200*VLOOKUP('Données projet'!$B$10,Paramètres!$A$1:$I$89,3,0)*0.475*44/12</f>
        <v>2.0303520499107709E-24</v>
      </c>
      <c r="AX200" s="23">
        <f t="shared" si="166"/>
        <v>0.28506328396768604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-4.5474735088646412E-13</v>
      </c>
      <c r="BE200" s="14">
        <f>BD200*VLOOKUP('Données projet'!$B$11,Paramètres!$A$1:$I$89,3,0)*VLOOKUP('Données projet'!$B$11,Paramètres!$A$1:$I$89,5,0)</f>
        <v>-2.7193891583010558E-13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216.94426559495264</v>
      </c>
      <c r="BJ200" s="62">
        <f t="shared" si="206"/>
        <v>225.33715877618704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0.1253135017395523</v>
      </c>
      <c r="BR200" s="23">
        <f>EXP(-LN(2)/2)*BR199+(1-EXP(-LN(2)/2))/(LN(2)/2)*BL200*BO200*VLOOKUP('Données projet'!$B$11,Paramètres!$A$1:$I$89,3,0)*0.475*44/12</f>
        <v>1.7349277151411652E-24</v>
      </c>
      <c r="BS200" s="24">
        <f t="shared" si="169"/>
        <v>0.1253135017395523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-1.0286385077051818E-13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237.22177246688199</v>
      </c>
      <c r="T201" s="62">
        <f t="shared" si="204"/>
        <v>149.27472147904302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2.946261125222311E-2</v>
      </c>
      <c r="AB201" s="23">
        <f>EXP(-LN(2)/2)*AB200+(1-EXP(-LN(2)/2))/(LN(2)/2)*V201*Y201*VLOOKUP('Données projet'!$B$9,Paramètres!$A$1:$I$89,3,0)*0.475*44/12</f>
        <v>3.1998178434561713E-25</v>
      </c>
      <c r="AC201" s="24">
        <f t="shared" si="163"/>
        <v>2.946261125222311E-2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-2.8421709430404007E-14</v>
      </c>
      <c r="AJ201" s="14">
        <f>AI201*VLOOKUP('Données projet'!$B$10,Paramètres!$A$1:$I$89,3,0)*VLOOKUP('Données projet'!$B$10,Paramètres!$A$1:$I$89,5,0)</f>
        <v>-2.4829205358400945E-14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223.81948236065614</v>
      </c>
      <c r="AO201" s="62">
        <f t="shared" si="205"/>
        <v>320.1204011431372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0.1103102660090174</v>
      </c>
      <c r="AV201" s="23">
        <f>EXP(-LN(2)/25)*AV200+(1-EXP(-LN(2)/25))/(LN(2)/25)*Calculateur!AQ201*Calculateur!AS201*VLOOKUP('Données projet'!$B$10,Paramètres!$A$1:$I$89,3,0)*0.475*44/12</f>
        <v>0.16782833829208826</v>
      </c>
      <c r="AW201" s="23">
        <f>EXP(-LN(2)/2)*AW200+(1-EXP(-LN(2)/2))/(LN(2)/2)*AQ201*AT201*VLOOKUP('Données projet'!$B$10,Paramètres!$A$1:$I$89,3,0)*0.475*44/12</f>
        <v>1.4356757026879137E-24</v>
      </c>
      <c r="AX201" s="23">
        <f t="shared" si="166"/>
        <v>0.27813860430110565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-4.5474735088646412E-13</v>
      </c>
      <c r="BE201" s="14">
        <f>BD201*VLOOKUP('Données projet'!$B$11,Paramètres!$A$1:$I$89,3,0)*VLOOKUP('Données projet'!$B$11,Paramètres!$A$1:$I$89,5,0)</f>
        <v>-2.7193891583010558E-13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216.94426559495264</v>
      </c>
      <c r="BJ201" s="62">
        <f t="shared" si="206"/>
        <v>225.33715877618704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0.1218867974445336</v>
      </c>
      <c r="BR201" s="23">
        <f>EXP(-LN(2)/2)*BR200+(1-EXP(-LN(2)/2))/(LN(2)/2)*BL201*BO201*VLOOKUP('Données projet'!$B$11,Paramètres!$A$1:$I$89,3,0)*0.475*44/12</f>
        <v>1.2267791522448008E-24</v>
      </c>
      <c r="BS201" s="24">
        <f t="shared" si="169"/>
        <v>0.1218867974445336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-1.0286385077051818E-13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237.22177246688199</v>
      </c>
      <c r="T202" s="62">
        <f t="shared" si="204"/>
        <v>149.27472147904302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2.865695459815968E-2</v>
      </c>
      <c r="AB202" s="23">
        <f>EXP(-LN(2)/2)*AB201+(1-EXP(-LN(2)/2))/(LN(2)/2)*V202*Y202*VLOOKUP('Données projet'!$B$9,Paramètres!$A$1:$I$89,3,0)*0.475*44/12</f>
        <v>2.2626128956695732E-25</v>
      </c>
      <c r="AC202" s="24">
        <f t="shared" si="163"/>
        <v>2.865695459815968E-2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-2.8421709430404007E-14</v>
      </c>
      <c r="AJ202" s="14">
        <f>AI202*VLOOKUP('Données projet'!$B$10,Paramètres!$A$1:$I$89,3,0)*VLOOKUP('Données projet'!$B$10,Paramètres!$A$1:$I$89,5,0)</f>
        <v>-2.4829205358400945E-14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223.81948236065614</v>
      </c>
      <c r="AO202" s="62">
        <f t="shared" si="205"/>
        <v>320.1204011431372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0.10814714897519923</v>
      </c>
      <c r="AV202" s="23">
        <f>EXP(-LN(2)/25)*AV201+(1-EXP(-LN(2)/25))/(LN(2)/25)*Calculateur!AQ202*Calculateur!AS202*VLOOKUP('Données projet'!$B$10,Paramètres!$A$1:$I$89,3,0)*0.475*44/12</f>
        <v>0.16323906355578238</v>
      </c>
      <c r="AW202" s="23">
        <f>EXP(-LN(2)/2)*AW201+(1-EXP(-LN(2)/2))/(LN(2)/2)*AQ202*AT202*VLOOKUP('Données projet'!$B$10,Paramètres!$A$1:$I$89,3,0)*0.475*44/12</f>
        <v>1.0151760249553854E-24</v>
      </c>
      <c r="AX202" s="23">
        <f t="shared" si="166"/>
        <v>0.27138621253098161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-4.5474735088646412E-13</v>
      </c>
      <c r="BE202" s="14">
        <f>BD202*VLOOKUP('Données projet'!$B$11,Paramètres!$A$1:$I$89,3,0)*VLOOKUP('Données projet'!$B$11,Paramètres!$A$1:$I$89,5,0)</f>
        <v>-2.7193891583010558E-13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216.94426559495264</v>
      </c>
      <c r="BJ202" s="62">
        <f t="shared" si="206"/>
        <v>225.33715877618704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0.11855379655866473</v>
      </c>
      <c r="BR202" s="23">
        <f>EXP(-LN(2)/2)*BR201+(1-EXP(-LN(2)/2))/(LN(2)/2)*BL202*BO202*VLOOKUP('Données projet'!$B$11,Paramètres!$A$1:$I$89,3,0)*0.475*44/12</f>
        <v>8.6746385757058259E-25</v>
      </c>
      <c r="BS202" s="24">
        <f t="shared" si="169"/>
        <v>0.11855379655866473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-1.0286385077051818E-13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237.22177246688199</v>
      </c>
      <c r="T203" s="62">
        <f t="shared" si="204"/>
        <v>149.27472147904302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2.7873328667669256E-2</v>
      </c>
      <c r="AB203" s="23">
        <f>EXP(-LN(2)/2)*AB202+(1-EXP(-LN(2)/2))/(LN(2)/2)*V203*Y203*VLOOKUP('Données projet'!$B$9,Paramètres!$A$1:$I$89,3,0)*0.475*44/12</f>
        <v>1.5999089217280856E-25</v>
      </c>
      <c r="AC203" s="24">
        <f t="shared" si="163"/>
        <v>2.7873328667669256E-2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-2.8421709430404007E-14</v>
      </c>
      <c r="AJ203" s="14">
        <f>AI203*VLOOKUP('Données projet'!$B$10,Paramètres!$A$1:$I$89,3,0)*VLOOKUP('Données projet'!$B$10,Paramètres!$A$1:$I$89,5,0)</f>
        <v>-2.4829205358400945E-14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223.81948236065614</v>
      </c>
      <c r="AO203" s="62">
        <f t="shared" si="205"/>
        <v>320.1204011431372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0.10602644934704311</v>
      </c>
      <c r="AV203" s="23">
        <f>EXP(-LN(2)/25)*AV202+(1-EXP(-LN(2)/25))/(LN(2)/25)*Calculateur!AQ203*Calculateur!AS203*VLOOKUP('Données projet'!$B$10,Paramètres!$A$1:$I$89,3,0)*0.475*44/12</f>
        <v>0.15877528277848024</v>
      </c>
      <c r="AW203" s="23">
        <f>EXP(-LN(2)/2)*AW202+(1-EXP(-LN(2)/2))/(LN(2)/2)*AQ203*AT203*VLOOKUP('Données projet'!$B$10,Paramètres!$A$1:$I$89,3,0)*0.475*44/12</f>
        <v>7.1783785134395685E-25</v>
      </c>
      <c r="AX203" s="23">
        <f t="shared" si="166"/>
        <v>0.26480173212552338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-4.5474735088646412E-13</v>
      </c>
      <c r="BE203" s="14">
        <f>BD203*VLOOKUP('Données projet'!$B$11,Paramètres!$A$1:$I$89,3,0)*VLOOKUP('Données projet'!$B$11,Paramètres!$A$1:$I$89,5,0)</f>
        <v>-2.7193891583010558E-13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216.94426559495264</v>
      </c>
      <c r="BJ203" s="62">
        <f t="shared" si="206"/>
        <v>225.33715877618704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0.11531193675729484</v>
      </c>
      <c r="BR203" s="23">
        <f>EXP(-LN(2)/2)*BR202+(1-EXP(-LN(2)/2))/(LN(2)/2)*BL203*BO203*VLOOKUP('Données projet'!$B$11,Paramètres!$A$1:$I$89,3,0)*0.475*44/12</f>
        <v>6.1338957612240039E-25</v>
      </c>
      <c r="BS203" s="24">
        <f t="shared" si="169"/>
        <v>0.11531193675729484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1.2765231539157764</v>
      </c>
      <c r="BA205" s="88">
        <f>EXP(LN('Données projet'!B88)/'Données projet'!A88)</f>
        <v>1.2530028811664373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5.1360000000000001</v>
      </c>
      <c r="C6" s="156">
        <f ca="1">IF(OR('Données projet'!B9="",'Données projet'!C9="",'Données projet'!C9=0%),0,Calculateur!S3)</f>
        <v>237.22177246688199</v>
      </c>
      <c r="D6" s="156">
        <f>IF(OR('Données projet'!B9="",'Données projet'!C9="",'Données projet'!C9=0%),0,Calculateur!T3)</f>
        <v>149.27472147904302</v>
      </c>
      <c r="E6" s="156">
        <f ca="1">MIN(C6,D6)</f>
        <v>149.27472147904302</v>
      </c>
      <c r="F6" s="156">
        <f ca="1">E6*B6</f>
        <v>766.67496951636497</v>
      </c>
      <c r="G6" s="156">
        <f ca="1">F6*(100%-'Données projet'!$C$24)*(100%-'Données projet'!$C$25)*(100%-'Données projet'!$C$26)*(100%-'Données projet'!$C$27)</f>
        <v>690.00747256472846</v>
      </c>
      <c r="H6" s="157">
        <f>IF(OR('Données projet'!B9="",'Données projet'!C9="",'Données projet'!C9=0%),0,AVERAGE(Calculateur!$AC$3:$AC$33)*B6)</f>
        <v>1.5400190011049213</v>
      </c>
      <c r="I6" s="158">
        <f>H6*(100%-'Données projet'!$C$24)*(100%-'Données projet'!$C$25)*(100%-'Données projet'!$C$26)*(100%-'Données projet'!$C$27)</f>
        <v>1.3860171009944291</v>
      </c>
      <c r="J6" s="159">
        <f>IF(OR('Données projet'!B9="",'Données projet'!C9="",'Données projet'!C9=0%),0,SUM(Calculateur!$V$3:$V$33)*VLOOKUP('Données projet'!$B$9,Paramètres!$A$1:$I$89,9,0)*B6)</f>
        <v>37.236000000000004</v>
      </c>
      <c r="K6" s="160">
        <f>J6*(100%-'Données projet'!$C$24)*(100%-'Données projet'!$C$25)*(100%-'Données projet'!$C$26)*(100%-'Données projet'!$C$27)</f>
        <v>33.512400000000007</v>
      </c>
      <c r="L6" s="161">
        <f ca="1">G6+I6+K6</f>
        <v>724.90588966572284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rouge d'Amérique</v>
      </c>
      <c r="B7" s="163">
        <f>'Données projet'!D10</f>
        <v>1.7120000000000002</v>
      </c>
      <c r="C7" s="156">
        <f ca="1">IF(OR('Données projet'!B10="",'Données projet'!C10="",'Données projet'!C10=0%),0,Calculateur!AN3)</f>
        <v>223.81948236065614</v>
      </c>
      <c r="D7" s="156">
        <f>IF(OR('Données projet'!B10="",'Données projet'!C10="",'Données projet'!C10=0%),0,Calculateur!AO3)</f>
        <v>320.1204011431372</v>
      </c>
      <c r="E7" s="156">
        <f t="shared" ref="E7:E15" ca="1" si="0">MIN(C7,D7)</f>
        <v>223.81948236065614</v>
      </c>
      <c r="F7" s="156">
        <f t="shared" ref="F7:F15" ca="1" si="1">E7*B7</f>
        <v>383.17895380144336</v>
      </c>
      <c r="G7" s="156">
        <f ca="1">F7*(100%-'Données projet'!$C$24)*(100%-'Données projet'!$C$25)*(100%-'Données projet'!$C$26)*(100%-'Données projet'!$C$27)</f>
        <v>344.86105842129905</v>
      </c>
      <c r="H7" s="164">
        <f>IF(OR('Données projet'!B10="",'Données projet'!C10="",'Données projet'!C10=0%),0,AVERAGE(Calculateur!$AX$3:$AX$33)*B7)</f>
        <v>7.0908836887786979</v>
      </c>
      <c r="I7" s="158">
        <f>H7*(100%-'Données projet'!$C$24)*(100%-'Données projet'!$C$25)*(100%-'Données projet'!$C$26)*(100%-'Données projet'!$C$27)</f>
        <v>6.3817953199008279</v>
      </c>
      <c r="J7" s="159">
        <f>IF(OR('Données projet'!B10="",'Données projet'!C10="",'Données projet'!C10=0%),0,SUM(Calculateur!$AQ$3:$AQ$33)*VLOOKUP('Données projet'!$B$10,Paramètres!$A$1:$I$89,9,0)*B7)</f>
        <v>53.072000000000003</v>
      </c>
      <c r="K7" s="160">
        <f>J7*(100%-'Données projet'!$C$24)*(100%-'Données projet'!$C$25)*(100%-'Données projet'!$C$26)*(100%-'Données projet'!$C$27)</f>
        <v>47.764800000000001</v>
      </c>
      <c r="L7" s="161">
        <f t="shared" ref="L7:L15" ca="1" si="2">G7+I7+K7</f>
        <v>399.00765374119987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Pin laricio</v>
      </c>
      <c r="B8" s="163">
        <f>'Données projet'!D11</f>
        <v>1.7120000000000002</v>
      </c>
      <c r="C8" s="156">
        <f ca="1">IF(OR('Données projet'!B11="",'Données projet'!C11="",'Données projet'!C11=0%),0,Calculateur!BI3)</f>
        <v>216.94426559495264</v>
      </c>
      <c r="D8" s="156">
        <f>IF(OR('Données projet'!B11="",'Données projet'!C11="",'Données projet'!C11=0%),0,Calculateur!BJ3)</f>
        <v>225.33715877618704</v>
      </c>
      <c r="E8" s="156">
        <f t="shared" ca="1" si="0"/>
        <v>216.94426559495264</v>
      </c>
      <c r="F8" s="156">
        <f t="shared" ca="1" si="1"/>
        <v>371.40858269855897</v>
      </c>
      <c r="G8" s="156">
        <f ca="1">F8*(100%-'Données projet'!$C$24)*(100%-'Données projet'!$C$25)*(100%-'Données projet'!$C$26)*(100%-'Données projet'!$C$27)</f>
        <v>334.2677244287031</v>
      </c>
      <c r="H8" s="164">
        <f>IF(OR('Données projet'!B11="",'Données projet'!C11="",'Données projet'!C11=0%),0,AVERAGE(Calculateur!$BS$3:$BS$33)*B8)</f>
        <v>2.4664233634620181</v>
      </c>
      <c r="I8" s="158">
        <f>H8*(100%-'Données projet'!$C$24)*(100%-'Données projet'!$C$25)*(100%-'Données projet'!$C$26)*(100%-'Données projet'!$C$27)</f>
        <v>2.2197810271158165</v>
      </c>
      <c r="J8" s="159">
        <f>IF(OR('Données projet'!B11="",'Données projet'!C11="",'Données projet'!C11=0%),0,SUM(Calculateur!$BL$3:$BL$33)*VLOOKUP('Données projet'!$B$11,Paramètres!$A$1:$I$89,9,0)*B8)</f>
        <v>53.739680000000007</v>
      </c>
      <c r="K8" s="160">
        <f>J8*(100%-'Données projet'!$C$24)*(100%-'Données projet'!$C$25)*(100%-'Données projet'!$C$26)*(100%-'Données projet'!$C$27)</f>
        <v>48.365712000000009</v>
      </c>
      <c r="L8" s="161">
        <f t="shared" ca="1" si="2"/>
        <v>384.85321745581894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1521.2625060163673</v>
      </c>
      <c r="G16" s="175">
        <f t="shared" ca="1" si="3"/>
        <v>1369.1362554147306</v>
      </c>
      <c r="H16" s="176">
        <f t="shared" si="3"/>
        <v>11.097326053345638</v>
      </c>
      <c r="I16" s="176">
        <f t="shared" si="3"/>
        <v>9.987593448011074</v>
      </c>
      <c r="J16" s="177">
        <f t="shared" si="3"/>
        <v>144.04768000000001</v>
      </c>
      <c r="K16" s="177">
        <f t="shared" si="3"/>
        <v>129.64291200000002</v>
      </c>
      <c r="L16" s="178">
        <f t="shared" ca="1" si="3"/>
        <v>1508.7667608627416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84" zoomScale="90" zoomScaleNormal="90" workbookViewId="0">
      <selection activeCell="N19" sqref="N19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-1026.963198926122</v>
      </c>
      <c r="U10" s="190">
        <f>'Données projet'!D9</f>
        <v>5.1360000000000001</v>
      </c>
      <c r="V10" s="189">
        <f>U10*T10</f>
        <v>-5274.4829896845631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-1218.7366611644679</v>
      </c>
      <c r="U11" s="190">
        <f>'Données projet'!D10</f>
        <v>1.7120000000000002</v>
      </c>
      <c r="V11" s="189">
        <f t="shared" ref="V11" si="0">U11*T11</f>
        <v>-2086.4771639135693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935.5189481112634</v>
      </c>
      <c r="U12" s="190">
        <f>'Données projet'!D11</f>
        <v>1.7120000000000002</v>
      </c>
      <c r="V12" s="189">
        <f t="shared" ref="V12:V19" si="1">U12*T12</f>
        <v>1601.6084391664831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80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1850.6999999999998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80.000000000000114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2400.0000000000036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f>1100+1162.79</f>
        <v>2262.79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500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>
        <v>8</v>
      </c>
      <c r="D23" s="194">
        <f>B23*C23</f>
        <v>0</v>
      </c>
      <c r="E23" s="206"/>
      <c r="F23" s="261"/>
      <c r="H23" s="203">
        <v>3</v>
      </c>
      <c r="I23" s="204">
        <v>500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-36894.401550986957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29</v>
      </c>
      <c r="C24" s="206">
        <v>12</v>
      </c>
      <c r="D24" s="194">
        <f t="shared" ref="D24:D42" si="2">B24*C24</f>
        <v>348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607.26992132421753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40</v>
      </c>
      <c r="B25" s="193">
        <f>'Données projet'!D38</f>
        <v>42</v>
      </c>
      <c r="C25" s="206">
        <v>15</v>
      </c>
      <c r="D25" s="194">
        <f t="shared" si="2"/>
        <v>630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-37501.671472311173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50</v>
      </c>
      <c r="B26" s="193">
        <f>'Données projet'!D39</f>
        <v>42</v>
      </c>
      <c r="C26" s="206">
        <v>20</v>
      </c>
      <c r="D26" s="194">
        <f t="shared" si="2"/>
        <v>840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60</v>
      </c>
      <c r="B27" s="193">
        <f>'Données projet'!D40</f>
        <v>42</v>
      </c>
      <c r="C27" s="206">
        <v>25</v>
      </c>
      <c r="D27" s="194">
        <f t="shared" si="2"/>
        <v>1050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70</v>
      </c>
      <c r="B28" s="193">
        <f>'Données projet'!D41</f>
        <v>42</v>
      </c>
      <c r="C28" s="206">
        <v>30</v>
      </c>
      <c r="D28" s="194">
        <f t="shared" si="2"/>
        <v>1260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80</v>
      </c>
      <c r="B29" s="193">
        <f>'Données projet'!D42</f>
        <v>42</v>
      </c>
      <c r="C29" s="206">
        <v>35</v>
      </c>
      <c r="D29" s="194">
        <f t="shared" si="2"/>
        <v>1470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90</v>
      </c>
      <c r="B30" s="193">
        <f>'Données projet'!D43</f>
        <v>42</v>
      </c>
      <c r="C30" s="206">
        <v>40</v>
      </c>
      <c r="D30" s="194">
        <f t="shared" si="2"/>
        <v>1680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100</v>
      </c>
      <c r="B31" s="193">
        <f>'Données projet'!D44</f>
        <v>42</v>
      </c>
      <c r="C31" s="206">
        <v>50</v>
      </c>
      <c r="D31" s="194">
        <f t="shared" si="2"/>
        <v>2100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110</v>
      </c>
      <c r="B32" s="193">
        <f>'Données projet'!D45</f>
        <v>39</v>
      </c>
      <c r="C32" s="206">
        <v>60</v>
      </c>
      <c r="D32" s="194">
        <f t="shared" si="2"/>
        <v>2340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120</v>
      </c>
      <c r="B33" s="193">
        <f>'Données projet'!D46</f>
        <v>303</v>
      </c>
      <c r="C33" s="206">
        <v>180</v>
      </c>
      <c r="D33" s="194">
        <f t="shared" si="2"/>
        <v>54540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1850.6999999999998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50</v>
      </c>
      <c r="C54" s="204">
        <v>8</v>
      </c>
      <c r="D54" s="191">
        <f>B54*C54</f>
        <v>400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74</v>
      </c>
      <c r="C55" s="204">
        <v>8</v>
      </c>
      <c r="D55" s="191">
        <f t="shared" ref="D55:D73" si="4">B55*C55</f>
        <v>592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40</v>
      </c>
      <c r="B56" s="193">
        <f>'Données projet'!D64</f>
        <v>69</v>
      </c>
      <c r="C56" s="204">
        <v>8</v>
      </c>
      <c r="D56" s="191">
        <f t="shared" si="4"/>
        <v>552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50</v>
      </c>
      <c r="B57" s="193">
        <f>'Données projet'!D65</f>
        <v>59</v>
      </c>
      <c r="C57" s="204">
        <v>12</v>
      </c>
      <c r="D57" s="191">
        <f t="shared" si="4"/>
        <v>708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60</v>
      </c>
      <c r="B58" s="193">
        <f>'Données projet'!D66</f>
        <v>47</v>
      </c>
      <c r="C58" s="204">
        <v>18</v>
      </c>
      <c r="D58" s="191">
        <f t="shared" si="4"/>
        <v>846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70</v>
      </c>
      <c r="B59" s="193">
        <f>'Données projet'!D67</f>
        <v>37</v>
      </c>
      <c r="C59" s="204">
        <v>25</v>
      </c>
      <c r="D59" s="191">
        <f t="shared" si="4"/>
        <v>925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80</v>
      </c>
      <c r="B60" s="193">
        <f>'Données projet'!D68</f>
        <v>28</v>
      </c>
      <c r="C60" s="204">
        <v>30</v>
      </c>
      <c r="D60" s="191">
        <f t="shared" si="4"/>
        <v>840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90</v>
      </c>
      <c r="B61" s="193">
        <f>'Données projet'!D69</f>
        <v>248</v>
      </c>
      <c r="C61" s="204">
        <v>35</v>
      </c>
      <c r="D61" s="191">
        <f t="shared" si="4"/>
        <v>8680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991.02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3</v>
      </c>
      <c r="C85" s="204">
        <v>10</v>
      </c>
      <c r="D85" s="191">
        <f>B85*C85</f>
        <v>30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30</v>
      </c>
      <c r="B86" s="193">
        <f>'Données projet'!D89</f>
        <v>70</v>
      </c>
      <c r="C86" s="204">
        <v>15</v>
      </c>
      <c r="D86" s="191">
        <f t="shared" ref="D86:D104" si="6">B86*C86</f>
        <v>1050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40</v>
      </c>
      <c r="B87" s="193">
        <f>'Données projet'!D90</f>
        <v>70</v>
      </c>
      <c r="C87" s="204">
        <v>25</v>
      </c>
      <c r="D87" s="191">
        <f t="shared" si="6"/>
        <v>1750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50</v>
      </c>
      <c r="B88" s="193">
        <f>'Données projet'!D91</f>
        <v>70</v>
      </c>
      <c r="C88" s="204">
        <v>35</v>
      </c>
      <c r="D88" s="191">
        <f t="shared" si="6"/>
        <v>2450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60</v>
      </c>
      <c r="B89" s="193">
        <f>'Données projet'!D92</f>
        <v>57</v>
      </c>
      <c r="C89" s="204">
        <v>40</v>
      </c>
      <c r="D89" s="191">
        <f t="shared" si="6"/>
        <v>2280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70</v>
      </c>
      <c r="B90" s="193">
        <f>'Données projet'!D93</f>
        <v>44</v>
      </c>
      <c r="C90" s="204">
        <v>50</v>
      </c>
      <c r="D90" s="191">
        <f t="shared" si="6"/>
        <v>2200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80</v>
      </c>
      <c r="B91" s="193">
        <f>'Données projet'!D94</f>
        <v>450</v>
      </c>
      <c r="C91" s="204">
        <v>60</v>
      </c>
      <c r="D91" s="191">
        <f t="shared" si="6"/>
        <v>27000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C41B5521-ED4D-41A0-AF10-9EEA36C6D82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2022-12-08T11:36:40Z</dcterms:modified>
</cp:coreProperties>
</file>