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Reims\Les Forges\"/>
    </mc:Choice>
  </mc:AlternateContent>
  <xr:revisionPtr revIDLastSave="0" documentId="13_ncr:1_{3C43513F-64BA-4B0B-9217-EA3FF3D8D95C}" xr6:coauthVersionLast="47" xr6:coauthVersionMax="47" xr10:uidLastSave="{00000000-0000-0000-0000-000000000000}"/>
  <bookViews>
    <workbookView xWindow="-120" yWindow="-120" windowWidth="29040" windowHeight="1584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0" i="1" l="1"/>
  <c r="B150" i="1"/>
  <c r="D149" i="1"/>
  <c r="D148" i="1"/>
  <c r="D147" i="1"/>
  <c r="D146" i="1"/>
  <c r="D145" i="1"/>
  <c r="D144" i="1"/>
  <c r="D143" i="1"/>
  <c r="D142" i="1"/>
  <c r="D141" i="1"/>
  <c r="D140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A4" i="2"/>
  <c r="BQ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W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HG18" i="2"/>
  <c r="EV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EV64" i="2" s="1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FS75" i="2"/>
  <c r="HG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EB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HH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A155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H159" i="2"/>
  <c r="EC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FS160" i="2"/>
  <c r="DG160" i="2"/>
  <c r="EC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EA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HH162" i="2"/>
  <c r="HG162" i="2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DI163" i="2"/>
  <c r="EA164" i="2"/>
  <c r="EX164" i="2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A165" i="2"/>
  <c r="HG165" i="2"/>
  <c r="EX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V179" i="2" l="1"/>
  <c r="DF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W192" i="2" l="1"/>
  <c r="HG192" i="2"/>
  <c r="EA192" i="2"/>
  <c r="EV192" i="2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HI193" i="2" l="1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DH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I200" i="2" s="1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A201" i="2" l="1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82" i="2" a="1"/>
  <c r="BC82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64" i="2" a="1"/>
  <c r="BC164" i="2" s="1"/>
  <c r="BC83" i="2" a="1"/>
  <c r="BC83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90" i="2" l="1" a="1"/>
  <c r="AH90" i="2" s="1"/>
  <c r="AH151" i="2" a="1"/>
  <c r="AH151" i="2" s="1"/>
  <c r="BC151" i="2" a="1"/>
  <c r="BC151" i="2" s="1"/>
  <c r="BC192" i="2" a="1"/>
  <c r="BC192" i="2" s="1"/>
  <c r="BC47" i="2" a="1"/>
  <c r="BC47" i="2" s="1"/>
  <c r="BC7" i="2" a="1"/>
  <c r="BC7" i="2" s="1"/>
  <c r="BC55" i="2" a="1"/>
  <c r="BC55" i="2" s="1"/>
  <c r="BC68" i="2" a="1"/>
  <c r="BC68" i="2" s="1"/>
  <c r="BC117" i="2" a="1"/>
  <c r="BC117" i="2" s="1"/>
  <c r="BC58" i="2" a="1"/>
  <c r="BC58" i="2" s="1"/>
  <c r="BC130" i="2" a="1"/>
  <c r="BC130" i="2" s="1"/>
  <c r="BC143" i="2" a="1"/>
  <c r="BC143" i="2" s="1"/>
  <c r="BC181" i="2" a="1"/>
  <c r="BC181" i="2" s="1"/>
  <c r="BC34" i="2" a="1"/>
  <c r="BC34" i="2" s="1"/>
  <c r="BC185" i="2" a="1"/>
  <c r="BC185" i="2" s="1"/>
  <c r="BC31" i="2" a="1"/>
  <c r="BC31" i="2" s="1"/>
  <c r="BC65" i="2" a="1"/>
  <c r="BC65" i="2" s="1"/>
  <c r="BC18" i="2" a="1"/>
  <c r="BC18" i="2" s="1"/>
  <c r="BC84" i="2" a="1"/>
  <c r="BC84" i="2" s="1"/>
  <c r="BC114" i="2" a="1"/>
  <c r="BC114" i="2" s="1"/>
  <c r="BC38" i="2" a="1"/>
  <c r="BC38" i="2" s="1"/>
  <c r="BC32" i="2" a="1"/>
  <c r="BC32" i="2" s="1"/>
  <c r="BC126" i="2" a="1"/>
  <c r="BC126" i="2" s="1"/>
  <c r="BP203" i="2"/>
  <c r="HG203" i="2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Y30" i="2" l="1"/>
  <c r="CY4" i="2"/>
  <c r="CY24" i="2"/>
  <c r="CY158" i="2"/>
  <c r="CY99" i="2"/>
  <c r="CY162" i="2"/>
  <c r="CY177" i="2"/>
  <c r="CY178" i="2"/>
  <c r="CY36" i="2"/>
  <c r="CY164" i="2"/>
  <c r="CY144" i="2"/>
  <c r="CY47" i="2"/>
  <c r="CY52" i="2"/>
  <c r="CY56" i="2"/>
  <c r="CY197" i="2"/>
  <c r="CY48" i="2"/>
  <c r="CY141" i="2"/>
  <c r="CY72" i="2"/>
  <c r="CY116" i="2"/>
  <c r="CY193" i="2"/>
  <c r="CY163" i="2"/>
  <c r="CY151" i="2"/>
  <c r="CY85" i="2"/>
  <c r="CY89" i="2"/>
  <c r="CY80" i="2"/>
  <c r="CY194" i="2"/>
  <c r="CY132" i="2"/>
  <c r="CY78" i="2"/>
  <c r="CY88" i="2"/>
  <c r="CY59" i="2"/>
  <c r="CY161" i="2"/>
  <c r="CY44" i="2"/>
  <c r="CY127" i="2"/>
  <c r="CY189" i="2"/>
  <c r="CY134" i="2"/>
  <c r="CY101" i="2"/>
  <c r="CY104" i="2"/>
  <c r="CY129" i="2"/>
  <c r="CY74" i="2"/>
  <c r="CY179" i="2"/>
  <c r="CY183" i="2"/>
  <c r="CY120" i="2"/>
  <c r="CY3" i="2"/>
  <c r="C10" i="4" s="1"/>
  <c r="E10" i="4" s="1"/>
  <c r="F10" i="4" s="1"/>
  <c r="G10" i="4" s="1"/>
  <c r="L10" i="4" s="1"/>
  <c r="CY37" i="2"/>
  <c r="CY176" i="2"/>
  <c r="CY50" i="2"/>
  <c r="CY131" i="2"/>
  <c r="CY35" i="2"/>
  <c r="CY8" i="2"/>
  <c r="CY67" i="2"/>
  <c r="CY12" i="2"/>
  <c r="CY195" i="2"/>
  <c r="CY33" i="2"/>
  <c r="CY185" i="2"/>
  <c r="CY103" i="2"/>
  <c r="CY133" i="2"/>
  <c r="CY145" i="2"/>
  <c r="CY13" i="2"/>
  <c r="CY111" i="2"/>
  <c r="CY71" i="2"/>
  <c r="CY46" i="2"/>
  <c r="CY152" i="2"/>
  <c r="CY84" i="2"/>
  <c r="CY51" i="2"/>
  <c r="CY62" i="2"/>
  <c r="CY175" i="2"/>
  <c r="CY42" i="2"/>
  <c r="CY200" i="2"/>
  <c r="CY146" i="2"/>
  <c r="CY91" i="2"/>
  <c r="CY58" i="2"/>
  <c r="CY68" i="2"/>
  <c r="CY57" i="2"/>
  <c r="CY117" i="2"/>
  <c r="CY90" i="2"/>
  <c r="CY154" i="2"/>
  <c r="CY94" i="2"/>
  <c r="CY126" i="2"/>
  <c r="CY92" i="2"/>
  <c r="CY198" i="2"/>
  <c r="CY186" i="2"/>
  <c r="CY137" i="2"/>
  <c r="CY109" i="2"/>
  <c r="CY156" i="2"/>
  <c r="CY138" i="2"/>
  <c r="CY119" i="2"/>
  <c r="CY181" i="2"/>
  <c r="CY169" i="2"/>
  <c r="CY157" i="2"/>
  <c r="CY173" i="2"/>
  <c r="CY153" i="2"/>
  <c r="CY114" i="2"/>
  <c r="CY160" i="2"/>
  <c r="CY174" i="2"/>
  <c r="CY139" i="2"/>
  <c r="CY140" i="2"/>
  <c r="CY106" i="2"/>
  <c r="CY142" i="2"/>
  <c r="CY66" i="2"/>
  <c r="CY95" i="2"/>
  <c r="CY53" i="2"/>
  <c r="CY148" i="2"/>
  <c r="CY182" i="2"/>
  <c r="CY190" i="2"/>
  <c r="CY49" i="2"/>
  <c r="CY187" i="2"/>
  <c r="CY77" i="2"/>
  <c r="CY159" i="2"/>
  <c r="CY108" i="2"/>
  <c r="CY122" i="2"/>
  <c r="CY83" i="2"/>
  <c r="CY102" i="2"/>
  <c r="CY167" i="2"/>
  <c r="CY166" i="2"/>
  <c r="CY150" i="2"/>
  <c r="CY41" i="2"/>
  <c r="CY192" i="2"/>
  <c r="CY10" i="2"/>
  <c r="CY54" i="2"/>
  <c r="CY21" i="2"/>
  <c r="CY124" i="2"/>
  <c r="CY93" i="2"/>
  <c r="CY63" i="2"/>
  <c r="CY118" i="2"/>
  <c r="CY105" i="2"/>
  <c r="CY45" i="2"/>
  <c r="CY7" i="2"/>
  <c r="CY136" i="2"/>
  <c r="CY81" i="2"/>
  <c r="CY203" i="2"/>
  <c r="CY29" i="2"/>
  <c r="CY202" i="2"/>
  <c r="CY149" i="2"/>
  <c r="CY87" i="2"/>
  <c r="CY98" i="2"/>
  <c r="CY75" i="2"/>
  <c r="CY112" i="2"/>
  <c r="CY191" i="2"/>
  <c r="CY65" i="2"/>
  <c r="CY130" i="2"/>
  <c r="CY14" i="2"/>
  <c r="CY15" i="2"/>
  <c r="CY123" i="2"/>
  <c r="CY32" i="2"/>
  <c r="CY61" i="2"/>
  <c r="CY113" i="2"/>
  <c r="CY25" i="2"/>
  <c r="CY38" i="2"/>
  <c r="CY22" i="2"/>
  <c r="CY107" i="2"/>
  <c r="CY86" i="2"/>
  <c r="CY31" i="2"/>
  <c r="CY82" i="2"/>
  <c r="CY155" i="2"/>
  <c r="CY180" i="2"/>
  <c r="CY201" i="2"/>
  <c r="CY199" i="2"/>
  <c r="CY135" i="2"/>
  <c r="CY143" i="2"/>
  <c r="CY125" i="2"/>
  <c r="CY184" i="2"/>
  <c r="CY9" i="2"/>
  <c r="CY96" i="2"/>
  <c r="CY170" i="2"/>
  <c r="CY18" i="2"/>
  <c r="CY79" i="2"/>
  <c r="CY188" i="2"/>
  <c r="CY34" i="2"/>
  <c r="CY55" i="2"/>
  <c r="CY110" i="2"/>
  <c r="CY168" i="2"/>
  <c r="CY64" i="2"/>
  <c r="CY16" i="2"/>
  <c r="CY39" i="2"/>
  <c r="CY70" i="2"/>
  <c r="CY40" i="2"/>
  <c r="CY6" i="2"/>
  <c r="CY121" i="2"/>
  <c r="CY23" i="2"/>
  <c r="CY147" i="2"/>
  <c r="CY196" i="2"/>
  <c r="CY73" i="2"/>
  <c r="CY76" i="2"/>
  <c r="CY97" i="2"/>
  <c r="CY115" i="2"/>
  <c r="CY27" i="2"/>
  <c r="CY5" i="2"/>
  <c r="CY28" i="2"/>
  <c r="CY19" i="2"/>
  <c r="CY165" i="2"/>
  <c r="CY20" i="2"/>
  <c r="CY60" i="2"/>
  <c r="CY17" i="2"/>
  <c r="CY100" i="2"/>
  <c r="CY128" i="2"/>
  <c r="CY43" i="2"/>
  <c r="CY172" i="2"/>
  <c r="CY69" i="2"/>
  <c r="CY11" i="2"/>
  <c r="CY171" i="2"/>
  <c r="CY26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<sst xmlns="http://schemas.openxmlformats.org/spreadsheetml/2006/main" count="1174" uniqueCount="324">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</sst>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9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9" fillId="14" borderId="54" xfId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/>
    </xf>
    <xf numFmtId="9" fontId="9" fillId="14" borderId="1" xfId="1" applyFont="1" applyFill="1" applyBorder="1" applyAlignment="1" applyProtection="1">
      <alignment horizontal="center" vertical="center"/>
      <protection locked="0"/>
    </xf>
    <xf numFmtId="9" fontId="9" fillId="14" borderId="1" xfId="0" applyNumberFormat="1" applyFont="1" applyFill="1" applyBorder="1" applyAlignment="1" applyProtection="1">
      <alignment horizontal="center" vertical="center"/>
      <protection locked="0"/>
    </xf>
    <xf numFmtId="168" fontId="0" fillId="14" borderId="55" xfId="0" applyNumberForma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98.711655844836244</c:v>
                </c:pt>
                <c:pt idx="22">
                  <c:v>111.22512582797835</c:v>
                </c:pt>
                <c:pt idx="23">
                  <c:v>123.70402111473783</c:v>
                </c:pt>
                <c:pt idx="24">
                  <c:v>136.15232577620694</c:v>
                </c:pt>
                <c:pt idx="25">
                  <c:v>148.57323391466869</c:v>
                </c:pt>
                <c:pt idx="26">
                  <c:v>160.96936079546251</c:v>
                </c:pt>
                <c:pt idx="27">
                  <c:v>173.342885263987</c:v>
                </c:pt>
                <c:pt idx="28">
                  <c:v>185.69564922944687</c:v>
                </c:pt>
                <c:pt idx="29">
                  <c:v>198.02922921541202</c:v>
                </c:pt>
                <c:pt idx="30">
                  <c:v>210.34498910896289</c:v>
                </c:pt>
                <c:pt idx="31">
                  <c:v>169.61345228889294</c:v>
                </c:pt>
                <c:pt idx="32">
                  <c:v>185.69564922944687</c:v>
                </c:pt>
                <c:pt idx="33">
                  <c:v>201.74532528316695</c:v>
                </c:pt>
                <c:pt idx="34">
                  <c:v>217.76543262779288</c:v>
                </c:pt>
                <c:pt idx="35">
                  <c:v>233.75845318467347</c:v>
                </c:pt>
                <c:pt idx="36">
                  <c:v>249.72650127853672</c:v>
                </c:pt>
                <c:pt idx="37">
                  <c:v>265.67139861401193</c:v>
                </c:pt>
                <c:pt idx="38">
                  <c:v>281.5947302821483</c:v>
                </c:pt>
                <c:pt idx="39">
                  <c:v>297.49788742006405</c:v>
                </c:pt>
                <c:pt idx="40">
                  <c:v>313.38210026249618</c:v>
                </c:pt>
                <c:pt idx="41">
                  <c:v>247.97507238738748</c:v>
                </c:pt>
                <c:pt idx="42">
                  <c:v>264.11677214797504</c:v>
                </c:pt>
                <c:pt idx="43">
                  <c:v>280.23622755830667</c:v>
                </c:pt>
                <c:pt idx="44">
                  <c:v>296.33489822464168</c:v>
                </c:pt>
                <c:pt idx="45">
                  <c:v>312.41407218540223</c:v>
                </c:pt>
                <c:pt idx="46">
                  <c:v>328.47489405645246</c:v>
                </c:pt>
                <c:pt idx="47">
                  <c:v>344.51838738035781</c:v>
                </c:pt>
                <c:pt idx="48">
                  <c:v>360.54547259299108</c:v>
                </c:pt>
                <c:pt idx="49">
                  <c:v>376.55698162745358</c:v>
                </c:pt>
                <c:pt idx="50">
                  <c:v>392.55366990377729</c:v>
                </c:pt>
                <c:pt idx="51">
                  <c:v>326.54079262774445</c:v>
                </c:pt>
                <c:pt idx="52">
                  <c:v>341.62020115511154</c:v>
                </c:pt>
                <c:pt idx="53">
                  <c:v>356.68497890922026</c:v>
                </c:pt>
                <c:pt idx="54">
                  <c:v>371.73583079258918</c:v>
                </c:pt>
                <c:pt idx="55">
                  <c:v>386.77339997206718</c:v>
                </c:pt>
                <c:pt idx="56">
                  <c:v>401.79827552592519</c:v>
                </c:pt>
                <c:pt idx="57">
                  <c:v>416.81099888731995</c:v>
                </c:pt>
                <c:pt idx="58">
                  <c:v>431.81206931097466</c:v>
                </c:pt>
                <c:pt idx="59">
                  <c:v>446.80194854062023</c:v>
                </c:pt>
                <c:pt idx="60">
                  <c:v>461.78106481747767</c:v>
                </c:pt>
                <c:pt idx="61">
                  <c:v>394.48001486506865</c:v>
                </c:pt>
                <c:pt idx="62">
                  <c:v>407.95878231757462</c:v>
                </c:pt>
                <c:pt idx="63">
                  <c:v>421.42793186976132</c:v>
                </c:pt>
                <c:pt idx="64">
                  <c:v>434.88781420496679</c:v>
                </c:pt>
                <c:pt idx="65">
                  <c:v>448.33875652973529</c:v>
                </c:pt>
                <c:pt idx="66">
                  <c:v>461.78106481747767</c:v>
                </c:pt>
                <c:pt idx="67">
                  <c:v>475.2150257772908</c:v>
                </c:pt>
                <c:pt idx="68">
                  <c:v>488.64090858857736</c:v>
                </c:pt>
                <c:pt idx="69">
                  <c:v>502.0589664351258</c:v>
                </c:pt>
                <c:pt idx="70">
                  <c:v>515.46943786668055</c:v>
                </c:pt>
                <c:pt idx="71">
                  <c:v>446.6098395921727</c:v>
                </c:pt>
                <c:pt idx="72">
                  <c:v>458.32527966923953</c:v>
                </c:pt>
                <c:pt idx="73">
                  <c:v>470.03432649602973</c:v>
                </c:pt>
                <c:pt idx="74">
                  <c:v>481.7371617829092</c:v>
                </c:pt>
                <c:pt idx="75">
                  <c:v>493.43395769164982</c:v>
                </c:pt>
                <c:pt idx="76">
                  <c:v>505.12487755644264</c:v>
                </c:pt>
                <c:pt idx="77">
                  <c:v>516.81007653469237</c:v>
                </c:pt>
                <c:pt idx="78">
                  <c:v>528.48970219589739</c:v>
                </c:pt>
                <c:pt idx="79">
                  <c:v>540.16389505577172</c:v>
                </c:pt>
                <c:pt idx="80">
                  <c:v>551.83278906179783</c:v>
                </c:pt>
                <c:pt idx="81">
                  <c:v>482.12075813367898</c:v>
                </c:pt>
                <c:pt idx="82">
                  <c:v>492.85884412246696</c:v>
                </c:pt>
                <c:pt idx="83">
                  <c:v>503.59197136026728</c:v>
                </c:pt>
                <c:pt idx="84">
                  <c:v>514.32026043494284</c:v>
                </c:pt>
                <c:pt idx="85">
                  <c:v>525.04382649327442</c:v>
                </c:pt>
                <c:pt idx="86">
                  <c:v>535.76277959494962</c:v>
                </c:pt>
                <c:pt idx="87">
                  <c:v>546.47722503675448</c:v>
                </c:pt>
                <c:pt idx="88">
                  <c:v>557.18726365001623</c:v>
                </c:pt>
                <c:pt idx="89">
                  <c:v>567.89299207399495</c:v>
                </c:pt>
                <c:pt idx="90">
                  <c:v>578.59450300758874</c:v>
                </c:pt>
                <c:pt idx="91">
                  <c:v>507.61564043595746</c:v>
                </c:pt>
                <c:pt idx="92">
                  <c:v>517.00159034875685</c:v>
                </c:pt>
                <c:pt idx="93">
                  <c:v>526.38394569812317</c:v>
                </c:pt>
                <c:pt idx="94">
                  <c:v>535.76277959494962</c:v>
                </c:pt>
                <c:pt idx="95">
                  <c:v>545.13816238142374</c:v>
                </c:pt>
                <c:pt idx="96">
                  <c:v>554.51016178271334</c:v>
                </c:pt>
                <c:pt idx="97">
                  <c:v>563.87884304786633</c:v>
                </c:pt>
                <c:pt idx="98">
                  <c:v>573.24426908085661</c:v>
                </c:pt>
                <c:pt idx="99">
                  <c:v>582.60650056262477</c:v>
                </c:pt>
                <c:pt idx="100">
                  <c:v>591.96559606486528</c:v>
                </c:pt>
                <c:pt idx="101">
                  <c:v>520.06560820994321</c:v>
                </c:pt>
                <c:pt idx="102">
                  <c:v>528.48970219589739</c:v>
                </c:pt>
                <c:pt idx="103">
                  <c:v>536.91096968482714</c:v>
                </c:pt>
                <c:pt idx="104">
                  <c:v>545.32946126917022</c:v>
                </c:pt>
                <c:pt idx="105">
                  <c:v>553.74522585166358</c:v>
                </c:pt>
                <c:pt idx="106">
                  <c:v>562.15831072715355</c:v>
                </c:pt>
                <c:pt idx="107">
                  <c:v>570.56876165925394</c:v>
                </c:pt>
                <c:pt idx="108">
                  <c:v>578.97662295224825</c:v>
                </c:pt>
                <c:pt idx="109">
                  <c:v>587.38193751859933</c:v>
                </c:pt>
                <c:pt idx="110">
                  <c:v>595.7847469423931</c:v>
                </c:pt>
                <c:pt idx="111">
                  <c:v>528.29827709857148</c:v>
                </c:pt>
                <c:pt idx="112">
                  <c:v>535.38003807305324</c:v>
                </c:pt>
                <c:pt idx="113">
                  <c:v>542.45982974284027</c:v>
                </c:pt>
                <c:pt idx="114">
                  <c:v>549.53768144295748</c:v>
                </c:pt>
                <c:pt idx="115">
                  <c:v>556.61362169091831</c:v>
                </c:pt>
                <c:pt idx="116">
                  <c:v>563.68767821983886</c:v>
                </c:pt>
                <c:pt idx="117">
                  <c:v>570.75987800979954</c:v>
                </c:pt>
                <c:pt idx="118">
                  <c:v>577.83024731757359</c:v>
                </c:pt>
                <c:pt idx="119">
                  <c:v>584.89881170482352</c:v>
                </c:pt>
                <c:pt idx="120">
                  <c:v>591.96559606486471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2.9758156199557515</c:v>
                </c:pt>
                <c:pt idx="2">
                  <c:v>3.9653026569590337</c:v>
                </c:pt>
                <c:pt idx="3">
                  <c:v>5.2851463938399075</c:v>
                </c:pt>
                <c:pt idx="4">
                  <c:v>7.0460633538091342</c:v>
                </c:pt>
                <c:pt idx="5">
                  <c:v>9.3960075889199022</c:v>
                </c:pt>
                <c:pt idx="6">
                  <c:v>12.53273587814193</c:v>
                </c:pt>
                <c:pt idx="7">
                  <c:v>16.72062557445792</c:v>
                </c:pt>
                <c:pt idx="8">
                  <c:v>22.313188331922618</c:v>
                </c:pt>
                <c:pt idx="9">
                  <c:v>29.783213949804821</c:v>
                </c:pt>
                <c:pt idx="10">
                  <c:v>39.763136997095295</c:v>
                </c:pt>
                <c:pt idx="11">
                  <c:v>53.099101927027704</c:v>
                </c:pt>
                <c:pt idx="12">
                  <c:v>70.9233868359387</c:v>
                </c:pt>
                <c:pt idx="13">
                  <c:v>94.751434931417066</c:v>
                </c:pt>
                <c:pt idx="14">
                  <c:v>126.61187452414181</c:v>
                </c:pt>
                <c:pt idx="15">
                  <c:v>169.22076873606747</c:v>
                </c:pt>
                <c:pt idx="16">
                  <c:v>156.31763533587534</c:v>
                </c:pt>
                <c:pt idx="17">
                  <c:v>183.23613938898788</c:v>
                </c:pt>
                <c:pt idx="18">
                  <c:v>210.06205920782259</c:v>
                </c:pt>
                <c:pt idx="19">
                  <c:v>236.80889001154432</c:v>
                </c:pt>
                <c:pt idx="20">
                  <c:v>263.48682168593842</c:v>
                </c:pt>
                <c:pt idx="21">
                  <c:v>207.79830222105878</c:v>
                </c:pt>
                <c:pt idx="22">
                  <c:v>233.04610621025813</c:v>
                </c:pt>
                <c:pt idx="23">
                  <c:v>258.2314337725993</c:v>
                </c:pt>
                <c:pt idx="24">
                  <c:v>283.36123337871362</c:v>
                </c:pt>
                <c:pt idx="25">
                  <c:v>308.44111949657554</c:v>
                </c:pt>
                <c:pt idx="26">
                  <c:v>333.47571872180373</c:v>
                </c:pt>
                <c:pt idx="27">
                  <c:v>358.46890629665114</c:v>
                </c:pt>
                <c:pt idx="28">
                  <c:v>383.42397311131054</c:v>
                </c:pt>
                <c:pt idx="29">
                  <c:v>408.34374690780311</c:v>
                </c:pt>
                <c:pt idx="30">
                  <c:v>433.2306823305874</c:v>
                </c:pt>
                <c:pt idx="31">
                  <c:v>290.66553097703115</c:v>
                </c:pt>
                <c:pt idx="32">
                  <c:v>312.18040027213084</c:v>
                </c:pt>
                <c:pt idx="33">
                  <c:v>333.66238399485127</c:v>
                </c:pt>
                <c:pt idx="34">
                  <c:v>355.11389600890448</c:v>
                </c:pt>
                <c:pt idx="35">
                  <c:v>376.53703482084643</c:v>
                </c:pt>
                <c:pt idx="36">
                  <c:v>397.93364074958509</c:v>
                </c:pt>
                <c:pt idx="37">
                  <c:v>419.30534015273292</c:v>
                </c:pt>
                <c:pt idx="38">
                  <c:v>440.65358016358806</c:v>
                </c:pt>
                <c:pt idx="39">
                  <c:v>461.9796563449915</c:v>
                </c:pt>
                <c:pt idx="40">
                  <c:v>483.28473497109502</c:v>
                </c:pt>
                <c:pt idx="41">
                  <c:v>350.26654178094645</c:v>
                </c:pt>
                <c:pt idx="42">
                  <c:v>367.78479630486146</c:v>
                </c:pt>
                <c:pt idx="43">
                  <c:v>385.28484395959777</c:v>
                </c:pt>
                <c:pt idx="44">
                  <c:v>402.76762782233146</c:v>
                </c:pt>
                <c:pt idx="45">
                  <c:v>420.23400244347687</c:v>
                </c:pt>
                <c:pt idx="46">
                  <c:v>437.68474556682287</c:v>
                </c:pt>
                <c:pt idx="47">
                  <c:v>455.12056788314362</c:v>
                </c:pt>
                <c:pt idx="48">
                  <c:v>472.54212121143911</c:v>
                </c:pt>
                <c:pt idx="49">
                  <c:v>489.95000541105492</c:v>
                </c:pt>
                <c:pt idx="50">
                  <c:v>507.34477426054764</c:v>
                </c:pt>
                <c:pt idx="51">
                  <c:v>392.72638504489879</c:v>
                </c:pt>
                <c:pt idx="52">
                  <c:v>406.11349808426439</c:v>
                </c:pt>
                <c:pt idx="53">
                  <c:v>419.49107615312863</c:v>
                </c:pt>
                <c:pt idx="54">
                  <c:v>432.85946614650538</c:v>
                </c:pt>
                <c:pt idx="55">
                  <c:v>446.21899178570385</c:v>
                </c:pt>
                <c:pt idx="56">
                  <c:v>459.56995582844667</c:v>
                </c:pt>
                <c:pt idx="57">
                  <c:v>472.9126420088009</c:v>
                </c:pt>
                <c:pt idx="58">
                  <c:v>486.24731674679327</c:v>
                </c:pt>
                <c:pt idx="59">
                  <c:v>499.57423066075063</c:v>
                </c:pt>
                <c:pt idx="60">
                  <c:v>512.89361990988994</c:v>
                </c:pt>
                <c:pt idx="61">
                  <c:v>421.34833884363485</c:v>
                </c:pt>
                <c:pt idx="62">
                  <c:v>431.74577653680234</c:v>
                </c:pt>
                <c:pt idx="63">
                  <c:v>442.1378364455864</c:v>
                </c:pt>
                <c:pt idx="64">
                  <c:v>452.5246628164245</c:v>
                </c:pt>
                <c:pt idx="65">
                  <c:v>462.90639273248468</c:v>
                </c:pt>
                <c:pt idx="66">
                  <c:v>473.28315662550813</c:v>
                </c:pt>
                <c:pt idx="67">
                  <c:v>483.65507874042174</c:v>
                </c:pt>
                <c:pt idx="68">
                  <c:v>494.02227755801908</c:v>
                </c:pt>
                <c:pt idx="69">
                  <c:v>504.38486618031328</c:v>
                </c:pt>
                <c:pt idx="70">
                  <c:v>514.74295268257481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1.8462109889683529</c:v>
                </c:pt>
                <c:pt idx="2">
                  <c:v>2.3451489488503281</c:v>
                </c:pt>
                <c:pt idx="3">
                  <c:v>2.9794649120615269</c:v>
                </c:pt>
                <c:pt idx="4">
                  <c:v>3.786029750845104</c:v>
                </c:pt>
                <c:pt idx="5">
                  <c:v>4.8117916429562113</c:v>
                </c:pt>
                <c:pt idx="6">
                  <c:v>6.1165393222775526</c:v>
                </c:pt>
                <c:pt idx="7">
                  <c:v>7.776425305000866</c:v>
                </c:pt>
                <c:pt idx="8">
                  <c:v>9.8884586824205432</c:v>
                </c:pt>
                <c:pt idx="9">
                  <c:v>12.576235018664383</c:v>
                </c:pt>
                <c:pt idx="10">
                  <c:v>15.997244896491198</c:v>
                </c:pt>
                <c:pt idx="11">
                  <c:v>35.11946593524749</c:v>
                </c:pt>
                <c:pt idx="12">
                  <c:v>53.941533317200332</c:v>
                </c:pt>
                <c:pt idx="13">
                  <c:v>72.587839462606041</c:v>
                </c:pt>
                <c:pt idx="14">
                  <c:v>91.110686124684605</c:v>
                </c:pt>
                <c:pt idx="15">
                  <c:v>109.53891756394221</c:v>
                </c:pt>
                <c:pt idx="16">
                  <c:v>127.89076379214985</c:v>
                </c:pt>
                <c:pt idx="17">
                  <c:v>146.17875680898462</c:v>
                </c:pt>
                <c:pt idx="18">
                  <c:v>164.41202153837858</c:v>
                </c:pt>
                <c:pt idx="19">
                  <c:v>182.59748696177417</c:v>
                </c:pt>
                <c:pt idx="20">
                  <c:v>200.74058596732007</c:v>
                </c:pt>
                <c:pt idx="21">
                  <c:v>151.28925619778201</c:v>
                </c:pt>
                <c:pt idx="22">
                  <c:v>178.23702366279221</c:v>
                </c:pt>
                <c:pt idx="23">
                  <c:v>205.08912920241869</c:v>
                </c:pt>
                <c:pt idx="24">
                  <c:v>231.85987083514172</c:v>
                </c:pt>
                <c:pt idx="25">
                  <c:v>258.55996582862002</c:v>
                </c:pt>
                <c:pt idx="26">
                  <c:v>285.19773351607643</c:v>
                </c:pt>
                <c:pt idx="27">
                  <c:v>311.77981081702814</c:v>
                </c:pt>
                <c:pt idx="28">
                  <c:v>338.31161007994922</c:v>
                </c:pt>
                <c:pt idx="29">
                  <c:v>364.79762541449355</c:v>
                </c:pt>
                <c:pt idx="30">
                  <c:v>391.24164524422287</c:v>
                </c:pt>
                <c:pt idx="31">
                  <c:v>283.75933157442824</c:v>
                </c:pt>
                <c:pt idx="32">
                  <c:v>310.10500044645295</c:v>
                </c:pt>
                <c:pt idx="33">
                  <c:v>336.40098850741833</c:v>
                </c:pt>
                <c:pt idx="34">
                  <c:v>362.6517220826974</c:v>
                </c:pt>
                <c:pt idx="35">
                  <c:v>388.86093454636375</c:v>
                </c:pt>
                <c:pt idx="36">
                  <c:v>415.03181517088063</c:v>
                </c:pt>
                <c:pt idx="37">
                  <c:v>441.16711844087371</c:v>
                </c:pt>
                <c:pt idx="38">
                  <c:v>467.26924609904478</c:v>
                </c:pt>
                <c:pt idx="39">
                  <c:v>493.34030989948968</c:v>
                </c:pt>
                <c:pt idx="40">
                  <c:v>519.3821804047584</c:v>
                </c:pt>
                <c:pt idx="41">
                  <c:v>409.3249286811602</c:v>
                </c:pt>
                <c:pt idx="42">
                  <c:v>432.14242504303388</c:v>
                </c:pt>
                <c:pt idx="43">
                  <c:v>454.93405296728002</c:v>
                </c:pt>
                <c:pt idx="44">
                  <c:v>477.701289583191</c:v>
                </c:pt>
                <c:pt idx="45">
                  <c:v>500.44545984540667</c:v>
                </c:pt>
                <c:pt idx="46">
                  <c:v>523.16775855438141</c:v>
                </c:pt>
                <c:pt idx="47">
                  <c:v>545.86926835341148</c:v>
                </c:pt>
                <c:pt idx="48">
                  <c:v>568.55097457736008</c:v>
                </c:pt>
                <c:pt idx="49">
                  <c:v>591.21377760988844</c:v>
                </c:pt>
                <c:pt idx="50">
                  <c:v>613.85850324857017</c:v>
                </c:pt>
                <c:pt idx="51">
                  <c:v>505.41779238953194</c:v>
                </c:pt>
                <c:pt idx="52">
                  <c:v>524.58720128194273</c:v>
                </c:pt>
                <c:pt idx="53">
                  <c:v>543.74185767351298</c:v>
                </c:pt>
                <c:pt idx="54">
                  <c:v>562.88235401865029</c:v>
                </c:pt>
                <c:pt idx="55">
                  <c:v>582.00923922497111</c:v>
                </c:pt>
                <c:pt idx="56">
                  <c:v>601.12302320907963</c:v>
                </c:pt>
                <c:pt idx="57">
                  <c:v>620.22418084313767</c:v>
                </c:pt>
                <c:pt idx="58">
                  <c:v>639.31315539031277</c:v>
                </c:pt>
                <c:pt idx="59">
                  <c:v>658.39036150888137</c:v>
                </c:pt>
                <c:pt idx="60">
                  <c:v>677.45618789031789</c:v>
                </c:pt>
                <c:pt idx="61">
                  <c:v>595.46101689050818</c:v>
                </c:pt>
                <c:pt idx="62">
                  <c:v>611.26468734168623</c:v>
                </c:pt>
                <c:pt idx="63">
                  <c:v>627.05988300825231</c:v>
                </c:pt>
                <c:pt idx="64">
                  <c:v>642.84684729505659</c:v>
                </c:pt>
                <c:pt idx="65">
                  <c:v>658.62581068526822</c:v>
                </c:pt>
                <c:pt idx="66">
                  <c:v>674.39699172585108</c:v>
                </c:pt>
                <c:pt idx="67">
                  <c:v>690.16059791612599</c:v>
                </c:pt>
                <c:pt idx="68">
                  <c:v>705.91682651099427</c:v>
                </c:pt>
                <c:pt idx="69">
                  <c:v>721.66586524877459</c:v>
                </c:pt>
                <c:pt idx="70">
                  <c:v>737.40789301225266</c:v>
                </c:pt>
                <c:pt idx="71">
                  <c:v>670.86679558240803</c:v>
                </c:pt>
                <c:pt idx="72">
                  <c:v>683.10319046019015</c:v>
                </c:pt>
                <c:pt idx="73">
                  <c:v>695.33508908742158</c:v>
                </c:pt>
                <c:pt idx="74">
                  <c:v>707.56258166653413</c:v>
                </c:pt>
                <c:pt idx="75">
                  <c:v>719.78575502980368</c:v>
                </c:pt>
                <c:pt idx="76">
                  <c:v>732.00469282155143</c:v>
                </c:pt>
                <c:pt idx="77">
                  <c:v>744.21947566755978</c:v>
                </c:pt>
                <c:pt idx="78">
                  <c:v>756.4301813327919</c:v>
                </c:pt>
                <c:pt idx="79">
                  <c:v>768.63688486840704</c:v>
                </c:pt>
                <c:pt idx="80">
                  <c:v>780.83965874895682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2.7107663053215236</c:v>
                </c:pt>
                <c:pt idx="2">
                  <c:v>3.6004031596664068</c:v>
                </c:pt>
                <c:pt idx="3">
                  <c:v>4.7832008576956815</c:v>
                </c:pt>
                <c:pt idx="4">
                  <c:v>6.3561344603907548</c:v>
                </c:pt>
                <c:pt idx="5">
                  <c:v>8.4483718197588118</c:v>
                </c:pt>
                <c:pt idx="6">
                  <c:v>11.231995762089561</c:v>
                </c:pt>
                <c:pt idx="7">
                  <c:v>14.936308191087944</c:v>
                </c:pt>
                <c:pt idx="8">
                  <c:v>19.866916000031427</c:v>
                </c:pt>
                <c:pt idx="9">
                  <c:v>26.431201628981615</c:v>
                </c:pt>
                <c:pt idx="10">
                  <c:v>35.172319671970541</c:v>
                </c:pt>
                <c:pt idx="11">
                  <c:v>50.012073725257359</c:v>
                </c:pt>
                <c:pt idx="12">
                  <c:v>77.08120966239666</c:v>
                </c:pt>
                <c:pt idx="13">
                  <c:v>103.90440983308274</c:v>
                </c:pt>
                <c:pt idx="14">
                  <c:v>130.55517654420012</c:v>
                </c:pt>
                <c:pt idx="15">
                  <c:v>157.07393134451593</c:v>
                </c:pt>
                <c:pt idx="16">
                  <c:v>183.48617958317871</c:v>
                </c:pt>
                <c:pt idx="17">
                  <c:v>209.80943579279696</c:v>
                </c:pt>
                <c:pt idx="18">
                  <c:v>236.05644310479684</c:v>
                </c:pt>
                <c:pt idx="19">
                  <c:v>262.23687244847355</c:v>
                </c:pt>
                <c:pt idx="20">
                  <c:v>288.35830325418613</c:v>
                </c:pt>
                <c:pt idx="21">
                  <c:v>172.79475770327392</c:v>
                </c:pt>
                <c:pt idx="22">
                  <c:v>201.38794810744199</c:v>
                </c:pt>
                <c:pt idx="23">
                  <c:v>229.88698491526694</c:v>
                </c:pt>
                <c:pt idx="24">
                  <c:v>258.30518668908661</c:v>
                </c:pt>
                <c:pt idx="25">
                  <c:v>286.65269579557503</c:v>
                </c:pt>
                <c:pt idx="26">
                  <c:v>314.93748241651093</c:v>
                </c:pt>
                <c:pt idx="27">
                  <c:v>343.16596745045558</c:v>
                </c:pt>
                <c:pt idx="28">
                  <c:v>371.34342911371255</c:v>
                </c:pt>
                <c:pt idx="29">
                  <c:v>399.47427941517589</c:v>
                </c:pt>
                <c:pt idx="30">
                  <c:v>427.56225857158444</c:v>
                </c:pt>
                <c:pt idx="31">
                  <c:v>309.14898880791981</c:v>
                </c:pt>
                <c:pt idx="32">
                  <c:v>333.30905135288299</c:v>
                </c:pt>
                <c:pt idx="33">
                  <c:v>357.43052450627101</c:v>
                </c:pt>
                <c:pt idx="34">
                  <c:v>381.51637667477098</c:v>
                </c:pt>
                <c:pt idx="35">
                  <c:v>405.56917103469459</c:v>
                </c:pt>
                <c:pt idx="36">
                  <c:v>429.591142098538</c:v>
                </c:pt>
                <c:pt idx="37">
                  <c:v>453.58425425555083</c:v>
                </c:pt>
                <c:pt idx="38">
                  <c:v>477.55024727803635</c:v>
                </c:pt>
                <c:pt idx="39">
                  <c:v>501.49067221683981</c:v>
                </c:pt>
                <c:pt idx="40">
                  <c:v>525.40692008667054</c:v>
                </c:pt>
                <c:pt idx="41">
                  <c:v>404.89205924312722</c:v>
                </c:pt>
                <c:pt idx="42">
                  <c:v>422.8273897461234</c:v>
                </c:pt>
                <c:pt idx="43">
                  <c:v>440.74634931773704</c:v>
                </c:pt>
                <c:pt idx="44">
                  <c:v>458.64969689218077</c:v>
                </c:pt>
                <c:pt idx="45">
                  <c:v>476.53812734890556</c:v>
                </c:pt>
                <c:pt idx="46">
                  <c:v>494.41227916982399</c:v>
                </c:pt>
                <c:pt idx="47">
                  <c:v>512.27274093187054</c:v>
                </c:pt>
                <c:pt idx="48">
                  <c:v>530.12005684727092</c:v>
                </c:pt>
                <c:pt idx="49">
                  <c:v>547.95473151918964</c:v>
                </c:pt>
                <c:pt idx="50">
                  <c:v>565.77723404629717</c:v>
                </c:pt>
                <c:pt idx="51">
                  <c:v>499.97405284862151</c:v>
                </c:pt>
                <c:pt idx="52">
                  <c:v>513.28331243589093</c:v>
                </c:pt>
                <c:pt idx="53">
                  <c:v>526.5852874427726</c:v>
                </c:pt>
                <c:pt idx="54">
                  <c:v>539.88018776365902</c:v>
                </c:pt>
                <c:pt idx="55">
                  <c:v>553.16821211526496</c:v>
                </c:pt>
                <c:pt idx="56">
                  <c:v>566.44954889170663</c:v>
                </c:pt>
                <c:pt idx="57">
                  <c:v>579.72437693524057</c:v>
                </c:pt>
                <c:pt idx="58">
                  <c:v>592.99286623276146</c:v>
                </c:pt>
                <c:pt idx="59">
                  <c:v>606.25517854674536</c:v>
                </c:pt>
                <c:pt idx="60">
                  <c:v>619.51146798813386</c:v>
                </c:pt>
                <c:pt idx="61">
                  <c:v>570.14698291036473</c:v>
                </c:pt>
                <c:pt idx="62">
                  <c:v>579.55638109772792</c:v>
                </c:pt>
                <c:pt idx="63">
                  <c:v>588.96259328593146</c:v>
                </c:pt>
                <c:pt idx="64">
                  <c:v>598.36567752986139</c:v>
                </c:pt>
                <c:pt idx="65">
                  <c:v>607.76568991108991</c:v>
                </c:pt>
                <c:pt idx="66">
                  <c:v>617.16268463508527</c:v>
                </c:pt>
                <c:pt idx="67">
                  <c:v>626.55671412219226</c:v>
                </c:pt>
                <c:pt idx="68">
                  <c:v>635.94782909287676</c:v>
                </c:pt>
                <c:pt idx="69">
                  <c:v>645.3360786476718</c:v>
                </c:pt>
                <c:pt idx="70">
                  <c:v>654.72151034223259</c:v>
                </c:pt>
                <c:pt idx="71">
                  <c:v>610.11521941995238</c:v>
                </c:pt>
                <c:pt idx="72">
                  <c:v>617.49823644137302</c:v>
                </c:pt>
                <c:pt idx="73">
                  <c:v>624.8794240523298</c:v>
                </c:pt>
                <c:pt idx="74">
                  <c:v>632.25880691092414</c:v>
                </c:pt>
                <c:pt idx="75">
                  <c:v>639.63640905269369</c:v>
                </c:pt>
                <c:pt idx="76">
                  <c:v>647.01225391348623</c:v>
                </c:pt>
                <c:pt idx="77">
                  <c:v>654.38636435123374</c:v>
                </c:pt>
                <c:pt idx="78">
                  <c:v>661.75876266669763</c:v>
                </c:pt>
                <c:pt idx="79">
                  <c:v>669.12947062323872</c:v>
                </c:pt>
                <c:pt idx="80">
                  <c:v>676.49850946567256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2.5012754045124868</c:v>
                </c:pt>
                <c:pt idx="2">
                  <c:v>3.1241091981225044</c:v>
                </c:pt>
                <c:pt idx="3">
                  <c:v>3.9026349853492062</c:v>
                </c:pt>
                <c:pt idx="4">
                  <c:v>4.875913652527486</c:v>
                </c:pt>
                <c:pt idx="5">
                  <c:v>6.0928392488002023</c:v>
                </c:pt>
                <c:pt idx="6">
                  <c:v>7.6146221829669374</c:v>
                </c:pt>
                <c:pt idx="7">
                  <c:v>9.5179013286669623</c:v>
                </c:pt>
                <c:pt idx="8">
                  <c:v>11.898644741697325</c:v>
                </c:pt>
                <c:pt idx="9">
                  <c:v>14.877039346184711</c:v>
                </c:pt>
                <c:pt idx="10">
                  <c:v>18.603620970190601</c:v>
                </c:pt>
                <c:pt idx="11">
                  <c:v>23.266960157085219</c:v>
                </c:pt>
                <c:pt idx="12">
                  <c:v>29.103299576449643</c:v>
                </c:pt>
                <c:pt idx="13">
                  <c:v>36.408639790052732</c:v>
                </c:pt>
                <c:pt idx="14">
                  <c:v>45.553896849029911</c:v>
                </c:pt>
                <c:pt idx="15">
                  <c:v>57.003914308964568</c:v>
                </c:pt>
                <c:pt idx="16">
                  <c:v>71.341312043805786</c:v>
                </c:pt>
                <c:pt idx="17">
                  <c:v>89.296405138150362</c:v>
                </c:pt>
                <c:pt idx="18">
                  <c:v>111.78474123438654</c:v>
                </c:pt>
                <c:pt idx="19">
                  <c:v>139.95420046063492</c:v>
                </c:pt>
                <c:pt idx="20">
                  <c:v>175.24409914490556</c:v>
                </c:pt>
                <c:pt idx="21">
                  <c:v>131.46799611812648</c:v>
                </c:pt>
                <c:pt idx="22">
                  <c:v>145.41436527108689</c:v>
                </c:pt>
                <c:pt idx="23">
                  <c:v>159.32874195250244</c:v>
                </c:pt>
                <c:pt idx="24">
                  <c:v>173.21431579738928</c:v>
                </c:pt>
                <c:pt idx="25">
                  <c:v>187.07372242622981</c:v>
                </c:pt>
                <c:pt idx="26">
                  <c:v>200.9091745118786</c:v>
                </c:pt>
                <c:pt idx="27">
                  <c:v>214.72255474953988</c:v>
                </c:pt>
                <c:pt idx="28">
                  <c:v>228.51548359441412</c:v>
                </c:pt>
                <c:pt idx="29">
                  <c:v>242.28936975704809</c:v>
                </c:pt>
                <c:pt idx="30">
                  <c:v>256.0454485965796</c:v>
                </c:pt>
                <c:pt idx="31">
                  <c:v>180.31615722411632</c:v>
                </c:pt>
                <c:pt idx="32">
                  <c:v>198.88589463565651</c:v>
                </c:pt>
                <c:pt idx="33">
                  <c:v>217.41541708927389</c:v>
                </c:pt>
                <c:pt idx="34">
                  <c:v>235.90863460949595</c:v>
                </c:pt>
                <c:pt idx="35">
                  <c:v>254.36879359828689</c:v>
                </c:pt>
                <c:pt idx="36">
                  <c:v>272.79863050588676</c:v>
                </c:pt>
                <c:pt idx="37">
                  <c:v>291.20048171684181</c:v>
                </c:pt>
                <c:pt idx="38">
                  <c:v>309.5763641629913</c:v>
                </c:pt>
                <c:pt idx="39">
                  <c:v>327.92803577212442</c:v>
                </c:pt>
                <c:pt idx="40">
                  <c:v>346.25704166537031</c:v>
                </c:pt>
                <c:pt idx="41">
                  <c:v>271.45924852820451</c:v>
                </c:pt>
                <c:pt idx="42">
                  <c:v>290.19743103031288</c:v>
                </c:pt>
                <c:pt idx="43">
                  <c:v>308.90858440452917</c:v>
                </c:pt>
                <c:pt idx="44">
                  <c:v>327.59457571710396</c:v>
                </c:pt>
                <c:pt idx="45">
                  <c:v>346.25704166537025</c:v>
                </c:pt>
                <c:pt idx="46">
                  <c:v>364.89742814550755</c:v>
                </c:pt>
                <c:pt idx="47">
                  <c:v>383.51702130873826</c:v>
                </c:pt>
                <c:pt idx="48">
                  <c:v>402.11697226951804</c:v>
                </c:pt>
                <c:pt idx="49">
                  <c:v>420.69831700274079</c:v>
                </c:pt>
                <c:pt idx="50">
                  <c:v>439.26199254204624</c:v>
                </c:pt>
                <c:pt idx="51">
                  <c:v>362.56854195764777</c:v>
                </c:pt>
                <c:pt idx="52">
                  <c:v>378.86400733367742</c:v>
                </c:pt>
                <c:pt idx="53">
                  <c:v>395.14422440751952</c:v>
                </c:pt>
                <c:pt idx="54">
                  <c:v>411.40990969949053</c:v>
                </c:pt>
                <c:pt idx="55">
                  <c:v>427.66171846396469</c:v>
                </c:pt>
                <c:pt idx="56">
                  <c:v>443.90025210533031</c:v>
                </c:pt>
                <c:pt idx="57">
                  <c:v>460.12606445231467</c:v>
                </c:pt>
                <c:pt idx="58">
                  <c:v>476.33966710128743</c:v>
                </c:pt>
                <c:pt idx="59">
                  <c:v>492.54153399430999</c:v>
                </c:pt>
                <c:pt idx="60">
                  <c:v>508.73210536359471</c:v>
                </c:pt>
                <c:pt idx="61">
                  <c:v>430.14805444118139</c:v>
                </c:pt>
                <c:pt idx="62">
                  <c:v>444.23151648566983</c:v>
                </c:pt>
                <c:pt idx="63">
                  <c:v>458.30541723099219</c:v>
                </c:pt>
                <c:pt idx="64">
                  <c:v>472.37009159588257</c:v>
                </c:pt>
                <c:pt idx="65">
                  <c:v>486.42585293226904</c:v>
                </c:pt>
                <c:pt idx="66">
                  <c:v>500.4729950101364</c:v>
                </c:pt>
                <c:pt idx="67">
                  <c:v>514.51179376798791</c:v>
                </c:pt>
                <c:pt idx="68">
                  <c:v>528.54250886235855</c:v>
                </c:pt>
                <c:pt idx="69">
                  <c:v>542.56538504427908</c:v>
                </c:pt>
                <c:pt idx="70">
                  <c:v>556.58065338607753</c:v>
                </c:pt>
                <c:pt idx="71">
                  <c:v>476.33966710128743</c:v>
                </c:pt>
                <c:pt idx="72">
                  <c:v>488.57479061485702</c:v>
                </c:pt>
                <c:pt idx="73">
                  <c:v>500.80341448584045</c:v>
                </c:pt>
                <c:pt idx="74">
                  <c:v>513.02571977154435</c:v>
                </c:pt>
                <c:pt idx="75">
                  <c:v>525.24187819979545</c:v>
                </c:pt>
                <c:pt idx="76">
                  <c:v>537.45205286004943</c:v>
                </c:pt>
                <c:pt idx="77">
                  <c:v>549.65639882843845</c:v>
                </c:pt>
                <c:pt idx="78">
                  <c:v>561.85506373443161</c:v>
                </c:pt>
                <c:pt idx="79">
                  <c:v>574.04818827573615</c:v>
                </c:pt>
                <c:pt idx="80">
                  <c:v>586.23590668718793</c:v>
                </c:pt>
                <c:pt idx="81">
                  <c:v>504.76808922214559</c:v>
                </c:pt>
                <c:pt idx="82">
                  <c:v>515.66756643738324</c:v>
                </c:pt>
                <c:pt idx="83">
                  <c:v>526.56218273477634</c:v>
                </c:pt>
                <c:pt idx="84">
                  <c:v>537.45205286004943</c:v>
                </c:pt>
                <c:pt idx="85">
                  <c:v>548.33728653000776</c:v>
                </c:pt>
                <c:pt idx="86">
                  <c:v>559.21798875051365</c:v>
                </c:pt>
                <c:pt idx="87">
                  <c:v>570.09426010843197</c:v>
                </c:pt>
                <c:pt idx="88">
                  <c:v>580.96619704014199</c:v>
                </c:pt>
                <c:pt idx="89">
                  <c:v>591.8338920789115</c:v>
                </c:pt>
                <c:pt idx="90">
                  <c:v>602.69743408315719</c:v>
                </c:pt>
                <c:pt idx="91">
                  <c:v>520.12503581925239</c:v>
                </c:pt>
                <c:pt idx="92">
                  <c:v>529.86263945423741</c:v>
                </c:pt>
                <c:pt idx="93">
                  <c:v>539.59647733911231</c:v>
                </c:pt>
                <c:pt idx="94">
                  <c:v>549.32662698500235</c:v>
                </c:pt>
                <c:pt idx="95">
                  <c:v>559.05316293312762</c:v>
                </c:pt>
                <c:pt idx="96">
                  <c:v>568.7761569193932</c:v>
                </c:pt>
                <c:pt idx="97">
                  <c:v>578.49567802714228</c:v>
                </c:pt>
                <c:pt idx="98">
                  <c:v>588.21179282910941</c:v>
                </c:pt>
                <c:pt idx="99">
                  <c:v>597.92456551950988</c:v>
                </c:pt>
                <c:pt idx="100">
                  <c:v>607.63405803710066</c:v>
                </c:pt>
                <c:pt idx="101">
                  <c:v>525.57196088133287</c:v>
                </c:pt>
                <c:pt idx="102">
                  <c:v>534.15258677052509</c:v>
                </c:pt>
                <c:pt idx="103">
                  <c:v>542.73031433948097</c:v>
                </c:pt>
                <c:pt idx="104">
                  <c:v>551.30519586187108</c:v>
                </c:pt>
                <c:pt idx="105">
                  <c:v>559.87728185241235</c:v>
                </c:pt>
                <c:pt idx="106">
                  <c:v>568.44662115265794</c:v>
                </c:pt>
                <c:pt idx="107">
                  <c:v>577.01326101134919</c:v>
                </c:pt>
                <c:pt idx="108">
                  <c:v>585.57724715974496</c:v>
                </c:pt>
                <c:pt idx="109">
                  <c:v>594.13862388231678</c:v>
                </c:pt>
                <c:pt idx="110">
                  <c:v>602.69743408315639</c:v>
                </c:pt>
                <c:pt idx="111">
                  <c:v>527.55236536708833</c:v>
                </c:pt>
                <c:pt idx="112">
                  <c:v>536.46225786984303</c:v>
                </c:pt>
                <c:pt idx="113">
                  <c:v>545.36904017352026</c:v>
                </c:pt>
                <c:pt idx="114">
                  <c:v>554.27277024085959</c:v>
                </c:pt>
                <c:pt idx="115">
                  <c:v>563.17350402033878</c:v>
                </c:pt>
                <c:pt idx="116">
                  <c:v>572.0712955475833</c:v>
                </c:pt>
                <c:pt idx="117">
                  <c:v>580.9661970401412</c:v>
                </c:pt>
                <c:pt idx="118">
                  <c:v>589.85825898615064</c:v>
                </c:pt>
                <c:pt idx="119">
                  <c:v>598.74753022738287</c:v>
                </c:pt>
                <c:pt idx="120">
                  <c:v>607.63405803710032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62" t="s">
        <v>291</v>
      </c>
      <c r="C12" s="262"/>
      <c r="D12" s="262"/>
      <c r="E12" s="262"/>
      <c r="F12" s="262"/>
      <c r="G12" s="262"/>
      <c r="H12" s="262"/>
      <c r="I12" s="262"/>
      <c r="J12" s="262"/>
      <c r="K12" s="262"/>
      <c r="L12" s="262"/>
      <c r="M12" s="262"/>
    </row>
    <row r="13" spans="2:13" ht="15" customHeight="1" x14ac:dyDescent="0.25">
      <c r="B13" s="262"/>
      <c r="C13" s="262"/>
      <c r="D13" s="262"/>
      <c r="E13" s="262"/>
      <c r="F13" s="262"/>
      <c r="G13" s="262"/>
      <c r="H13" s="262"/>
      <c r="I13" s="262"/>
      <c r="J13" s="262"/>
      <c r="K13" s="262"/>
      <c r="L13" s="262"/>
      <c r="M13" s="262"/>
    </row>
    <row r="14" spans="2:13" ht="15" customHeight="1" x14ac:dyDescent="0.25">
      <c r="B14" s="262"/>
      <c r="C14" s="262"/>
      <c r="D14" s="262"/>
      <c r="E14" s="262"/>
      <c r="F14" s="262"/>
      <c r="G14" s="262"/>
      <c r="H14" s="262"/>
      <c r="I14" s="262"/>
      <c r="J14" s="262"/>
      <c r="K14" s="262"/>
      <c r="L14" s="262"/>
      <c r="M14" s="262"/>
    </row>
    <row r="15" spans="2:13" ht="18.75" customHeight="1" x14ac:dyDescent="0.25">
      <c r="B15" s="262"/>
      <c r="C15" s="262"/>
      <c r="D15" s="262"/>
      <c r="E15" s="262"/>
      <c r="F15" s="262"/>
      <c r="G15" s="262"/>
      <c r="H15" s="262"/>
      <c r="I15" s="262"/>
      <c r="J15" s="262"/>
      <c r="K15" s="262"/>
      <c r="L15" s="262"/>
      <c r="M15" s="262"/>
    </row>
    <row r="16" spans="2:13" ht="18.75" customHeight="1" x14ac:dyDescent="0.25">
      <c r="B16" s="262"/>
      <c r="C16" s="262"/>
      <c r="D16" s="262"/>
      <c r="E16" s="262"/>
      <c r="F16" s="262"/>
      <c r="G16" s="262"/>
      <c r="H16" s="262"/>
      <c r="I16" s="262"/>
      <c r="J16" s="262"/>
      <c r="K16" s="262"/>
      <c r="L16" s="262"/>
      <c r="M16" s="262"/>
    </row>
    <row r="18" spans="2:13" ht="12" customHeight="1" x14ac:dyDescent="0.25">
      <c r="B18" s="262" t="s">
        <v>292</v>
      </c>
      <c r="C18" s="262"/>
      <c r="D18" s="262"/>
      <c r="E18" s="262"/>
      <c r="F18" s="262"/>
      <c r="G18" s="262"/>
      <c r="H18" s="262"/>
      <c r="I18" s="262"/>
      <c r="J18" s="262"/>
      <c r="K18" s="262"/>
      <c r="L18" s="262"/>
      <c r="M18" s="262"/>
    </row>
    <row r="19" spans="2:13" ht="12" customHeight="1" x14ac:dyDescent="0.25">
      <c r="B19" s="262"/>
      <c r="C19" s="262"/>
      <c r="D19" s="262"/>
      <c r="E19" s="262"/>
      <c r="F19" s="262"/>
      <c r="G19" s="262"/>
      <c r="H19" s="262"/>
      <c r="I19" s="262"/>
      <c r="J19" s="262"/>
      <c r="K19" s="262"/>
      <c r="L19" s="262"/>
      <c r="M19" s="262"/>
    </row>
    <row r="20" spans="2:13" ht="12" customHeight="1" x14ac:dyDescent="0.25">
      <c r="B20" s="262"/>
      <c r="C20" s="262"/>
      <c r="D20" s="262"/>
      <c r="E20" s="262"/>
      <c r="F20" s="262"/>
      <c r="G20" s="262"/>
      <c r="H20" s="262"/>
      <c r="I20" s="262"/>
      <c r="J20" s="262"/>
      <c r="K20" s="262"/>
      <c r="L20" s="262"/>
      <c r="M20" s="262"/>
    </row>
    <row r="21" spans="2:13" ht="12" customHeight="1" x14ac:dyDescent="0.25">
      <c r="B21" s="262"/>
      <c r="C21" s="262"/>
      <c r="D21" s="262"/>
      <c r="E21" s="262"/>
      <c r="F21" s="262"/>
      <c r="G21" s="262"/>
      <c r="H21" s="262"/>
      <c r="I21" s="262"/>
      <c r="J21" s="262"/>
      <c r="K21" s="262"/>
      <c r="L21" s="262"/>
      <c r="M21" s="262"/>
    </row>
    <row r="22" spans="2:13" ht="12" customHeight="1" x14ac:dyDescent="0.25">
      <c r="B22" s="262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</row>
    <row r="23" spans="2:13" ht="12" customHeight="1" x14ac:dyDescent="0.25">
      <c r="B23" s="262"/>
      <c r="C23" s="262"/>
      <c r="D23" s="262"/>
      <c r="E23" s="262"/>
      <c r="F23" s="262"/>
      <c r="G23" s="262"/>
      <c r="H23" s="262"/>
      <c r="I23" s="262"/>
      <c r="J23" s="262"/>
      <c r="K23" s="262"/>
      <c r="L23" s="262"/>
      <c r="M23" s="262"/>
    </row>
    <row r="24" spans="2:13" ht="12" customHeight="1" x14ac:dyDescent="0.25"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</row>
    <row r="25" spans="2:13" ht="12" customHeight="1" x14ac:dyDescent="0.25">
      <c r="B25" s="262"/>
      <c r="C25" s="262"/>
      <c r="D25" s="262"/>
      <c r="E25" s="262"/>
      <c r="F25" s="262"/>
      <c r="G25" s="262"/>
      <c r="H25" s="262"/>
      <c r="I25" s="262"/>
      <c r="J25" s="262"/>
      <c r="K25" s="262"/>
      <c r="L25" s="262"/>
      <c r="M25" s="262"/>
    </row>
    <row r="26" spans="2:13" ht="12" customHeight="1" x14ac:dyDescent="0.25">
      <c r="B26" s="262"/>
      <c r="C26" s="262"/>
      <c r="D26" s="262"/>
      <c r="E26" s="262"/>
      <c r="F26" s="262"/>
      <c r="G26" s="262"/>
      <c r="H26" s="262"/>
      <c r="I26" s="262"/>
      <c r="J26" s="262"/>
      <c r="K26" s="262"/>
      <c r="L26" s="262"/>
      <c r="M26" s="262"/>
    </row>
    <row r="27" spans="2:13" ht="12" customHeight="1" x14ac:dyDescent="0.25">
      <c r="B27" s="262"/>
      <c r="C27" s="262"/>
      <c r="D27" s="262"/>
      <c r="E27" s="262"/>
      <c r="F27" s="262"/>
      <c r="G27" s="262"/>
      <c r="H27" s="262"/>
      <c r="I27" s="262"/>
      <c r="J27" s="262"/>
      <c r="K27" s="262"/>
      <c r="L27" s="262"/>
      <c r="M27" s="262"/>
    </row>
    <row r="28" spans="2:13" ht="12" customHeight="1" x14ac:dyDescent="0.25">
      <c r="B28" s="262"/>
      <c r="C28" s="262"/>
      <c r="D28" s="262"/>
      <c r="E28" s="262"/>
      <c r="F28" s="262"/>
      <c r="G28" s="262"/>
      <c r="H28" s="262"/>
      <c r="I28" s="262"/>
      <c r="J28" s="262"/>
      <c r="K28" s="262"/>
      <c r="L28" s="262"/>
      <c r="M28" s="262"/>
    </row>
    <row r="29" spans="2:13" ht="12" customHeight="1" x14ac:dyDescent="0.25">
      <c r="B29" s="262"/>
      <c r="C29" s="262"/>
      <c r="D29" s="262"/>
      <c r="E29" s="262"/>
      <c r="F29" s="262"/>
      <c r="G29" s="262"/>
      <c r="H29" s="262"/>
      <c r="I29" s="262"/>
      <c r="J29" s="262"/>
      <c r="K29" s="262"/>
      <c r="L29" s="262"/>
      <c r="M29" s="262"/>
    </row>
    <row r="30" spans="2:13" ht="12" customHeight="1" x14ac:dyDescent="0.25">
      <c r="B30" s="262"/>
      <c r="C30" s="262"/>
      <c r="D30" s="262"/>
      <c r="E30" s="262"/>
      <c r="F30" s="262"/>
      <c r="G30" s="262"/>
      <c r="H30" s="262"/>
      <c r="I30" s="262"/>
      <c r="J30" s="262"/>
      <c r="K30" s="262"/>
      <c r="L30" s="262"/>
      <c r="M30" s="262"/>
    </row>
    <row r="31" spans="2:13" ht="12" customHeight="1" x14ac:dyDescent="0.25">
      <c r="B31" s="262"/>
      <c r="C31" s="262"/>
      <c r="D31" s="262"/>
      <c r="E31" s="262"/>
      <c r="F31" s="262"/>
      <c r="G31" s="262"/>
      <c r="H31" s="262"/>
      <c r="I31" s="262"/>
      <c r="J31" s="262"/>
      <c r="K31" s="262"/>
      <c r="L31" s="262"/>
      <c r="M31" s="26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6" zoomScaleNormal="100" workbookViewId="0">
      <selection activeCell="E12" sqref="E12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8" t="s">
        <v>192</v>
      </c>
      <c r="C3" s="269"/>
      <c r="D3" s="269"/>
      <c r="E3" s="269"/>
      <c r="F3" s="270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73" t="s">
        <v>231</v>
      </c>
      <c r="B5" s="273"/>
      <c r="C5" s="24">
        <v>8.1220003790990081</v>
      </c>
      <c r="D5" s="274" t="s">
        <v>229</v>
      </c>
      <c r="E5" s="275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72" t="s">
        <v>226</v>
      </c>
      <c r="B7" s="272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14</v>
      </c>
      <c r="C9" s="32">
        <v>0.54</v>
      </c>
      <c r="D9" s="33">
        <f t="shared" ref="D9:D18" si="0">C9*$C$5</f>
        <v>4.3858802047134651</v>
      </c>
      <c r="E9" s="34">
        <v>120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13</v>
      </c>
      <c r="C10" s="32">
        <v>0.3</v>
      </c>
      <c r="D10" s="33">
        <f t="shared" si="0"/>
        <v>2.4366001137297024</v>
      </c>
      <c r="E10" s="34">
        <v>70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18</v>
      </c>
      <c r="C11" s="32">
        <v>0.03</v>
      </c>
      <c r="D11" s="33">
        <f t="shared" si="0"/>
        <v>0.24366001137297022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23</v>
      </c>
      <c r="C12" s="32">
        <v>0.04</v>
      </c>
      <c r="D12" s="33">
        <f t="shared" si="0"/>
        <v>0.32488001516396031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29</v>
      </c>
      <c r="C13" s="32">
        <v>0.09</v>
      </c>
      <c r="D13" s="33">
        <f t="shared" si="0"/>
        <v>0.73098003411891066</v>
      </c>
      <c r="E13" s="34">
        <v>120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1.0000000000000002</v>
      </c>
      <c r="D19" s="38">
        <f>SUM(D9:D18)</f>
        <v>8.1220003790990081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71" t="s">
        <v>232</v>
      </c>
      <c r="B22" s="271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72" t="s">
        <v>227</v>
      </c>
      <c r="B30" s="272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63" t="s">
        <v>186</v>
      </c>
      <c r="D34" s="263"/>
      <c r="E34" s="264" t="s">
        <v>187</v>
      </c>
      <c r="F34" s="265"/>
      <c r="G34" s="265"/>
      <c r="H34" s="266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60">
        <v>20</v>
      </c>
      <c r="B36" s="60">
        <v>42</v>
      </c>
      <c r="C36" s="60"/>
      <c r="D36" s="60"/>
      <c r="E36" s="51"/>
      <c r="F36" s="51"/>
      <c r="G36" s="51"/>
      <c r="H36" s="257"/>
      <c r="I36" s="49">
        <f>IFERROR(B36/A36,"")</f>
        <v>2.1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60">
        <v>30</v>
      </c>
      <c r="B37" s="60">
        <v>105</v>
      </c>
      <c r="C37" s="60">
        <v>1</v>
      </c>
      <c r="D37" s="60">
        <v>29</v>
      </c>
      <c r="E37" s="51"/>
      <c r="F37" s="51">
        <v>0.25</v>
      </c>
      <c r="G37" s="51">
        <v>0.25</v>
      </c>
      <c r="H37" s="51">
        <v>0.5</v>
      </c>
      <c r="I37" s="53">
        <f t="shared" ref="I37:I55" si="1">IF(A37&lt;&gt;0,(B37-(B36-D36))/(A37-A36),"")</f>
        <v>6.3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60">
        <v>40</v>
      </c>
      <c r="B38" s="60">
        <v>158</v>
      </c>
      <c r="C38" s="60">
        <v>2</v>
      </c>
      <c r="D38" s="60">
        <v>42</v>
      </c>
      <c r="E38" s="51"/>
      <c r="F38" s="51"/>
      <c r="G38" s="51"/>
      <c r="H38" s="257"/>
      <c r="I38" s="53">
        <f t="shared" si="1"/>
        <v>8.1999999999999993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60">
        <v>50</v>
      </c>
      <c r="B39" s="60">
        <v>199</v>
      </c>
      <c r="C39" s="60">
        <v>3</v>
      </c>
      <c r="D39" s="60">
        <v>42</v>
      </c>
      <c r="E39" s="51"/>
      <c r="F39" s="51"/>
      <c r="G39" s="51"/>
      <c r="H39" s="257"/>
      <c r="I39" s="49">
        <f t="shared" si="1"/>
        <v>8.3000000000000007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60">
        <v>60</v>
      </c>
      <c r="B40" s="60">
        <v>235</v>
      </c>
      <c r="C40" s="60">
        <v>4</v>
      </c>
      <c r="D40" s="60">
        <v>42</v>
      </c>
      <c r="E40" s="51"/>
      <c r="F40" s="51"/>
      <c r="G40" s="51"/>
      <c r="H40" s="257"/>
      <c r="I40" s="49">
        <f t="shared" si="1"/>
        <v>7.8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60">
        <v>70</v>
      </c>
      <c r="B41" s="60">
        <v>263</v>
      </c>
      <c r="C41" s="60">
        <v>5</v>
      </c>
      <c r="D41" s="60">
        <v>42</v>
      </c>
      <c r="E41" s="51"/>
      <c r="F41" s="51"/>
      <c r="G41" s="51"/>
      <c r="H41" s="257"/>
      <c r="I41" s="53">
        <f t="shared" si="1"/>
        <v>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60">
        <v>80</v>
      </c>
      <c r="B42" s="60">
        <v>282</v>
      </c>
      <c r="C42" s="60">
        <v>6</v>
      </c>
      <c r="D42" s="60">
        <v>42</v>
      </c>
      <c r="E42" s="51"/>
      <c r="F42" s="51"/>
      <c r="G42" s="51"/>
      <c r="H42" s="257"/>
      <c r="I42" s="53">
        <f t="shared" si="1"/>
        <v>6.1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60">
        <v>90</v>
      </c>
      <c r="B43" s="60">
        <v>296</v>
      </c>
      <c r="C43" s="60">
        <v>7</v>
      </c>
      <c r="D43" s="60">
        <v>42</v>
      </c>
      <c r="E43" s="51"/>
      <c r="F43" s="51"/>
      <c r="G43" s="51"/>
      <c r="H43" s="257"/>
      <c r="I43" s="49">
        <f t="shared" si="1"/>
        <v>5.6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60">
        <v>100</v>
      </c>
      <c r="B44" s="60">
        <v>303</v>
      </c>
      <c r="C44" s="60">
        <v>8</v>
      </c>
      <c r="D44" s="60">
        <v>42</v>
      </c>
      <c r="E44" s="51"/>
      <c r="F44" s="51"/>
      <c r="G44" s="51"/>
      <c r="H44" s="257"/>
      <c r="I44" s="49">
        <f t="shared" si="1"/>
        <v>4.9000000000000004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60">
        <v>110</v>
      </c>
      <c r="B45" s="60">
        <v>305</v>
      </c>
      <c r="C45" s="60">
        <v>9</v>
      </c>
      <c r="D45" s="60">
        <v>39</v>
      </c>
      <c r="E45" s="51"/>
      <c r="F45" s="51"/>
      <c r="G45" s="51"/>
      <c r="H45" s="257"/>
      <c r="I45" s="49">
        <f t="shared" si="1"/>
        <v>4.4000000000000004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60">
        <v>120</v>
      </c>
      <c r="B46" s="60">
        <v>303</v>
      </c>
      <c r="C46" s="60">
        <v>10</v>
      </c>
      <c r="D46" s="60">
        <v>303</v>
      </c>
      <c r="E46" s="51"/>
      <c r="F46" s="51"/>
      <c r="G46" s="51"/>
      <c r="H46" s="257"/>
      <c r="I46" s="49">
        <f t="shared" si="1"/>
        <v>3.7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Chêne rouge d'Amérique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63" t="s">
        <v>186</v>
      </c>
      <c r="D60" s="263"/>
      <c r="E60" s="264" t="s">
        <v>187</v>
      </c>
      <c r="F60" s="265"/>
      <c r="G60" s="265"/>
      <c r="H60" s="266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15</v>
      </c>
      <c r="B62" s="60">
        <v>87</v>
      </c>
      <c r="C62" s="50">
        <v>1</v>
      </c>
      <c r="D62" s="60">
        <v>21</v>
      </c>
      <c r="E62" s="51"/>
      <c r="F62" s="51">
        <v>0.25</v>
      </c>
      <c r="G62" s="51">
        <v>0.25</v>
      </c>
      <c r="H62" s="51">
        <v>0.5</v>
      </c>
      <c r="I62" s="53">
        <f>IFERROR(B62/A62,"")</f>
        <v>5.8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20</v>
      </c>
      <c r="B63" s="60">
        <v>137</v>
      </c>
      <c r="C63" s="50">
        <v>2</v>
      </c>
      <c r="D63" s="60">
        <v>43</v>
      </c>
      <c r="E63" s="51"/>
      <c r="F63" s="51">
        <v>0.25</v>
      </c>
      <c r="G63" s="51">
        <v>0.25</v>
      </c>
      <c r="H63" s="51">
        <v>0.5</v>
      </c>
      <c r="I63" s="49">
        <f>IF(A63&lt;&gt;0,(B63-(B62-D62))/(A63-A62),"")</f>
        <v>14.2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30</v>
      </c>
      <c r="B64" s="60">
        <v>228</v>
      </c>
      <c r="C64" s="50">
        <v>3</v>
      </c>
      <c r="D64" s="60">
        <v>88</v>
      </c>
      <c r="E64" s="51">
        <v>0.2</v>
      </c>
      <c r="F64" s="51">
        <v>0.4</v>
      </c>
      <c r="G64" s="51">
        <v>0.4</v>
      </c>
      <c r="H64" s="51"/>
      <c r="I64" s="49">
        <f>IF(A64&lt;&gt;0,(B64-(B63-D63))/(A64-A63),"")</f>
        <v>13.4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40</v>
      </c>
      <c r="B65" s="60">
        <v>255</v>
      </c>
      <c r="C65" s="50">
        <v>4</v>
      </c>
      <c r="D65" s="60">
        <v>81</v>
      </c>
      <c r="E65" s="51"/>
      <c r="F65" s="51"/>
      <c r="G65" s="51"/>
      <c r="H65" s="51"/>
      <c r="I65" s="49">
        <f>IF(A65&lt;&gt;0,(B65-(B64-D64))/(A65-A64),"")</f>
        <v>11.5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50</v>
      </c>
      <c r="B66" s="60">
        <v>268</v>
      </c>
      <c r="C66" s="50">
        <v>5</v>
      </c>
      <c r="D66" s="60">
        <v>69</v>
      </c>
      <c r="E66" s="51"/>
      <c r="F66" s="51"/>
      <c r="G66" s="51"/>
      <c r="H66" s="51"/>
      <c r="I66" s="49">
        <f t="shared" ref="I66:I81" si="2">IF(A66&lt;&gt;0,(B66-(B65-D65))/(A66-A65),"")</f>
        <v>9.4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60</v>
      </c>
      <c r="B67" s="60">
        <v>271</v>
      </c>
      <c r="C67" s="50">
        <v>6</v>
      </c>
      <c r="D67" s="60">
        <v>55</v>
      </c>
      <c r="E67" s="51"/>
      <c r="F67" s="51"/>
      <c r="G67" s="51"/>
      <c r="H67" s="51"/>
      <c r="I67" s="49">
        <f t="shared" si="2"/>
        <v>7.2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70</v>
      </c>
      <c r="B68" s="60">
        <v>272</v>
      </c>
      <c r="C68" s="50">
        <v>7</v>
      </c>
      <c r="D68" s="60">
        <v>272</v>
      </c>
      <c r="E68" s="51"/>
      <c r="F68" s="51"/>
      <c r="G68" s="51"/>
      <c r="H68" s="51"/>
      <c r="I68" s="49">
        <f t="shared" si="2"/>
        <v>5.6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Douglas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63" t="s">
        <v>186</v>
      </c>
      <c r="D86" s="263"/>
      <c r="E86" s="264" t="s">
        <v>187</v>
      </c>
      <c r="F86" s="265"/>
      <c r="G86" s="265"/>
      <c r="H86" s="266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258">
        <v>10</v>
      </c>
      <c r="B88" s="258">
        <v>12</v>
      </c>
      <c r="C88" s="258"/>
      <c r="D88" s="258">
        <v>0</v>
      </c>
      <c r="E88" s="63"/>
      <c r="F88" s="63"/>
      <c r="G88" s="63"/>
      <c r="H88" s="259"/>
      <c r="I88" s="53">
        <f>IFERROR(B88/A88,"")</f>
        <v>1.2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258">
        <v>20</v>
      </c>
      <c r="B89" s="258">
        <v>162</v>
      </c>
      <c r="C89" s="258">
        <v>1</v>
      </c>
      <c r="D89" s="258">
        <v>63</v>
      </c>
      <c r="E89" s="63"/>
      <c r="F89" s="63">
        <v>0.5</v>
      </c>
      <c r="G89" s="63">
        <v>0.5</v>
      </c>
      <c r="H89" s="259"/>
      <c r="I89" s="53">
        <f t="shared" ref="I89:I107" si="3">IF(A89&lt;&gt;0,(B89-(B88-D88))/(A89-A88),"")</f>
        <v>15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258">
        <v>30</v>
      </c>
      <c r="B90" s="258">
        <v>321</v>
      </c>
      <c r="C90" s="258">
        <v>2</v>
      </c>
      <c r="D90" s="258">
        <v>112</v>
      </c>
      <c r="E90" s="63">
        <v>0.1</v>
      </c>
      <c r="F90" s="63">
        <v>0.45</v>
      </c>
      <c r="G90" s="63">
        <v>0.45</v>
      </c>
      <c r="H90" s="259"/>
      <c r="I90" s="53">
        <f t="shared" si="3"/>
        <v>22.2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258">
        <v>40</v>
      </c>
      <c r="B91" s="258">
        <v>429</v>
      </c>
      <c r="C91" s="258">
        <v>3</v>
      </c>
      <c r="D91" s="258">
        <v>112</v>
      </c>
      <c r="E91" s="63"/>
      <c r="F91" s="63"/>
      <c r="G91" s="63"/>
      <c r="H91" s="259"/>
      <c r="I91" s="53">
        <f t="shared" si="3"/>
        <v>22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258">
        <v>50</v>
      </c>
      <c r="B92" s="258">
        <v>509</v>
      </c>
      <c r="C92" s="258">
        <v>4</v>
      </c>
      <c r="D92" s="258">
        <v>108</v>
      </c>
      <c r="E92" s="63"/>
      <c r="F92" s="63"/>
      <c r="G92" s="63"/>
      <c r="H92" s="259"/>
      <c r="I92" s="53">
        <f t="shared" si="3"/>
        <v>19.2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258">
        <v>60</v>
      </c>
      <c r="B93" s="258">
        <v>563</v>
      </c>
      <c r="C93" s="258">
        <v>5</v>
      </c>
      <c r="D93" s="258">
        <v>83</v>
      </c>
      <c r="E93" s="63"/>
      <c r="F93" s="63"/>
      <c r="G93" s="63"/>
      <c r="H93" s="259"/>
      <c r="I93" s="53">
        <f t="shared" si="3"/>
        <v>16.2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258">
        <v>70</v>
      </c>
      <c r="B94" s="258">
        <v>614</v>
      </c>
      <c r="C94" s="258">
        <v>6</v>
      </c>
      <c r="D94" s="258">
        <v>67</v>
      </c>
      <c r="E94" s="63"/>
      <c r="F94" s="63"/>
      <c r="G94" s="63"/>
      <c r="H94" s="259"/>
      <c r="I94" s="53">
        <f t="shared" si="3"/>
        <v>13.4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258">
        <v>80</v>
      </c>
      <c r="B95" s="258">
        <v>651</v>
      </c>
      <c r="C95" s="258">
        <v>7</v>
      </c>
      <c r="D95" s="258">
        <v>651</v>
      </c>
      <c r="E95" s="63"/>
      <c r="F95" s="63"/>
      <c r="G95" s="63"/>
      <c r="H95" s="260"/>
      <c r="I95" s="53">
        <f t="shared" si="3"/>
        <v>10.4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Erable sycomore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63" t="s">
        <v>186</v>
      </c>
      <c r="D112" s="263"/>
      <c r="E112" s="264" t="s">
        <v>187</v>
      </c>
      <c r="F112" s="265"/>
      <c r="G112" s="265"/>
      <c r="H112" s="266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5">
        <v>10</v>
      </c>
      <c r="B114" s="55">
        <v>19</v>
      </c>
      <c r="C114" s="55">
        <v>1</v>
      </c>
      <c r="D114" s="55">
        <v>7</v>
      </c>
      <c r="E114" s="51"/>
      <c r="F114" s="51">
        <v>0.25</v>
      </c>
      <c r="G114" s="51">
        <v>0.25</v>
      </c>
      <c r="H114" s="51">
        <v>0.5</v>
      </c>
      <c r="I114" s="53">
        <f>IFERROR(B114/A114,"")</f>
        <v>1.9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5">
        <v>20</v>
      </c>
      <c r="B115" s="55">
        <v>165</v>
      </c>
      <c r="C115" s="55">
        <v>2</v>
      </c>
      <c r="D115" s="55">
        <v>84</v>
      </c>
      <c r="E115" s="51"/>
      <c r="F115" s="51">
        <v>0.25</v>
      </c>
      <c r="G115" s="51">
        <v>0.25</v>
      </c>
      <c r="H115" s="51">
        <v>0.5</v>
      </c>
      <c r="I115" s="53">
        <f t="shared" ref="I115:I133" si="4">IF(A115&lt;&gt;0,(B115-(B114-D114))/(A115-A114),"")</f>
        <v>15.3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5">
        <v>30</v>
      </c>
      <c r="B116" s="55">
        <v>247</v>
      </c>
      <c r="C116" s="55">
        <v>3</v>
      </c>
      <c r="D116" s="55">
        <v>84</v>
      </c>
      <c r="E116" s="51">
        <v>0.1</v>
      </c>
      <c r="F116" s="51">
        <v>0.45</v>
      </c>
      <c r="G116" s="51">
        <v>0.45</v>
      </c>
      <c r="H116" s="51"/>
      <c r="I116" s="53">
        <f t="shared" si="4"/>
        <v>16.600000000000001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5">
        <v>40</v>
      </c>
      <c r="B117" s="55">
        <v>305</v>
      </c>
      <c r="C117" s="55">
        <v>4</v>
      </c>
      <c r="D117" s="55">
        <v>82</v>
      </c>
      <c r="E117" s="51"/>
      <c r="F117" s="51"/>
      <c r="G117" s="51"/>
      <c r="H117" s="51"/>
      <c r="I117" s="53">
        <f t="shared" si="4"/>
        <v>14.2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5">
        <v>50</v>
      </c>
      <c r="B118" s="55">
        <v>329</v>
      </c>
      <c r="C118" s="55">
        <v>5</v>
      </c>
      <c r="D118" s="55">
        <v>47</v>
      </c>
      <c r="E118" s="51"/>
      <c r="F118" s="51"/>
      <c r="G118" s="51"/>
      <c r="H118" s="51"/>
      <c r="I118" s="53">
        <f t="shared" si="4"/>
        <v>10.6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5">
        <v>60</v>
      </c>
      <c r="B119" s="55">
        <v>361</v>
      </c>
      <c r="C119" s="55">
        <v>6</v>
      </c>
      <c r="D119" s="55">
        <v>35</v>
      </c>
      <c r="E119" s="51"/>
      <c r="F119" s="51"/>
      <c r="G119" s="51"/>
      <c r="H119" s="51"/>
      <c r="I119" s="53">
        <f t="shared" si="4"/>
        <v>7.9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55">
        <v>70</v>
      </c>
      <c r="B120" s="55">
        <v>382</v>
      </c>
      <c r="C120" s="55">
        <v>7</v>
      </c>
      <c r="D120" s="55">
        <v>31</v>
      </c>
      <c r="E120" s="51"/>
      <c r="F120" s="51"/>
      <c r="G120" s="51"/>
      <c r="H120" s="51"/>
      <c r="I120" s="53">
        <f t="shared" si="4"/>
        <v>5.6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55">
        <v>80</v>
      </c>
      <c r="B121" s="55">
        <v>395</v>
      </c>
      <c r="C121" s="55">
        <v>8</v>
      </c>
      <c r="D121" s="55">
        <v>395</v>
      </c>
      <c r="E121" s="51"/>
      <c r="F121" s="51"/>
      <c r="G121" s="51"/>
      <c r="H121" s="51"/>
      <c r="I121" s="53">
        <f t="shared" si="4"/>
        <v>4.4000000000000004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Merisier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63" t="s">
        <v>186</v>
      </c>
      <c r="D138" s="263"/>
      <c r="E138" s="264" t="s">
        <v>187</v>
      </c>
      <c r="F138" s="265"/>
      <c r="G138" s="265"/>
      <c r="H138" s="266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20</v>
      </c>
      <c r="B140" s="60">
        <v>101</v>
      </c>
      <c r="C140" s="50">
        <v>1</v>
      </c>
      <c r="D140" s="60">
        <f>6+28</f>
        <v>34</v>
      </c>
      <c r="E140" s="51"/>
      <c r="F140" s="51">
        <v>0.25</v>
      </c>
      <c r="G140" s="51">
        <v>0.25</v>
      </c>
      <c r="H140" s="51">
        <v>0.5</v>
      </c>
      <c r="I140" s="57">
        <f>IFERROR(B140/A140,"")</f>
        <v>5.05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30</v>
      </c>
      <c r="B141" s="60">
        <v>149</v>
      </c>
      <c r="C141" s="50">
        <v>2</v>
      </c>
      <c r="D141" s="60">
        <f>28+28</f>
        <v>56</v>
      </c>
      <c r="E141" s="51">
        <v>0.1</v>
      </c>
      <c r="F141" s="51">
        <v>0.45</v>
      </c>
      <c r="G141" s="51">
        <v>0.45</v>
      </c>
      <c r="H141" s="51"/>
      <c r="I141" s="57">
        <f t="shared" ref="I141:I159" si="5">IF(A141&lt;&gt;0,(B141-(B140-D140))/(A141-A140),"")</f>
        <v>8.1999999999999993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40</v>
      </c>
      <c r="B142" s="60">
        <v>203</v>
      </c>
      <c r="C142" s="50">
        <v>3</v>
      </c>
      <c r="D142" s="60">
        <f>28+28</f>
        <v>56</v>
      </c>
      <c r="E142" s="51"/>
      <c r="F142" s="51"/>
      <c r="G142" s="51"/>
      <c r="H142" s="51"/>
      <c r="I142" s="57">
        <f t="shared" si="5"/>
        <v>11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50</v>
      </c>
      <c r="B143" s="60">
        <v>259</v>
      </c>
      <c r="C143" s="50">
        <v>4</v>
      </c>
      <c r="D143" s="60">
        <f>28+28</f>
        <v>56</v>
      </c>
      <c r="E143" s="51"/>
      <c r="F143" s="51"/>
      <c r="G143" s="51"/>
      <c r="H143" s="51"/>
      <c r="I143" s="57">
        <f t="shared" si="5"/>
        <v>11.2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60</v>
      </c>
      <c r="B144" s="60">
        <v>301</v>
      </c>
      <c r="C144" s="50">
        <v>5</v>
      </c>
      <c r="D144" s="60">
        <f t="shared" ref="D144:D147" si="6">28+28</f>
        <v>56</v>
      </c>
      <c r="E144" s="51"/>
      <c r="F144" s="51"/>
      <c r="G144" s="51"/>
      <c r="H144" s="51"/>
      <c r="I144" s="57">
        <f t="shared" si="5"/>
        <v>9.8000000000000007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70</v>
      </c>
      <c r="B145" s="60">
        <v>330</v>
      </c>
      <c r="C145" s="50">
        <v>6</v>
      </c>
      <c r="D145" s="60">
        <f t="shared" si="6"/>
        <v>56</v>
      </c>
      <c r="E145" s="51"/>
      <c r="F145" s="51"/>
      <c r="G145" s="51"/>
      <c r="H145" s="51"/>
      <c r="I145" s="57">
        <f t="shared" si="5"/>
        <v>8.5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80</v>
      </c>
      <c r="B146" s="60">
        <v>348</v>
      </c>
      <c r="C146" s="50">
        <v>7</v>
      </c>
      <c r="D146" s="60">
        <f t="shared" si="6"/>
        <v>56</v>
      </c>
      <c r="E146" s="51"/>
      <c r="F146" s="51"/>
      <c r="G146" s="51"/>
      <c r="H146" s="51"/>
      <c r="I146" s="57">
        <f t="shared" si="5"/>
        <v>7.4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>
        <v>90</v>
      </c>
      <c r="B147" s="60">
        <v>358</v>
      </c>
      <c r="C147" s="50">
        <v>8</v>
      </c>
      <c r="D147" s="60">
        <f t="shared" si="6"/>
        <v>56</v>
      </c>
      <c r="E147" s="51"/>
      <c r="F147" s="51"/>
      <c r="G147" s="51"/>
      <c r="H147" s="51"/>
      <c r="I147" s="57">
        <f>IF(A147&lt;&gt;0,(B147-(B146-D146))/(A147-A146),"")</f>
        <v>6.6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>
        <v>100</v>
      </c>
      <c r="B148" s="60">
        <v>361</v>
      </c>
      <c r="C148" s="50">
        <v>9</v>
      </c>
      <c r="D148" s="60">
        <f>28+27</f>
        <v>55</v>
      </c>
      <c r="E148" s="51"/>
      <c r="F148" s="51"/>
      <c r="G148" s="51"/>
      <c r="H148" s="51"/>
      <c r="I148" s="57">
        <f t="shared" si="5"/>
        <v>5.9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>
        <v>110</v>
      </c>
      <c r="B149" s="60">
        <v>358</v>
      </c>
      <c r="C149" s="50">
        <v>10</v>
      </c>
      <c r="D149" s="60">
        <f>26+25</f>
        <v>51</v>
      </c>
      <c r="E149" s="51"/>
      <c r="F149" s="51"/>
      <c r="G149" s="51"/>
      <c r="H149" s="51"/>
      <c r="I149" s="57">
        <f t="shared" si="5"/>
        <v>5.2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>
        <v>120</v>
      </c>
      <c r="B150" s="60">
        <f>306+27+28</f>
        <v>361</v>
      </c>
      <c r="C150" s="50">
        <v>11</v>
      </c>
      <c r="D150" s="60">
        <f>B150</f>
        <v>361</v>
      </c>
      <c r="E150" s="51"/>
      <c r="F150" s="51"/>
      <c r="G150" s="51"/>
      <c r="H150" s="51"/>
      <c r="I150" s="57">
        <f t="shared" si="5"/>
        <v>5.4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63" t="s">
        <v>186</v>
      </c>
      <c r="D164" s="263"/>
      <c r="E164" s="264" t="s">
        <v>187</v>
      </c>
      <c r="F164" s="265"/>
      <c r="G164" s="265"/>
      <c r="H164" s="266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7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7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7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7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7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7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7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7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7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7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7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7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7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7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7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7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7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7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7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63" t="s">
        <v>186</v>
      </c>
      <c r="D190" s="263"/>
      <c r="E190" s="264" t="s">
        <v>187</v>
      </c>
      <c r="F190" s="265"/>
      <c r="G190" s="265"/>
      <c r="H190" s="266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8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8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8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8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8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8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8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8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8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8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8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8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8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8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8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8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8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8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8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63" t="s">
        <v>186</v>
      </c>
      <c r="D216" s="263"/>
      <c r="E216" s="264" t="s">
        <v>187</v>
      </c>
      <c r="F216" s="265"/>
      <c r="G216" s="265"/>
      <c r="H216" s="266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9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9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9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9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9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9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9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9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9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9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9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9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9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9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9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9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9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9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9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63" t="s">
        <v>186</v>
      </c>
      <c r="D242" s="263"/>
      <c r="E242" s="264" t="s">
        <v>187</v>
      </c>
      <c r="F242" s="265"/>
      <c r="G242" s="265"/>
      <c r="H242" s="266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0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0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0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0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0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0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0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0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0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0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0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0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0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0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0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0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0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63" t="s">
        <v>186</v>
      </c>
      <c r="D268" s="263"/>
      <c r="E268" s="264" t="s">
        <v>187</v>
      </c>
      <c r="F268" s="265"/>
      <c r="G268" s="265"/>
      <c r="H268" s="266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1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1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1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1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1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1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1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1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1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1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1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1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1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1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1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1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1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1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17" sqref="F1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7" t="s">
        <v>191</v>
      </c>
      <c r="C2" s="278"/>
      <c r="D2" s="278"/>
      <c r="E2" s="278"/>
      <c r="F2" s="278"/>
      <c r="G2" s="279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6"/>
      <c r="C4" s="276"/>
      <c r="D4" s="276"/>
      <c r="E4" s="276"/>
      <c r="F4" s="276"/>
      <c r="G4" s="276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83" t="s">
        <v>176</v>
      </c>
      <c r="C1" s="284"/>
      <c r="D1" s="284"/>
      <c r="E1" s="284"/>
      <c r="F1" s="284"/>
      <c r="G1" s="284"/>
      <c r="H1" s="285"/>
      <c r="I1" s="280" t="str">
        <f>IF('Données projet'!$B$9="","",'Données projet'!$B$9)</f>
        <v>Chêne sessile</v>
      </c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  <c r="Y1" s="281"/>
      <c r="Z1" s="281"/>
      <c r="AA1" s="281"/>
      <c r="AB1" s="281"/>
      <c r="AC1" s="282"/>
      <c r="AD1" s="281" t="str">
        <f>IF('Données projet'!$B$10="","",'Données projet'!$B$10)</f>
        <v>Chêne rouge d'Amérique</v>
      </c>
      <c r="AE1" s="281"/>
      <c r="AF1" s="281"/>
      <c r="AG1" s="281"/>
      <c r="AH1" s="281"/>
      <c r="AI1" s="281"/>
      <c r="AJ1" s="281"/>
      <c r="AK1" s="281"/>
      <c r="AL1" s="281"/>
      <c r="AM1" s="281"/>
      <c r="AN1" s="281"/>
      <c r="AO1" s="281"/>
      <c r="AP1" s="281"/>
      <c r="AQ1" s="281"/>
      <c r="AR1" s="281"/>
      <c r="AS1" s="281"/>
      <c r="AT1" s="281"/>
      <c r="AU1" s="281"/>
      <c r="AV1" s="281"/>
      <c r="AW1" s="281"/>
      <c r="AX1" s="282"/>
      <c r="AY1" s="280" t="str">
        <f>IF('Données projet'!$B$11="","",'Données projet'!$B$11)</f>
        <v>Douglas</v>
      </c>
      <c r="AZ1" s="281"/>
      <c r="BA1" s="281"/>
      <c r="BB1" s="281"/>
      <c r="BC1" s="281"/>
      <c r="BD1" s="281"/>
      <c r="BE1" s="281"/>
      <c r="BF1" s="281"/>
      <c r="BG1" s="281"/>
      <c r="BH1" s="281"/>
      <c r="BI1" s="281"/>
      <c r="BJ1" s="281"/>
      <c r="BK1" s="281"/>
      <c r="BL1" s="281"/>
      <c r="BM1" s="281"/>
      <c r="BN1" s="281"/>
      <c r="BO1" s="281"/>
      <c r="BP1" s="281"/>
      <c r="BQ1" s="281"/>
      <c r="BR1" s="281"/>
      <c r="BS1" s="282"/>
      <c r="BT1" s="280" t="str">
        <f>IF('Données projet'!$B$12="","",'Données projet'!$B$12)</f>
        <v>Erable sycomore</v>
      </c>
      <c r="BU1" s="281"/>
      <c r="BV1" s="281"/>
      <c r="BW1" s="281"/>
      <c r="BX1" s="281"/>
      <c r="BY1" s="281"/>
      <c r="BZ1" s="281"/>
      <c r="CA1" s="281"/>
      <c r="CB1" s="281"/>
      <c r="CC1" s="281"/>
      <c r="CD1" s="281"/>
      <c r="CE1" s="281"/>
      <c r="CF1" s="281"/>
      <c r="CG1" s="281"/>
      <c r="CH1" s="281"/>
      <c r="CI1" s="281"/>
      <c r="CJ1" s="281"/>
      <c r="CK1" s="281"/>
      <c r="CL1" s="281"/>
      <c r="CM1" s="281"/>
      <c r="CN1" s="282"/>
      <c r="CO1" s="280" t="str">
        <f>IF('Données projet'!$B$13="","",'Données projet'!$B$13)</f>
        <v>Merisier</v>
      </c>
      <c r="CP1" s="281"/>
      <c r="CQ1" s="281"/>
      <c r="CR1" s="281"/>
      <c r="CS1" s="281"/>
      <c r="CT1" s="281"/>
      <c r="CU1" s="281"/>
      <c r="CV1" s="281"/>
      <c r="CW1" s="281"/>
      <c r="CX1" s="281"/>
      <c r="CY1" s="281"/>
      <c r="CZ1" s="281"/>
      <c r="DA1" s="281"/>
      <c r="DB1" s="281"/>
      <c r="DC1" s="281"/>
      <c r="DD1" s="281"/>
      <c r="DE1" s="281"/>
      <c r="DF1" s="281"/>
      <c r="DG1" s="281"/>
      <c r="DH1" s="281"/>
      <c r="DI1" s="282"/>
      <c r="DJ1" s="280" t="str">
        <f>IF('Données projet'!$B$14="","",'Données projet'!$B$14)</f>
        <v/>
      </c>
      <c r="DK1" s="281"/>
      <c r="DL1" s="281"/>
      <c r="DM1" s="281"/>
      <c r="DN1" s="281"/>
      <c r="DO1" s="281"/>
      <c r="DP1" s="281"/>
      <c r="DQ1" s="281"/>
      <c r="DR1" s="281"/>
      <c r="DS1" s="281"/>
      <c r="DT1" s="281"/>
      <c r="DU1" s="281"/>
      <c r="DV1" s="281"/>
      <c r="DW1" s="281"/>
      <c r="DX1" s="281"/>
      <c r="DY1" s="281"/>
      <c r="DZ1" s="281"/>
      <c r="EA1" s="281"/>
      <c r="EB1" s="281"/>
      <c r="EC1" s="281"/>
      <c r="ED1" s="282"/>
      <c r="EE1" s="280" t="str">
        <f>IF('Données projet'!$B$15="","",'Données projet'!$B$15)</f>
        <v/>
      </c>
      <c r="EF1" s="281"/>
      <c r="EG1" s="281"/>
      <c r="EH1" s="281"/>
      <c r="EI1" s="281"/>
      <c r="EJ1" s="281"/>
      <c r="EK1" s="281"/>
      <c r="EL1" s="281"/>
      <c r="EM1" s="281"/>
      <c r="EN1" s="281"/>
      <c r="EO1" s="281"/>
      <c r="EP1" s="281"/>
      <c r="EQ1" s="281"/>
      <c r="ER1" s="281"/>
      <c r="ES1" s="281"/>
      <c r="ET1" s="281"/>
      <c r="EU1" s="281"/>
      <c r="EV1" s="281"/>
      <c r="EW1" s="281"/>
      <c r="EX1" s="281"/>
      <c r="EY1" s="282"/>
      <c r="EZ1" s="280" t="str">
        <f>IF('Données projet'!$B$16="","",'Données projet'!$B$16)</f>
        <v/>
      </c>
      <c r="FA1" s="281"/>
      <c r="FB1" s="281"/>
      <c r="FC1" s="281"/>
      <c r="FD1" s="281"/>
      <c r="FE1" s="281"/>
      <c r="FF1" s="281"/>
      <c r="FG1" s="281"/>
      <c r="FH1" s="281"/>
      <c r="FI1" s="281"/>
      <c r="FJ1" s="281"/>
      <c r="FK1" s="281"/>
      <c r="FL1" s="281"/>
      <c r="FM1" s="281"/>
      <c r="FN1" s="281"/>
      <c r="FO1" s="281"/>
      <c r="FP1" s="281"/>
      <c r="FQ1" s="281"/>
      <c r="FR1" s="281"/>
      <c r="FS1" s="281"/>
      <c r="FT1" s="282"/>
      <c r="FU1" s="280" t="str">
        <f>IF('Données projet'!$B$17="","",'Données projet'!$B$17)</f>
        <v/>
      </c>
      <c r="FV1" s="281"/>
      <c r="FW1" s="281"/>
      <c r="FX1" s="281"/>
      <c r="FY1" s="281"/>
      <c r="FZ1" s="281"/>
      <c r="GA1" s="281"/>
      <c r="GB1" s="281"/>
      <c r="GC1" s="281"/>
      <c r="GD1" s="281"/>
      <c r="GE1" s="281"/>
      <c r="GF1" s="281"/>
      <c r="GG1" s="281"/>
      <c r="GH1" s="281"/>
      <c r="GI1" s="281"/>
      <c r="GJ1" s="281"/>
      <c r="GK1" s="281"/>
      <c r="GL1" s="281"/>
      <c r="GM1" s="281"/>
      <c r="GN1" s="281"/>
      <c r="GO1" s="282"/>
      <c r="GP1" s="280" t="str">
        <f>IF('Données projet'!$B$18="","",'Données projet'!$B$18)</f>
        <v/>
      </c>
      <c r="GQ1" s="281"/>
      <c r="GR1" s="281"/>
      <c r="GS1" s="281"/>
      <c r="GT1" s="281"/>
      <c r="GU1" s="281"/>
      <c r="GV1" s="281"/>
      <c r="GW1" s="281"/>
      <c r="GX1" s="281"/>
      <c r="GY1" s="281"/>
      <c r="GZ1" s="281"/>
      <c r="HA1" s="281"/>
      <c r="HB1" s="281"/>
      <c r="HC1" s="281"/>
      <c r="HD1" s="281"/>
      <c r="HE1" s="281"/>
      <c r="HF1" s="281"/>
      <c r="HG1" s="281"/>
      <c r="HH1" s="281"/>
      <c r="HI1" s="281"/>
      <c r="HJ1" s="282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237.22177246688199</v>
      </c>
      <c r="T3" s="59">
        <f>IF('Données projet'!E9&gt;30,$R$33-$H$33,LOOKUP('Données projet'!$E$9,$A$3:$A$203,R3:R203)-LOOKUP('Données projet'!$E$9,$A$3:$A$203,$H$3:$H$203))</f>
        <v>149.27472147904302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243.38048563215585</v>
      </c>
      <c r="AO3" s="59">
        <f>IF('Données projet'!E10&gt;30,$AM$33-$H$33,LOOKUP('Données projet'!$E$10,$A$3:$A$203,AM3:AM203)-LOOKUP('Données projet'!$E$10,$A$3:$A$203,$H$3:$H$203))</f>
        <v>372.1604147006675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326.31232746914907</v>
      </c>
      <c r="BJ3" s="59">
        <f>IF('Données projet'!E11&gt;30,$BH$33-$H$33,LOOKUP('Données projet'!$E$11,$A$3:$A$203,BH3:BH203)-LOOKUP('Données projet'!$E$11,$A$3:$A$203,$H$3:$H$203))</f>
        <v>330.17137761430297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314.94704727988847</v>
      </c>
      <c r="CE3" s="59">
        <f>IF('Données projet'!E12&gt;30,$CC$33-$H$33,LOOKUP('Données projet'!$E$12,$A$3:$A$203,CC3:CC203)-LOOKUP('Données projet'!$E$12,$A$3:$A$203,$H$3:$H$203))</f>
        <v>366.49199094166454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261.59434871103355</v>
      </c>
      <c r="CZ3" s="59">
        <f>IF('Données projet'!E13&gt;30,$CX$33-$H$33,LOOKUP('Données projet'!$E$13,$A$3:$A$203,CX3:CX203)-LOOKUP('Données projet'!$E$13,$A$3:$A$203,$H$3:$H$203))</f>
        <v>194.97518096665976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2.1</v>
      </c>
      <c r="N4" s="13">
        <f>IF('Données projet'!$A$36&gt;35,N3+M4-V3,IF(A4&lt;'Données projet'!$A$36,$K$205^A4,IF(A4='Données projet'!$A$36,'Données projet'!$B$36,N3+M4-V3)))</f>
        <v>1.2054868146447177</v>
      </c>
      <c r="O4" s="13">
        <f>N4*VLOOKUP('Données projet'!$B$9,Paramètres!$A$1:$I$89,3,0)*VLOOKUP('Données projet'!$B$9,Paramètres!$A$1:$I$89,5,0)</f>
        <v>1.0907244698905405</v>
      </c>
      <c r="P4" s="13">
        <f>EXP(-1.0587+0.8836*LN(O4)+0.284)</f>
        <v>0.49759623852608204</v>
      </c>
      <c r="Q4" s="20">
        <f t="shared" ref="Q4:Q34" si="2">(O4+P4)*0.475*44/12</f>
        <v>2.7663252338256172</v>
      </c>
      <c r="R4" s="59">
        <f t="shared" si="0"/>
        <v>296.09965856715894</v>
      </c>
      <c r="S4" s="59">
        <f ca="1">AVERAGE(OFFSET($R$3,0,0,'Données projet'!$E$9+1,1))-AVERAGE(OFFSET($H$3,0,0,'Données projet'!$E$9+1,1))</f>
        <v>237.22177246688199</v>
      </c>
      <c r="T4" s="59">
        <f>$T$3</f>
        <v>149.27472147904302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5.8</v>
      </c>
      <c r="AI4" s="13">
        <f>IF('Données projet'!$A$62&gt;35,AI3+AH4-AQ3,IF(A4&lt;'Données projet'!$A$62,$AF$205^A4,IF(A4='Données projet'!$A$62,'Données projet'!$B$62,AI3+AH4-AQ3)))</f>
        <v>1.3467943429205997</v>
      </c>
      <c r="AJ4" s="13">
        <f>AI4*VLOOKUP('Données projet'!$B$10,Paramètres!$A$1:$I$89,3,0)*VLOOKUP('Données projet'!$B$10,Paramètres!$A$1:$I$89,5,0)</f>
        <v>1.1765595379754361</v>
      </c>
      <c r="AK4" s="13">
        <f>EXP(-1.0587+0.8836*LN(AJ4)+0.284)</f>
        <v>0.53204273185561757</v>
      </c>
      <c r="AL4" s="20">
        <f t="shared" ref="AL4:AL67" si="4">(AJ4+AK4)*0.475*44/12</f>
        <v>2.9758156199557515</v>
      </c>
      <c r="AM4" s="59">
        <f t="shared" ref="AM4:AM67" si="5">AL4+(AD4+AE4)*44/12</f>
        <v>296.30914895328908</v>
      </c>
      <c r="AN4" s="59">
        <f ca="1">AVERAGE(OFFSET($AM$3,0,0,'Données projet'!$E$10+1,1))-AVERAGE(OFFSET($H$3,0,0,'Données projet'!$E$10+1,1))</f>
        <v>243.38048563215585</v>
      </c>
      <c r="AO4" s="59">
        <f>$AO$3</f>
        <v>372.1604147006675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1.2</v>
      </c>
      <c r="BD4" s="12">
        <f>IF('Données projet'!$A$88&gt;35,BD3+BC4-BL3,IF(A4&lt;'Données projet'!$A$88,$BA$205^A4,IF(A4='Données projet'!$A$88,'Données projet'!$B$88,BD3+BC4-BL3)))</f>
        <v>1.2820888539868154</v>
      </c>
      <c r="BE4" s="13">
        <f>BD4*VLOOKUP('Données projet'!$B$11,Paramètres!$A$1:$I$89,3,0)*VLOOKUP('Données projet'!$B$11,Paramètres!$A$1:$I$89,5,0)</f>
        <v>0.71668766937862982</v>
      </c>
      <c r="BF4" s="13">
        <f>EXP(-1.0587+0.8836*LN(BE4)+0.284)</f>
        <v>0.3433377788328647</v>
      </c>
      <c r="BG4" s="20">
        <f t="shared" ref="BG4:BG67" si="7">(BE4+BF4)*0.475*44/12</f>
        <v>1.8462109889683529</v>
      </c>
      <c r="BH4" s="59">
        <f t="shared" ref="BH4:BH67" si="8">BG4+(AY4+AZ4)*44/12</f>
        <v>295.17954432230169</v>
      </c>
      <c r="BI4" s="59">
        <f ca="1">AVERAGE(OFFSET($BH$3,0,0,'Données projet'!$E$11+1,1))-AVERAGE(OFFSET($H$3,0,0,'Données projet'!$E$11+1,1))</f>
        <v>326.31232746914907</v>
      </c>
      <c r="BJ4" s="59">
        <f>$BJ$3</f>
        <v>330.17137761430297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1.9</v>
      </c>
      <c r="BY4" s="12">
        <f>IF('Données projet'!$A$114&gt;35,BY3+BX4-CG3,IF(A4&lt;'Données projet'!$A$114,$BV$205^A4,IF(A4='Données projet'!$A$114,'Données projet'!$B$114,BY3+BX4-CG3)))</f>
        <v>1.3423796509621049</v>
      </c>
      <c r="BZ4" s="13">
        <f>BY4*VLOOKUP('Données projet'!$B$12,Paramètres!$A$1:$I$89,3,0)*VLOOKUP('Données projet'!$B$12,Paramètres!$A$1:$I$89,5,0)</f>
        <v>1.0679972503054507</v>
      </c>
      <c r="CA4" s="13">
        <f>EXP(-1.0587+0.8836*LN(BZ4)+0.284)</f>
        <v>0.48842359485523285</v>
      </c>
      <c r="CB4" s="20">
        <f t="shared" ref="CB4:CB67" si="10">(BZ4+CA4)*0.475*44/12</f>
        <v>2.7107663053215236</v>
      </c>
      <c r="CC4" s="59">
        <f t="shared" ref="CC4:CC67" si="11">CB4+(BT4+BU4)*44/12</f>
        <v>296.04409963865481</v>
      </c>
      <c r="CD4" s="59">
        <f ca="1">AVERAGE(OFFSET($CC$3,0,0,'Données projet'!$E$12+1,1))-AVERAGE(OFFSET($H$3,0,0,'Données projet'!$E$12+1,1))</f>
        <v>314.94704727988847</v>
      </c>
      <c r="CE4" s="59">
        <f>$CE$3</f>
        <v>366.49199094166454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5.05</v>
      </c>
      <c r="CT4" s="12">
        <f>IF('Données projet'!$A$140&gt;35,CT3+CS4-DB3,IF(A4&lt;'Données projet'!$A$140,$CQ$205^A4,IF(A4='Données projet'!$A$140,'Données projet'!$B$140,CT3+CS4-DB3)))</f>
        <v>1.2595519038446648</v>
      </c>
      <c r="CU4" s="17">
        <f>CT4*VLOOKUP('Données projet'!$B$13,Paramètres!$A$1:$I$89,3,0)*VLOOKUP('Données projet'!$B$13,Paramètres!$A$1:$I$89,5,0)</f>
        <v>0.98245048499883858</v>
      </c>
      <c r="CV4" s="13">
        <f>EXP(-1.0587+0.8836*LN(CU4)+0.284)</f>
        <v>0.45368850323799603</v>
      </c>
      <c r="CW4" s="20">
        <f t="shared" ref="CW4:CW67" si="13">(CU4+CV4)*0.475*44/12</f>
        <v>2.5012754045124868</v>
      </c>
      <c r="CX4" s="59">
        <f t="shared" ref="CX4:CX67" si="14">CW4+(CO4+CP4)*44/12</f>
        <v>295.83460873784583</v>
      </c>
      <c r="CY4" s="59">
        <f ca="1">AVERAGE(OFFSET($CX$3,0,0,'Données projet'!$E$13+1,1))-AVERAGE(OFFSET($H$3,0,0,'Données projet'!$E$13+1,1))</f>
        <v>261.59434871103355</v>
      </c>
      <c r="CZ4" s="59">
        <f>$CZ$3</f>
        <v>194.97518096665976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2.1</v>
      </c>
      <c r="N5" s="13">
        <f>IF('Données projet'!$A$36&gt;35,N4+M5-V4,IF(A5&lt;'Données projet'!$A$36,$K$205^A5,IF(A5='Données projet'!$A$36,'Données projet'!$B$36,N4+M5-V4)))</f>
        <v>1.4531984602822681</v>
      </c>
      <c r="O5" s="13">
        <f>N5*VLOOKUP('Données projet'!$B$9,Paramètres!$A$1:$I$89,3,0)*VLOOKUP('Données projet'!$B$9,Paramètres!$A$1:$I$89,5,0)</f>
        <v>1.3148539668633961</v>
      </c>
      <c r="P5" s="13">
        <f t="shared" ref="P5:P68" si="33">EXP(-1.0587+0.8836*LN(O5)+0.284)</f>
        <v>0.58693801963664449</v>
      </c>
      <c r="Q5" s="20">
        <f t="shared" si="2"/>
        <v>3.3122877098209038</v>
      </c>
      <c r="R5" s="59">
        <f t="shared" si="0"/>
        <v>296.64562104315422</v>
      </c>
      <c r="S5" s="59">
        <f ca="1">AVERAGE(OFFSET($R$3,0,0,'Données projet'!$E$9+1,1))-AVERAGE(OFFSET($H$3,0,0,'Données projet'!$E$9+1,1))</f>
        <v>237.22177246688199</v>
      </c>
      <c r="T5" s="59">
        <f t="shared" ref="T5:T68" si="34">$T$3</f>
        <v>149.27472147904302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5.8</v>
      </c>
      <c r="AI5" s="13">
        <f>IF('Données projet'!$A$62&gt;35,AI4+AH5-AQ4,IF(A5&lt;'Données projet'!$A$62,$AF$205^A5,IF(A5='Données projet'!$A$62,'Données projet'!$B$62,AI4+AH5-AQ4)))</f>
        <v>1.81385500212293</v>
      </c>
      <c r="AJ5" s="13">
        <f>AI5*VLOOKUP('Données projet'!$B$10,Paramètres!$A$1:$I$89,3,0)*VLOOKUP('Données projet'!$B$10,Paramètres!$A$1:$I$89,5,0)</f>
        <v>1.5845837298545919</v>
      </c>
      <c r="AK5" s="13">
        <f t="shared" ref="AK5:AK68" si="35">EXP(-1.0587+0.8836*LN(AJ5)+0.284)</f>
        <v>0.69214506839939893</v>
      </c>
      <c r="AL5" s="20">
        <f t="shared" si="4"/>
        <v>3.9653026569590337</v>
      </c>
      <c r="AM5" s="59">
        <f t="shared" si="5"/>
        <v>297.29863599029233</v>
      </c>
      <c r="AN5" s="59">
        <f ca="1">AVERAGE(OFFSET($AM$3,0,0,'Données projet'!$E$10+1,1))-AVERAGE(OFFSET($H$3,0,0,'Données projet'!$E$10+1,1))</f>
        <v>243.38048563215585</v>
      </c>
      <c r="AO5" s="59">
        <f t="shared" ref="AO5:AO68" si="36">$AO$3</f>
        <v>372.1604147006675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1.2</v>
      </c>
      <c r="BD5" s="12">
        <f>IF('Données projet'!$A$88&gt;35,BD4+BC5-BL4,IF(A5&lt;'Données projet'!$A$88,$BA$205^A5,IF(A5='Données projet'!$A$88,'Données projet'!$B$88,BD4+BC5-BL4)))</f>
        <v>1.6437518295172255</v>
      </c>
      <c r="BE5" s="13">
        <f>BD5*VLOOKUP('Données projet'!$B$11,Paramètres!$A$1:$I$89,3,0)*VLOOKUP('Données projet'!$B$11,Paramètres!$A$1:$I$89,5,0)</f>
        <v>0.91885727270012907</v>
      </c>
      <c r="BF5" s="13">
        <f t="shared" ref="BF5:BF68" si="37">EXP(-1.0587+0.8836*LN(BE5)+0.284)</f>
        <v>0.4276397314244611</v>
      </c>
      <c r="BG5" s="20">
        <f t="shared" si="7"/>
        <v>2.3451489488503281</v>
      </c>
      <c r="BH5" s="59">
        <f t="shared" si="8"/>
        <v>295.67848228218367</v>
      </c>
      <c r="BI5" s="59">
        <f ca="1">AVERAGE(OFFSET($BH$3,0,0,'Données projet'!$E$11+1,1))-AVERAGE(OFFSET($H$3,0,0,'Données projet'!$E$11+1,1))</f>
        <v>326.31232746914907</v>
      </c>
      <c r="BJ5" s="59">
        <f t="shared" ref="BJ5:BJ68" si="38">$BJ$3</f>
        <v>330.17137761430297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1.9</v>
      </c>
      <c r="BY5" s="12">
        <f>IF('Données projet'!$A$114&gt;35,BY4+BX5-CG4,IF(A5&lt;'Données projet'!$A$114,$BV$205^A5,IF(A5='Données projet'!$A$114,'Données projet'!$B$114,BY4+BX5-CG4)))</f>
        <v>1.8019831273171425</v>
      </c>
      <c r="BZ5" s="13">
        <f>BY5*VLOOKUP('Données projet'!$B$12,Paramètres!$A$1:$I$89,3,0)*VLOOKUP('Données projet'!$B$12,Paramètres!$A$1:$I$89,5,0)</f>
        <v>1.4336577760935185</v>
      </c>
      <c r="CA5" s="13">
        <f t="shared" ref="CA5:CA68" si="39">EXP(-1.0587+0.8836*LN(BZ5)+0.284)</f>
        <v>0.63355934907379652</v>
      </c>
      <c r="CB5" s="20">
        <f t="shared" si="10"/>
        <v>3.6004031596664068</v>
      </c>
      <c r="CC5" s="59">
        <f t="shared" si="11"/>
        <v>296.93373649299974</v>
      </c>
      <c r="CD5" s="59">
        <f ca="1">AVERAGE(OFFSET($CC$3,0,0,'Données projet'!$E$12+1,1))-AVERAGE(OFFSET($H$3,0,0,'Données projet'!$E$12+1,1))</f>
        <v>314.94704727988847</v>
      </c>
      <c r="CE5" s="59">
        <f t="shared" ref="CE5:CE68" si="40">$CE$3</f>
        <v>366.49199094166454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5.05</v>
      </c>
      <c r="CT5" s="12">
        <f>IF('Données projet'!$A$140&gt;35,CT4+CS5-DB4,IF(A5&lt;'Données projet'!$A$140,$CQ$205^A5,IF(A5='Données projet'!$A$140,'Données projet'!$B$140,CT4+CS5-DB4)))</f>
        <v>1.5864709984787195</v>
      </c>
      <c r="CU5" s="17">
        <f>CT5*VLOOKUP('Données projet'!$B$13,Paramètres!$A$1:$I$89,3,0)*VLOOKUP('Données projet'!$B$13,Paramètres!$A$1:$I$89,5,0)</f>
        <v>1.2374473788134013</v>
      </c>
      <c r="CV5" s="13">
        <f t="shared" ref="CV5:CV68" si="41">EXP(-1.0587+0.8836*LN(CU5)+0.284)</f>
        <v>0.55629952919951997</v>
      </c>
      <c r="CW5" s="20">
        <f t="shared" si="13"/>
        <v>3.1241091981225044</v>
      </c>
      <c r="CX5" s="59">
        <f t="shared" si="14"/>
        <v>296.4574425314558</v>
      </c>
      <c r="CY5" s="59">
        <f ca="1">AVERAGE(OFFSET($CX$3,0,0,'Données projet'!$E$13+1,1))-AVERAGE(OFFSET($H$3,0,0,'Données projet'!$E$13+1,1))</f>
        <v>261.59434871103355</v>
      </c>
      <c r="CZ5" s="59">
        <f t="shared" ref="CZ5:CZ68" si="42">$CZ$3</f>
        <v>194.97518096665976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2.1</v>
      </c>
      <c r="N6" s="13">
        <f>IF('Données projet'!$A$36&gt;35,N5+M6-V5,IF(A6&lt;'Données projet'!$A$36,$K$205^A6,IF(A6='Données projet'!$A$36,'Données projet'!$B$36,N5+M6-V5)))</f>
        <v>1.7518115829322798</v>
      </c>
      <c r="O6" s="13">
        <f>N6*VLOOKUP('Données projet'!$B$9,Paramètres!$A$1:$I$89,3,0)*VLOOKUP('Données projet'!$B$9,Paramètres!$A$1:$I$89,5,0)</f>
        <v>1.5850391202371266</v>
      </c>
      <c r="P6" s="13">
        <f t="shared" si="33"/>
        <v>0.69232082604846479</v>
      </c>
      <c r="Q6" s="20">
        <f t="shared" si="2"/>
        <v>3.966401906447405</v>
      </c>
      <c r="R6" s="59">
        <f t="shared" si="0"/>
        <v>297.29973523978072</v>
      </c>
      <c r="S6" s="59">
        <f ca="1">AVERAGE(OFFSET($R$3,0,0,'Données projet'!$E$9+1,1))-AVERAGE(OFFSET($H$3,0,0,'Données projet'!$E$9+1,1))</f>
        <v>237.22177246688199</v>
      </c>
      <c r="T6" s="59">
        <f t="shared" si="34"/>
        <v>149.27472147904302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5.8</v>
      </c>
      <c r="AI6" s="13">
        <f>IF('Données projet'!$A$62&gt;35,AI5+AH6-AQ5,IF(A6&lt;'Données projet'!$A$62,$AF$205^A6,IF(A6='Données projet'!$A$62,'Données projet'!$B$62,AI5+AH6-AQ5)))</f>
        <v>2.4428896557373947</v>
      </c>
      <c r="AJ6" s="13">
        <f>AI6*VLOOKUP('Données projet'!$B$10,Paramètres!$A$1:$I$89,3,0)*VLOOKUP('Données projet'!$B$10,Paramètres!$A$1:$I$89,5,0)</f>
        <v>2.1341084032521884</v>
      </c>
      <c r="AK6" s="13">
        <f t="shared" si="35"/>
        <v>0.90042541139273424</v>
      </c>
      <c r="AL6" s="20">
        <f t="shared" si="4"/>
        <v>5.2851463938399075</v>
      </c>
      <c r="AM6" s="59">
        <f t="shared" si="5"/>
        <v>298.61847972717322</v>
      </c>
      <c r="AN6" s="59">
        <f ca="1">AVERAGE(OFFSET($AM$3,0,0,'Données projet'!$E$10+1,1))-AVERAGE(OFFSET($H$3,0,0,'Données projet'!$E$10+1,1))</f>
        <v>243.38048563215585</v>
      </c>
      <c r="AO6" s="59">
        <f t="shared" si="36"/>
        <v>372.1604147006675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1.2</v>
      </c>
      <c r="BD6" s="12">
        <f>IF('Données projet'!$A$88&gt;35,BD5+BC6-BL5,IF(A6&lt;'Données projet'!$A$88,$BA$205^A6,IF(A6='Données projet'!$A$88,'Données projet'!$B$88,BD5+BC6-BL5)))</f>
        <v>2.1074358993444706</v>
      </c>
      <c r="BE6" s="13">
        <f>BD6*VLOOKUP('Données projet'!$B$11,Paramètres!$A$1:$I$89,3,0)*VLOOKUP('Données projet'!$B$11,Paramètres!$A$1:$I$89,5,0)</f>
        <v>1.1780566677335591</v>
      </c>
      <c r="BF6" s="13">
        <f t="shared" si="37"/>
        <v>0.532640889430954</v>
      </c>
      <c r="BG6" s="20">
        <f t="shared" si="7"/>
        <v>2.9794649120615269</v>
      </c>
      <c r="BH6" s="59">
        <f t="shared" si="8"/>
        <v>296.31279824539484</v>
      </c>
      <c r="BI6" s="59">
        <f ca="1">AVERAGE(OFFSET($BH$3,0,0,'Données projet'!$E$11+1,1))-AVERAGE(OFFSET($H$3,0,0,'Données projet'!$E$11+1,1))</f>
        <v>326.31232746914907</v>
      </c>
      <c r="BJ6" s="59">
        <f t="shared" si="38"/>
        <v>330.17137761430297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1.9</v>
      </c>
      <c r="BY6" s="12">
        <f>IF('Données projet'!$A$114&gt;35,BY5+BX6-CG5,IF(A6&lt;'Données projet'!$A$114,$BV$205^A6,IF(A6='Données projet'!$A$114,'Données projet'!$B$114,BY5+BX6-CG5)))</f>
        <v>2.4189454814875879</v>
      </c>
      <c r="BZ6" s="13">
        <f>BY6*VLOOKUP('Données projet'!$B$12,Paramètres!$A$1:$I$89,3,0)*VLOOKUP('Données projet'!$B$12,Paramètres!$A$1:$I$89,5,0)</f>
        <v>1.9245130250715252</v>
      </c>
      <c r="CA6" s="13">
        <f t="shared" si="39"/>
        <v>0.82182239561499026</v>
      </c>
      <c r="CB6" s="20">
        <f t="shared" si="10"/>
        <v>4.7832008576956815</v>
      </c>
      <c r="CC6" s="59">
        <f t="shared" si="11"/>
        <v>298.11653419102902</v>
      </c>
      <c r="CD6" s="59">
        <f ca="1">AVERAGE(OFFSET($CC$3,0,0,'Données projet'!$E$12+1,1))-AVERAGE(OFFSET($H$3,0,0,'Données projet'!$E$12+1,1))</f>
        <v>314.94704727988847</v>
      </c>
      <c r="CE6" s="59">
        <f t="shared" si="40"/>
        <v>366.49199094166454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5.05</v>
      </c>
      <c r="CT6" s="12">
        <f>IF('Données projet'!$A$140&gt;35,CT5+CS6-DB5,IF(A6&lt;'Données projet'!$A$140,$CQ$205^A6,IF(A6='Données projet'!$A$140,'Données projet'!$B$140,CT5+CS6-DB5)))</f>
        <v>1.9982425665282175</v>
      </c>
      <c r="CU6" s="17">
        <f>CT6*VLOOKUP('Données projet'!$B$13,Paramètres!$A$1:$I$89,3,0)*VLOOKUP('Données projet'!$B$13,Paramètres!$A$1:$I$89,5,0)</f>
        <v>1.5586292018920098</v>
      </c>
      <c r="CV6" s="13">
        <f t="shared" si="41"/>
        <v>0.68211815811710397</v>
      </c>
      <c r="CW6" s="20">
        <f t="shared" si="13"/>
        <v>3.9026349853492062</v>
      </c>
      <c r="CX6" s="59">
        <f t="shared" si="14"/>
        <v>297.23596831868252</v>
      </c>
      <c r="CY6" s="59">
        <f ca="1">AVERAGE(OFFSET($CX$3,0,0,'Données projet'!$E$13+1,1))-AVERAGE(OFFSET($H$3,0,0,'Données projet'!$E$13+1,1))</f>
        <v>261.59434871103355</v>
      </c>
      <c r="CZ6" s="59">
        <f t="shared" si="42"/>
        <v>194.97518096665976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2.1</v>
      </c>
      <c r="N7" s="13">
        <f>IF('Données projet'!$A$36&gt;35,N6+M7-V6,IF(A7&lt;'Données projet'!$A$36,$K$205^A7,IF(A7='Données projet'!$A$36,'Données projet'!$B$36,N6+M7-V6)))</f>
        <v>2.1117857649667546</v>
      </c>
      <c r="O7" s="13">
        <f>N7*VLOOKUP('Données projet'!$B$9,Paramètres!$A$1:$I$89,3,0)*VLOOKUP('Données projet'!$B$9,Paramètres!$A$1:$I$89,5,0)</f>
        <v>1.9107437601419195</v>
      </c>
      <c r="P7" s="13">
        <f t="shared" si="33"/>
        <v>0.81662477151702284</v>
      </c>
      <c r="Q7" s="20">
        <f t="shared" si="2"/>
        <v>4.7501668593059909</v>
      </c>
      <c r="R7" s="59">
        <f t="shared" si="0"/>
        <v>298.08350019263929</v>
      </c>
      <c r="S7" s="59">
        <f ca="1">AVERAGE(OFFSET($R$3,0,0,'Données projet'!$E$9+1,1))-AVERAGE(OFFSET($H$3,0,0,'Données projet'!$E$9+1,1))</f>
        <v>237.22177246688199</v>
      </c>
      <c r="T7" s="59">
        <f t="shared" si="34"/>
        <v>149.27472147904302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5.8</v>
      </c>
      <c r="AI7" s="13">
        <f>IF('Données projet'!$A$62&gt;35,AI6+AH7-AQ6,IF(A7&lt;'Données projet'!$A$62,$AF$205^A7,IF(A7='Données projet'!$A$62,'Données projet'!$B$62,AI6+AH7-AQ6)))</f>
        <v>3.2900699687263746</v>
      </c>
      <c r="AJ7" s="13">
        <f>AI7*VLOOKUP('Données projet'!$B$10,Paramètres!$A$1:$I$89,3,0)*VLOOKUP('Données projet'!$B$10,Paramètres!$A$1:$I$89,5,0)</f>
        <v>2.874205124679361</v>
      </c>
      <c r="AK7" s="13">
        <f t="shared" si="35"/>
        <v>1.1713814899478936</v>
      </c>
      <c r="AL7" s="20">
        <f t="shared" si="4"/>
        <v>7.0460633538091342</v>
      </c>
      <c r="AM7" s="59">
        <f t="shared" si="5"/>
        <v>300.37939668714245</v>
      </c>
      <c r="AN7" s="59">
        <f ca="1">AVERAGE(OFFSET($AM$3,0,0,'Données projet'!$E$10+1,1))-AVERAGE(OFFSET($H$3,0,0,'Données projet'!$E$10+1,1))</f>
        <v>243.38048563215585</v>
      </c>
      <c r="AO7" s="59">
        <f t="shared" si="36"/>
        <v>372.1604147006675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1.2</v>
      </c>
      <c r="BD7" s="12">
        <f>IF('Données projet'!$A$88&gt;35,BD6+BC7-BL6,IF(A7&lt;'Données projet'!$A$88,$BA$205^A7,IF(A7='Données projet'!$A$88,'Données projet'!$B$88,BD6+BC7-BL6)))</f>
        <v>2.7019200770412262</v>
      </c>
      <c r="BE7" s="13">
        <f>BD7*VLOOKUP('Données projet'!$B$11,Paramètres!$A$1:$I$89,3,0)*VLOOKUP('Données projet'!$B$11,Paramètres!$A$1:$I$89,5,0)</f>
        <v>1.5103733230660454</v>
      </c>
      <c r="BF7" s="13">
        <f t="shared" si="37"/>
        <v>0.66342366306511447</v>
      </c>
      <c r="BG7" s="20">
        <f t="shared" si="7"/>
        <v>3.786029750845104</v>
      </c>
      <c r="BH7" s="59">
        <f t="shared" si="8"/>
        <v>297.11936308417842</v>
      </c>
      <c r="BI7" s="59">
        <f ca="1">AVERAGE(OFFSET($BH$3,0,0,'Données projet'!$E$11+1,1))-AVERAGE(OFFSET($H$3,0,0,'Données projet'!$E$11+1,1))</f>
        <v>326.31232746914907</v>
      </c>
      <c r="BJ7" s="59">
        <f t="shared" si="38"/>
        <v>330.17137761430297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1.9</v>
      </c>
      <c r="BY7" s="12">
        <f>IF('Données projet'!$A$114&gt;35,BY6+BX7-CG6,IF(A7&lt;'Données projet'!$A$114,$BV$205^A7,IF(A7='Données projet'!$A$114,'Données projet'!$B$114,BY6+BX7-CG6)))</f>
        <v>3.247143191135669</v>
      </c>
      <c r="BZ7" s="13">
        <f>BY7*VLOOKUP('Données projet'!$B$12,Paramètres!$A$1:$I$89,3,0)*VLOOKUP('Données projet'!$B$12,Paramètres!$A$1:$I$89,5,0)</f>
        <v>2.5834271228675387</v>
      </c>
      <c r="CA7" s="13">
        <f t="shared" si="39"/>
        <v>1.066028069701316</v>
      </c>
      <c r="CB7" s="20">
        <f t="shared" si="10"/>
        <v>6.3561344603907548</v>
      </c>
      <c r="CC7" s="59">
        <f t="shared" si="11"/>
        <v>299.68946779372408</v>
      </c>
      <c r="CD7" s="59">
        <f ca="1">AVERAGE(OFFSET($CC$3,0,0,'Données projet'!$E$12+1,1))-AVERAGE(OFFSET($H$3,0,0,'Données projet'!$E$12+1,1))</f>
        <v>314.94704727988847</v>
      </c>
      <c r="CE7" s="59">
        <f t="shared" si="40"/>
        <v>366.49199094166454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5.05</v>
      </c>
      <c r="CT7" s="12">
        <f>IF('Données projet'!$A$140&gt;35,CT6+CS7-DB6,IF(A7&lt;'Données projet'!$A$140,$CQ$205^A7,IF(A7='Données projet'!$A$140,'Données projet'!$B$140,CT6+CS7-DB6)))</f>
        <v>2.5168902290140651</v>
      </c>
      <c r="CU7" s="17">
        <f>CT7*VLOOKUP('Données projet'!$B$13,Paramètres!$A$1:$I$89,3,0)*VLOOKUP('Données projet'!$B$13,Paramètres!$A$1:$I$89,5,0)</f>
        <v>1.9631743786309708</v>
      </c>
      <c r="CV7" s="13">
        <f t="shared" si="41"/>
        <v>0.8363932687532315</v>
      </c>
      <c r="CW7" s="20">
        <f t="shared" si="13"/>
        <v>4.875913652527486</v>
      </c>
      <c r="CX7" s="59">
        <f t="shared" si="14"/>
        <v>298.20924698586077</v>
      </c>
      <c r="CY7" s="59">
        <f ca="1">AVERAGE(OFFSET($CX$3,0,0,'Données projet'!$E$13+1,1))-AVERAGE(OFFSET($H$3,0,0,'Données projet'!$E$13+1,1))</f>
        <v>261.59434871103355</v>
      </c>
      <c r="CZ7" s="59">
        <f t="shared" si="42"/>
        <v>194.97518096665976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2.1</v>
      </c>
      <c r="N8" s="13">
        <f>IF('Données projet'!$A$36&gt;35,N7+M8-V7,IF(A8&lt;'Données projet'!$A$36,$K$205^A8,IF(A8='Données projet'!$A$36,'Données projet'!$B$36,N7+M8-V7)))</f>
        <v>2.5457298950218314</v>
      </c>
      <c r="O8" s="13">
        <f>N8*VLOOKUP('Données projet'!$B$9,Paramètres!$A$1:$I$89,3,0)*VLOOKUP('Données projet'!$B$9,Paramètres!$A$1:$I$89,5,0)</f>
        <v>2.3033764090157529</v>
      </c>
      <c r="P8" s="13">
        <f t="shared" si="33"/>
        <v>0.96324708482559218</v>
      </c>
      <c r="Q8" s="20">
        <f t="shared" si="2"/>
        <v>5.6893692517736758</v>
      </c>
      <c r="R8" s="59">
        <f t="shared" si="0"/>
        <v>299.02270258510697</v>
      </c>
      <c r="S8" s="59">
        <f ca="1">AVERAGE(OFFSET($R$3,0,0,'Données projet'!$E$9+1,1))-AVERAGE(OFFSET($H$3,0,0,'Données projet'!$E$9+1,1))</f>
        <v>237.22177246688199</v>
      </c>
      <c r="T8" s="59">
        <f t="shared" si="34"/>
        <v>149.27472147904302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5.8</v>
      </c>
      <c r="AI8" s="13">
        <f>IF('Données projet'!$A$62&gt;35,AI7+AH8-AQ7,IF(A8&lt;'Données projet'!$A$62,$AF$205^A8,IF(A8='Données projet'!$A$62,'Données projet'!$B$62,AI7+AH8-AQ7)))</f>
        <v>4.4310476216936356</v>
      </c>
      <c r="AJ8" s="13">
        <f>AI8*VLOOKUP('Données projet'!$B$10,Paramètres!$A$1:$I$89,3,0)*VLOOKUP('Données projet'!$B$10,Paramètres!$A$1:$I$89,5,0)</f>
        <v>3.8709632023115605</v>
      </c>
      <c r="AK8" s="13">
        <f t="shared" si="35"/>
        <v>1.5238736908481918</v>
      </c>
      <c r="AL8" s="20">
        <f t="shared" si="4"/>
        <v>9.3960075889199022</v>
      </c>
      <c r="AM8" s="59">
        <f t="shared" si="5"/>
        <v>302.72934092225324</v>
      </c>
      <c r="AN8" s="59">
        <f ca="1">AVERAGE(OFFSET($AM$3,0,0,'Données projet'!$E$10+1,1))-AVERAGE(OFFSET($H$3,0,0,'Données projet'!$E$10+1,1))</f>
        <v>243.38048563215585</v>
      </c>
      <c r="AO8" s="59">
        <f t="shared" si="36"/>
        <v>372.1604147006675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1.2</v>
      </c>
      <c r="BD8" s="12">
        <f>IF('Données projet'!$A$88&gt;35,BD7+BC8-BL7,IF(A8&lt;'Données projet'!$A$88,$BA$205^A8,IF(A8='Données projet'!$A$88,'Données projet'!$B$88,BD7+BC8-BL7)))</f>
        <v>3.4641016151377535</v>
      </c>
      <c r="BE8" s="13">
        <f>BD8*VLOOKUP('Données projet'!$B$11,Paramètres!$A$1:$I$89,3,0)*VLOOKUP('Données projet'!$B$11,Paramètres!$A$1:$I$89,5,0)</f>
        <v>1.9364328028620041</v>
      </c>
      <c r="BF8" s="13">
        <f t="shared" si="37"/>
        <v>0.82631837969658639</v>
      </c>
      <c r="BG8" s="20">
        <f t="shared" si="7"/>
        <v>4.8117916429562113</v>
      </c>
      <c r="BH8" s="59">
        <f t="shared" si="8"/>
        <v>298.14512497628954</v>
      </c>
      <c r="BI8" s="59">
        <f ca="1">AVERAGE(OFFSET($BH$3,0,0,'Données projet'!$E$11+1,1))-AVERAGE(OFFSET($H$3,0,0,'Données projet'!$E$11+1,1))</f>
        <v>326.31232746914907</v>
      </c>
      <c r="BJ8" s="59">
        <f t="shared" si="38"/>
        <v>330.17137761430297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1.9</v>
      </c>
      <c r="BY8" s="12">
        <f>IF('Données projet'!$A$114&gt;35,BY7+BX8-CG7,IF(A8&lt;'Données projet'!$A$114,$BV$205^A8,IF(A8='Données projet'!$A$114,'Données projet'!$B$114,BY7+BX8-CG7)))</f>
        <v>4.3588989435406749</v>
      </c>
      <c r="BZ8" s="13">
        <f>BY8*VLOOKUP('Données projet'!$B$12,Paramètres!$A$1:$I$89,3,0)*VLOOKUP('Données projet'!$B$12,Paramètres!$A$1:$I$89,5,0)</f>
        <v>3.467939999480961</v>
      </c>
      <c r="CA8" s="13">
        <f t="shared" si="39"/>
        <v>1.382799801337496</v>
      </c>
      <c r="CB8" s="20">
        <f t="shared" si="10"/>
        <v>8.4483718197588118</v>
      </c>
      <c r="CC8" s="59">
        <f t="shared" si="11"/>
        <v>301.7817051530921</v>
      </c>
      <c r="CD8" s="59">
        <f ca="1">AVERAGE(OFFSET($CC$3,0,0,'Données projet'!$E$12+1,1))-AVERAGE(OFFSET($H$3,0,0,'Données projet'!$E$12+1,1))</f>
        <v>314.94704727988847</v>
      </c>
      <c r="CE8" s="59">
        <f t="shared" si="40"/>
        <v>366.49199094166454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5.05</v>
      </c>
      <c r="CT8" s="12">
        <f>IF('Données projet'!$A$140&gt;35,CT7+CS8-DB7,IF(A8&lt;'Données projet'!$A$140,$CQ$205^A8,IF(A8='Données projet'!$A$140,'Données projet'!$B$140,CT7+CS8-DB7)))</f>
        <v>3.1701538797227</v>
      </c>
      <c r="CU8" s="17">
        <f>CT8*VLOOKUP('Données projet'!$B$13,Paramètres!$A$1:$I$89,3,0)*VLOOKUP('Données projet'!$B$13,Paramètres!$A$1:$I$89,5,0)</f>
        <v>2.4727200261837061</v>
      </c>
      <c r="CV8" s="13">
        <f t="shared" si="41"/>
        <v>1.0255608822183242</v>
      </c>
      <c r="CW8" s="20">
        <f t="shared" si="13"/>
        <v>6.0928392488002023</v>
      </c>
      <c r="CX8" s="59">
        <f t="shared" si="14"/>
        <v>299.42617258213352</v>
      </c>
      <c r="CY8" s="59">
        <f ca="1">AVERAGE(OFFSET($CX$3,0,0,'Données projet'!$E$13+1,1))-AVERAGE(OFFSET($H$3,0,0,'Données projet'!$E$13+1,1))</f>
        <v>261.59434871103355</v>
      </c>
      <c r="CZ8" s="59">
        <f t="shared" si="42"/>
        <v>194.97518096665976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2.1</v>
      </c>
      <c r="N9" s="13">
        <f>IF('Données projet'!$A$36&gt;35,N8+M9-V8,IF(A9&lt;'Données projet'!$A$36,$K$205^A9,IF(A9='Données projet'!$A$36,'Données projet'!$B$36,N8+M9-V8)))</f>
        <v>3.0688438220956993</v>
      </c>
      <c r="O9" s="13">
        <f>N9*VLOOKUP('Données projet'!$B$9,Paramètres!$A$1:$I$89,3,0)*VLOOKUP('Données projet'!$B$9,Paramètres!$A$1:$I$89,5,0)</f>
        <v>2.7766898902321886</v>
      </c>
      <c r="P9" s="13">
        <f t="shared" si="33"/>
        <v>1.1361949561012803</v>
      </c>
      <c r="Q9" s="20">
        <f t="shared" si="2"/>
        <v>6.8149411073641248</v>
      </c>
      <c r="R9" s="59">
        <f t="shared" si="0"/>
        <v>300.14827444069743</v>
      </c>
      <c r="S9" s="59">
        <f ca="1">AVERAGE(OFFSET($R$3,0,0,'Données projet'!$E$9+1,1))-AVERAGE(OFFSET($H$3,0,0,'Données projet'!$E$9+1,1))</f>
        <v>237.22177246688199</v>
      </c>
      <c r="T9" s="59">
        <f t="shared" si="34"/>
        <v>149.27472147904302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5.8</v>
      </c>
      <c r="AI9" s="13">
        <f>IF('Données projet'!$A$62&gt;35,AI8+AH9-AQ8,IF(A9&lt;'Données projet'!$A$62,$AF$205^A9,IF(A9='Données projet'!$A$62,'Données projet'!$B$62,AI8+AH9-AQ8)))</f>
        <v>5.9677098701087665</v>
      </c>
      <c r="AJ9" s="13">
        <f>AI9*VLOOKUP('Données projet'!$B$10,Paramètres!$A$1:$I$89,3,0)*VLOOKUP('Données projet'!$B$10,Paramètres!$A$1:$I$89,5,0)</f>
        <v>5.2133913425270189</v>
      </c>
      <c r="AK9" s="13">
        <f t="shared" si="35"/>
        <v>1.9824378698032765</v>
      </c>
      <c r="AL9" s="20">
        <f t="shared" si="4"/>
        <v>12.53273587814193</v>
      </c>
      <c r="AM9" s="59">
        <f t="shared" si="5"/>
        <v>305.86606921147524</v>
      </c>
      <c r="AN9" s="59">
        <f ca="1">AVERAGE(OFFSET($AM$3,0,0,'Données projet'!$E$10+1,1))-AVERAGE(OFFSET($H$3,0,0,'Données projet'!$E$10+1,1))</f>
        <v>243.38048563215585</v>
      </c>
      <c r="AO9" s="59">
        <f t="shared" si="36"/>
        <v>372.1604147006675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1.2</v>
      </c>
      <c r="BD9" s="12">
        <f>IF('Données projet'!$A$88&gt;35,BD8+BC9-BL8,IF(A9&lt;'Données projet'!$A$88,$BA$205^A9,IF(A9='Données projet'!$A$88,'Données projet'!$B$88,BD8+BC9-BL8)))</f>
        <v>4.4412860698458383</v>
      </c>
      <c r="BE9" s="13">
        <f>BD9*VLOOKUP('Données projet'!$B$11,Paramètres!$A$1:$I$89,3,0)*VLOOKUP('Données projet'!$B$11,Paramètres!$A$1:$I$89,5,0)</f>
        <v>2.4826789130438236</v>
      </c>
      <c r="BF9" s="13">
        <f t="shared" si="37"/>
        <v>1.0292096930485513</v>
      </c>
      <c r="BG9" s="20">
        <f t="shared" si="7"/>
        <v>6.1165393222775526</v>
      </c>
      <c r="BH9" s="59">
        <f t="shared" si="8"/>
        <v>299.44987265561087</v>
      </c>
      <c r="BI9" s="59">
        <f ca="1">AVERAGE(OFFSET($BH$3,0,0,'Données projet'!$E$11+1,1))-AVERAGE(OFFSET($H$3,0,0,'Données projet'!$E$11+1,1))</f>
        <v>326.31232746914907</v>
      </c>
      <c r="BJ9" s="59">
        <f t="shared" si="38"/>
        <v>330.17137761430297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1.9</v>
      </c>
      <c r="BY9" s="12">
        <f>IF('Données projet'!$A$114&gt;35,BY8+BX9-CG8,IF(A9&lt;'Données projet'!$A$114,$BV$205^A9,IF(A9='Données projet'!$A$114,'Données projet'!$B$114,BY8+BX9-CG8)))</f>
        <v>5.8512972424092187</v>
      </c>
      <c r="BZ9" s="13">
        <f>BY9*VLOOKUP('Données projet'!$B$12,Paramètres!$A$1:$I$89,3,0)*VLOOKUP('Données projet'!$B$12,Paramètres!$A$1:$I$89,5,0)</f>
        <v>4.6552920860607747</v>
      </c>
      <c r="CA9" s="13">
        <f t="shared" si="39"/>
        <v>1.7937006960002178</v>
      </c>
      <c r="CB9" s="20">
        <f t="shared" si="10"/>
        <v>11.231995762089561</v>
      </c>
      <c r="CC9" s="59">
        <f t="shared" si="11"/>
        <v>304.5653290954229</v>
      </c>
      <c r="CD9" s="59">
        <f ca="1">AVERAGE(OFFSET($CC$3,0,0,'Données projet'!$E$12+1,1))-AVERAGE(OFFSET($H$3,0,0,'Données projet'!$E$12+1,1))</f>
        <v>314.94704727988847</v>
      </c>
      <c r="CE9" s="59">
        <f t="shared" si="40"/>
        <v>366.49199094166454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5.05</v>
      </c>
      <c r="CT9" s="12">
        <f>IF('Données projet'!$A$140&gt;35,CT8+CS9-DB8,IF(A9&lt;'Données projet'!$A$140,$CQ$205^A9,IF(A9='Données projet'!$A$140,'Données projet'!$B$140,CT8+CS9-DB8)))</f>
        <v>3.9929733546852768</v>
      </c>
      <c r="CU9" s="17">
        <f>CT9*VLOOKUP('Données projet'!$B$13,Paramètres!$A$1:$I$89,3,0)*VLOOKUP('Données projet'!$B$13,Paramètres!$A$1:$I$89,5,0)</f>
        <v>3.1145192166545161</v>
      </c>
      <c r="CV9" s="13">
        <f t="shared" si="41"/>
        <v>1.2575126587331993</v>
      </c>
      <c r="CW9" s="20">
        <f t="shared" si="13"/>
        <v>7.6146221829669374</v>
      </c>
      <c r="CX9" s="59">
        <f t="shared" si="14"/>
        <v>300.94795551630023</v>
      </c>
      <c r="CY9" s="59">
        <f ca="1">AVERAGE(OFFSET($CX$3,0,0,'Données projet'!$E$13+1,1))-AVERAGE(OFFSET($H$3,0,0,'Données projet'!$E$13+1,1))</f>
        <v>261.59434871103355</v>
      </c>
      <c r="CZ9" s="59">
        <f t="shared" si="42"/>
        <v>194.97518096665976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2.1</v>
      </c>
      <c r="N10" s="13">
        <f>IF('Données projet'!$A$36&gt;35,N9+M10-V9,IF(A10&lt;'Données projet'!$A$36,$K$205^A10,IF(A10='Données projet'!$A$36,'Données projet'!$B$36,N9+M10-V9)))</f>
        <v>3.6994507637402658</v>
      </c>
      <c r="O10" s="13">
        <f>N10*VLOOKUP('Données projet'!$B$9,Paramètres!$A$1:$I$89,3,0)*VLOOKUP('Données projet'!$B$9,Paramètres!$A$1:$I$89,5,0)</f>
        <v>3.3472630510321921</v>
      </c>
      <c r="P10" s="13">
        <f t="shared" si="33"/>
        <v>1.34019505338418</v>
      </c>
      <c r="Q10" s="20">
        <f t="shared" si="2"/>
        <v>8.1639895318585136</v>
      </c>
      <c r="R10" s="59">
        <f t="shared" si="0"/>
        <v>301.49732286519185</v>
      </c>
      <c r="S10" s="59">
        <f ca="1">AVERAGE(OFFSET($R$3,0,0,'Données projet'!$E$9+1,1))-AVERAGE(OFFSET($H$3,0,0,'Données projet'!$E$9+1,1))</f>
        <v>237.22177246688199</v>
      </c>
      <c r="T10" s="59">
        <f t="shared" si="34"/>
        <v>149.27472147904302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5.8</v>
      </c>
      <c r="AI10" s="13">
        <f>IF('Données projet'!$A$62&gt;35,AI9+AH10-AQ9,IF(A10&lt;'Données projet'!$A$62,$AF$205^A10,IF(A10='Données projet'!$A$62,'Données projet'!$B$62,AI9+AH10-AQ9)))</f>
        <v>8.0372778932539148</v>
      </c>
      <c r="AJ10" s="13">
        <f>AI10*VLOOKUP('Données projet'!$B$10,Paramètres!$A$1:$I$89,3,0)*VLOOKUP('Données projet'!$B$10,Paramètres!$A$1:$I$89,5,0)</f>
        <v>7.0213659675466209</v>
      </c>
      <c r="AK10" s="13">
        <f t="shared" si="35"/>
        <v>2.5789932139603198</v>
      </c>
      <c r="AL10" s="20">
        <f t="shared" si="4"/>
        <v>16.72062557445792</v>
      </c>
      <c r="AM10" s="59">
        <f t="shared" si="5"/>
        <v>310.05395890779124</v>
      </c>
      <c r="AN10" s="59">
        <f ca="1">AVERAGE(OFFSET($AM$3,0,0,'Données projet'!$E$10+1,1))-AVERAGE(OFFSET($H$3,0,0,'Données projet'!$E$10+1,1))</f>
        <v>243.38048563215585</v>
      </c>
      <c r="AO10" s="59">
        <f t="shared" si="36"/>
        <v>372.1604147006675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1.2</v>
      </c>
      <c r="BD10" s="12">
        <f>IF('Données projet'!$A$88&gt;35,BD9+BC10-BL9,IF(A10&lt;'Données projet'!$A$88,$BA$205^A10,IF(A10='Données projet'!$A$88,'Données projet'!$B$88,BD9+BC10-BL9)))</f>
        <v>5.6941233675162577</v>
      </c>
      <c r="BE10" s="13">
        <f>BD10*VLOOKUP('Données projet'!$B$11,Paramètres!$A$1:$I$89,3,0)*VLOOKUP('Données projet'!$B$11,Paramètres!$A$1:$I$89,5,0)</f>
        <v>3.1830149624415882</v>
      </c>
      <c r="BF10" s="13">
        <f t="shared" si="37"/>
        <v>1.2819182270325931</v>
      </c>
      <c r="BG10" s="20">
        <f t="shared" si="7"/>
        <v>7.776425305000866</v>
      </c>
      <c r="BH10" s="59">
        <f t="shared" si="8"/>
        <v>301.1097586383342</v>
      </c>
      <c r="BI10" s="59">
        <f ca="1">AVERAGE(OFFSET($BH$3,0,0,'Données projet'!$E$11+1,1))-AVERAGE(OFFSET($H$3,0,0,'Données projet'!$E$11+1,1))</f>
        <v>326.31232746914907</v>
      </c>
      <c r="BJ10" s="59">
        <f t="shared" si="38"/>
        <v>330.17137761430297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1.9</v>
      </c>
      <c r="BY10" s="12">
        <f>IF('Données projet'!$A$114&gt;35,BY9+BX10-CG9,IF(A10&lt;'Données projet'!$A$114,$BV$205^A10,IF(A10='Données projet'!$A$114,'Données projet'!$B$114,BY9+BX10-CG9)))</f>
        <v>7.8546623499408135</v>
      </c>
      <c r="BZ10" s="13">
        <f>BY10*VLOOKUP('Données projet'!$B$12,Paramètres!$A$1:$I$89,3,0)*VLOOKUP('Données projet'!$B$12,Paramètres!$A$1:$I$89,5,0)</f>
        <v>6.2491693656129108</v>
      </c>
      <c r="CA10" s="13">
        <f t="shared" si="39"/>
        <v>2.326701366112224</v>
      </c>
      <c r="CB10" s="20">
        <f t="shared" si="10"/>
        <v>14.936308191087944</v>
      </c>
      <c r="CC10" s="59">
        <f t="shared" si="11"/>
        <v>308.26964152442127</v>
      </c>
      <c r="CD10" s="59">
        <f ca="1">AVERAGE(OFFSET($CC$3,0,0,'Données projet'!$E$12+1,1))-AVERAGE(OFFSET($H$3,0,0,'Données projet'!$E$12+1,1))</f>
        <v>314.94704727988847</v>
      </c>
      <c r="CE10" s="59">
        <f t="shared" si="40"/>
        <v>366.49199094166454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5.05</v>
      </c>
      <c r="CT10" s="12">
        <f>IF('Données projet'!$A$140&gt;35,CT9+CS10-DB9,IF(A10&lt;'Données projet'!$A$140,$CQ$205^A10,IF(A10='Données projet'!$A$140,'Données projet'!$B$140,CT9+CS10-DB9)))</f>
        <v>5.0293571908948582</v>
      </c>
      <c r="CU10" s="17">
        <f>CT10*VLOOKUP('Données projet'!$B$13,Paramètres!$A$1:$I$89,3,0)*VLOOKUP('Données projet'!$B$13,Paramètres!$A$1:$I$89,5,0)</f>
        <v>3.9228986088979894</v>
      </c>
      <c r="CV10" s="13">
        <f t="shared" si="41"/>
        <v>1.5419251204801707</v>
      </c>
      <c r="CW10" s="20">
        <f t="shared" si="13"/>
        <v>9.5179013286669623</v>
      </c>
      <c r="CX10" s="59">
        <f t="shared" si="14"/>
        <v>302.85123466200025</v>
      </c>
      <c r="CY10" s="59">
        <f ca="1">AVERAGE(OFFSET($CX$3,0,0,'Données projet'!$E$13+1,1))-AVERAGE(OFFSET($H$3,0,0,'Données projet'!$E$13+1,1))</f>
        <v>261.59434871103355</v>
      </c>
      <c r="CZ10" s="59">
        <f t="shared" si="42"/>
        <v>194.97518096665976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2.1</v>
      </c>
      <c r="N11" s="13">
        <f>IF('Données projet'!$A$36&gt;35,N10+M11-V10,IF(A11&lt;'Données projet'!$A$36,$K$205^A11,IF(A11='Données projet'!$A$36,'Données projet'!$B$36,N10+M11-V10)))</f>
        <v>4.4596391171162209</v>
      </c>
      <c r="O11" s="13">
        <f>N11*VLOOKUP('Données projet'!$B$9,Paramètres!$A$1:$I$89,3,0)*VLOOKUP('Données projet'!$B$9,Paramètres!$A$1:$I$89,5,0)</f>
        <v>4.0350814731667564</v>
      </c>
      <c r="P11" s="13">
        <f t="shared" si="33"/>
        <v>1.5808227025391921</v>
      </c>
      <c r="Q11" s="20">
        <f t="shared" si="2"/>
        <v>9.7810331060211926</v>
      </c>
      <c r="R11" s="59">
        <f t="shared" si="0"/>
        <v>303.11436643935451</v>
      </c>
      <c r="S11" s="59">
        <f ca="1">AVERAGE(OFFSET($R$3,0,0,'Données projet'!$E$9+1,1))-AVERAGE(OFFSET($H$3,0,0,'Données projet'!$E$9+1,1))</f>
        <v>237.22177246688199</v>
      </c>
      <c r="T11" s="59">
        <f t="shared" si="34"/>
        <v>149.27472147904302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5.8</v>
      </c>
      <c r="AI11" s="13">
        <f>IF('Données projet'!$A$62&gt;35,AI10+AH11-AQ10,IF(A11&lt;'Données projet'!$A$62,$AF$205^A11,IF(A11='Données projet'!$A$62,'Données projet'!$B$62,AI10+AH11-AQ10)))</f>
        <v>10.824560399115168</v>
      </c>
      <c r="AJ11" s="13">
        <f>AI11*VLOOKUP('Données projet'!$B$10,Paramètres!$A$1:$I$89,3,0)*VLOOKUP('Données projet'!$B$10,Paramètres!$A$1:$I$89,5,0)</f>
        <v>9.4563359646670122</v>
      </c>
      <c r="AK11" s="13">
        <f t="shared" si="35"/>
        <v>3.3550640345230081</v>
      </c>
      <c r="AL11" s="20">
        <f t="shared" si="4"/>
        <v>22.313188331922618</v>
      </c>
      <c r="AM11" s="59">
        <f t="shared" si="5"/>
        <v>315.64652166525593</v>
      </c>
      <c r="AN11" s="59">
        <f ca="1">AVERAGE(OFFSET($AM$3,0,0,'Données projet'!$E$10+1,1))-AVERAGE(OFFSET($H$3,0,0,'Données projet'!$E$10+1,1))</f>
        <v>243.38048563215585</v>
      </c>
      <c r="AO11" s="59">
        <f t="shared" si="36"/>
        <v>372.1604147006675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1.2</v>
      </c>
      <c r="BD11" s="12">
        <f>IF('Données projet'!$A$88&gt;35,BD10+BC11-BL10,IF(A11&lt;'Données projet'!$A$88,$BA$205^A11,IF(A11='Données projet'!$A$88,'Données projet'!$B$88,BD10+BC11-BL10)))</f>
        <v>7.3003721027184652</v>
      </c>
      <c r="BE11" s="13">
        <f>BD11*VLOOKUP('Données projet'!$B$11,Paramètres!$A$1:$I$89,3,0)*VLOOKUP('Données projet'!$B$11,Paramètres!$A$1:$I$89,5,0)</f>
        <v>4.0809080054196221</v>
      </c>
      <c r="BF11" s="13">
        <f t="shared" si="37"/>
        <v>1.5966759270706423</v>
      </c>
      <c r="BG11" s="20">
        <f t="shared" si="7"/>
        <v>9.8884586824205432</v>
      </c>
      <c r="BH11" s="59">
        <f t="shared" si="8"/>
        <v>303.22179201575386</v>
      </c>
      <c r="BI11" s="59">
        <f ca="1">AVERAGE(OFFSET($BH$3,0,0,'Données projet'!$E$11+1,1))-AVERAGE(OFFSET($H$3,0,0,'Données projet'!$E$11+1,1))</f>
        <v>326.31232746914907</v>
      </c>
      <c r="BJ11" s="59">
        <f t="shared" si="38"/>
        <v>330.17137761430297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1.9</v>
      </c>
      <c r="BY11" s="12">
        <f>IF('Données projet'!$A$114&gt;35,BY10+BX11-CG10,IF(A11&lt;'Données projet'!$A$114,$BV$205^A11,IF(A11='Données projet'!$A$114,'Données projet'!$B$114,BY10+BX11-CG10)))</f>
        <v>10.543938903738736</v>
      </c>
      <c r="BZ11" s="13">
        <f>BY11*VLOOKUP('Données projet'!$B$12,Paramètres!$A$1:$I$89,3,0)*VLOOKUP('Données projet'!$B$12,Paramètres!$A$1:$I$89,5,0)</f>
        <v>8.3887577918145393</v>
      </c>
      <c r="CA11" s="13">
        <f t="shared" si="39"/>
        <v>3.0180839306915423</v>
      </c>
      <c r="CB11" s="20">
        <f t="shared" si="10"/>
        <v>19.866916000031427</v>
      </c>
      <c r="CC11" s="59">
        <f t="shared" si="11"/>
        <v>313.20024933336475</v>
      </c>
      <c r="CD11" s="59">
        <f ca="1">AVERAGE(OFFSET($CC$3,0,0,'Données projet'!$E$12+1,1))-AVERAGE(OFFSET($H$3,0,0,'Données projet'!$E$12+1,1))</f>
        <v>314.94704727988847</v>
      </c>
      <c r="CE11" s="59">
        <f t="shared" si="40"/>
        <v>366.49199094166454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5.05</v>
      </c>
      <c r="CT11" s="12">
        <f>IF('Données projet'!$A$140&gt;35,CT10+CS11-DB10,IF(A11&lt;'Données projet'!$A$140,$CQ$205^A11,IF(A11='Données projet'!$A$140,'Données projet'!$B$140,CT10+CS11-DB10)))</f>
        <v>6.334736424906473</v>
      </c>
      <c r="CU11" s="17">
        <f>CT11*VLOOKUP('Données projet'!$B$13,Paramètres!$A$1:$I$89,3,0)*VLOOKUP('Données projet'!$B$13,Paramètres!$A$1:$I$89,5,0)</f>
        <v>4.9410944114270494</v>
      </c>
      <c r="CV11" s="13">
        <f t="shared" si="41"/>
        <v>1.8906633350020372</v>
      </c>
      <c r="CW11" s="20">
        <f t="shared" si="13"/>
        <v>11.898644741697325</v>
      </c>
      <c r="CX11" s="59">
        <f t="shared" si="14"/>
        <v>305.23197807503061</v>
      </c>
      <c r="CY11" s="59">
        <f ca="1">AVERAGE(OFFSET($CX$3,0,0,'Données projet'!$E$13+1,1))-AVERAGE(OFFSET($H$3,0,0,'Données projet'!$E$13+1,1))</f>
        <v>261.59434871103355</v>
      </c>
      <c r="CZ11" s="59">
        <f t="shared" si="42"/>
        <v>194.97518096665976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2.1</v>
      </c>
      <c r="N12" s="13">
        <f>IF('Données projet'!$A$36&gt;35,N11+M12-V11,IF(A12&lt;'Données projet'!$A$36,$K$205^A12,IF(A12='Données projet'!$A$36,'Données projet'!$B$36,N11+M12-V11)))</f>
        <v>5.3760361537574148</v>
      </c>
      <c r="O12" s="13">
        <f>N12*VLOOKUP('Données projet'!$B$9,Paramètres!$A$1:$I$89,3,0)*VLOOKUP('Données projet'!$B$9,Paramètres!$A$1:$I$89,5,0)</f>
        <v>4.8642375119197085</v>
      </c>
      <c r="P12" s="13">
        <f t="shared" si="33"/>
        <v>1.8646542609995393</v>
      </c>
      <c r="Q12" s="20">
        <f t="shared" si="2"/>
        <v>11.719486504501022</v>
      </c>
      <c r="R12" s="59">
        <f t="shared" si="0"/>
        <v>305.05281983783436</v>
      </c>
      <c r="S12" s="59">
        <f ca="1">AVERAGE(OFFSET($R$3,0,0,'Données projet'!$E$9+1,1))-AVERAGE(OFFSET($H$3,0,0,'Données projet'!$E$9+1,1))</f>
        <v>237.22177246688199</v>
      </c>
      <c r="T12" s="59">
        <f t="shared" si="34"/>
        <v>149.27472147904302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5.8</v>
      </c>
      <c r="AI12" s="13">
        <f>IF('Données projet'!$A$62&gt;35,AI11+AH12-AQ11,IF(A12&lt;'Données projet'!$A$62,$AF$205^A12,IF(A12='Données projet'!$A$62,'Données projet'!$B$62,AI11+AH12-AQ11)))</f>
        <v>14.578456710130657</v>
      </c>
      <c r="AJ12" s="13">
        <f>AI12*VLOOKUP('Données projet'!$B$10,Paramètres!$A$1:$I$89,3,0)*VLOOKUP('Données projet'!$B$10,Paramètres!$A$1:$I$89,5,0)</f>
        <v>12.735739781970144</v>
      </c>
      <c r="AK12" s="13">
        <f t="shared" si="35"/>
        <v>4.364670141362768</v>
      </c>
      <c r="AL12" s="20">
        <f t="shared" si="4"/>
        <v>29.783213949804821</v>
      </c>
      <c r="AM12" s="59">
        <f t="shared" si="5"/>
        <v>323.11654728313812</v>
      </c>
      <c r="AN12" s="59">
        <f ca="1">AVERAGE(OFFSET($AM$3,0,0,'Données projet'!$E$10+1,1))-AVERAGE(OFFSET($H$3,0,0,'Données projet'!$E$10+1,1))</f>
        <v>243.38048563215585</v>
      </c>
      <c r="AO12" s="59">
        <f t="shared" si="36"/>
        <v>372.1604147006675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1.2</v>
      </c>
      <c r="BD12" s="12">
        <f>IF('Données projet'!$A$88&gt;35,BD11+BC12-BL11,IF(A12&lt;'Données projet'!$A$88,$BA$205^A12,IF(A12='Données projet'!$A$88,'Données projet'!$B$88,BD11+BC12-BL11)))</f>
        <v>9.3597257028516339</v>
      </c>
      <c r="BE12" s="13">
        <f>BD12*VLOOKUP('Données projet'!$B$11,Paramètres!$A$1:$I$89,3,0)*VLOOKUP('Données projet'!$B$11,Paramètres!$A$1:$I$89,5,0)</f>
        <v>5.2320866678940634</v>
      </c>
      <c r="BF12" s="13">
        <f t="shared" si="37"/>
        <v>1.9887181275113242</v>
      </c>
      <c r="BG12" s="20">
        <f t="shared" si="7"/>
        <v>12.576235018664383</v>
      </c>
      <c r="BH12" s="59">
        <f t="shared" si="8"/>
        <v>305.90956835199768</v>
      </c>
      <c r="BI12" s="59">
        <f ca="1">AVERAGE(OFFSET($BH$3,0,0,'Données projet'!$E$11+1,1))-AVERAGE(OFFSET($H$3,0,0,'Données projet'!$E$11+1,1))</f>
        <v>326.31232746914907</v>
      </c>
      <c r="BJ12" s="59">
        <f t="shared" si="38"/>
        <v>330.17137761430297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1.9</v>
      </c>
      <c r="BY12" s="12">
        <f>IF('Données projet'!$A$114&gt;35,BY11+BX12-CG11,IF(A12&lt;'Données projet'!$A$114,$BV$205^A12,IF(A12='Données projet'!$A$114,'Données projet'!$B$114,BY11+BX12-CG11)))</f>
        <v>14.153969025366564</v>
      </c>
      <c r="BZ12" s="13">
        <f>BY12*VLOOKUP('Données projet'!$B$12,Paramètres!$A$1:$I$89,3,0)*VLOOKUP('Données projet'!$B$12,Paramètres!$A$1:$I$89,5,0)</f>
        <v>11.260897756581638</v>
      </c>
      <c r="CA12" s="13">
        <f t="shared" si="39"/>
        <v>3.9149117911590028</v>
      </c>
      <c r="CB12" s="20">
        <f t="shared" si="10"/>
        <v>26.431201628981615</v>
      </c>
      <c r="CC12" s="59">
        <f t="shared" si="11"/>
        <v>319.76453496231494</v>
      </c>
      <c r="CD12" s="59">
        <f ca="1">AVERAGE(OFFSET($CC$3,0,0,'Données projet'!$E$12+1,1))-AVERAGE(OFFSET($H$3,0,0,'Données projet'!$E$12+1,1))</f>
        <v>314.94704727988847</v>
      </c>
      <c r="CE12" s="59">
        <f t="shared" si="40"/>
        <v>366.49199094166454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5.05</v>
      </c>
      <c r="CT12" s="12">
        <f>IF('Données projet'!$A$140&gt;35,CT11+CS12-DB11,IF(A12&lt;'Données projet'!$A$140,$CQ$205^A12,IF(A12='Données projet'!$A$140,'Données projet'!$B$140,CT11+CS12-DB11)))</f>
        <v>7.9789293243450929</v>
      </c>
      <c r="CU12" s="17">
        <f>CT12*VLOOKUP('Données projet'!$B$13,Paramètres!$A$1:$I$89,3,0)*VLOOKUP('Données projet'!$B$13,Paramètres!$A$1:$I$89,5,0)</f>
        <v>6.223564872989173</v>
      </c>
      <c r="CV12" s="13">
        <f t="shared" si="41"/>
        <v>2.3182758999398474</v>
      </c>
      <c r="CW12" s="20">
        <f t="shared" si="13"/>
        <v>14.877039346184711</v>
      </c>
      <c r="CX12" s="59">
        <f t="shared" si="14"/>
        <v>308.210372679518</v>
      </c>
      <c r="CY12" s="59">
        <f ca="1">AVERAGE(OFFSET($CX$3,0,0,'Données projet'!$E$13+1,1))-AVERAGE(OFFSET($H$3,0,0,'Données projet'!$E$13+1,1))</f>
        <v>261.59434871103355</v>
      </c>
      <c r="CZ12" s="59">
        <f t="shared" si="42"/>
        <v>194.97518096665976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2.1</v>
      </c>
      <c r="N13" s="13">
        <f>IF('Données projet'!$A$36&gt;35,N12+M13-V12,IF(A13&lt;'Données projet'!$A$36,$K$205^A13,IF(A13='Données projet'!$A$36,'Données projet'!$B$36,N12+M13-V12)))</f>
        <v>6.4807406984078657</v>
      </c>
      <c r="O13" s="13">
        <f>N13*VLOOKUP('Données projet'!$B$9,Paramètres!$A$1:$I$89,3,0)*VLOOKUP('Données projet'!$B$9,Paramètres!$A$1:$I$89,5,0)</f>
        <v>5.8637741839194364</v>
      </c>
      <c r="P13" s="13">
        <f t="shared" si="33"/>
        <v>2.1994468497187687</v>
      </c>
      <c r="Q13" s="20">
        <f t="shared" si="2"/>
        <v>14.043443300253207</v>
      </c>
      <c r="R13" s="59">
        <f t="shared" si="0"/>
        <v>307.37677663358653</v>
      </c>
      <c r="S13" s="59">
        <f ca="1">AVERAGE(OFFSET($R$3,0,0,'Données projet'!$E$9+1,1))-AVERAGE(OFFSET($H$3,0,0,'Données projet'!$E$9+1,1))</f>
        <v>237.22177246688199</v>
      </c>
      <c r="T13" s="59">
        <f t="shared" si="34"/>
        <v>149.27472147904302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5.8</v>
      </c>
      <c r="AI13" s="13">
        <f>IF('Données projet'!$A$62&gt;35,AI12+AH13-AQ12,IF(A13&lt;'Données projet'!$A$62,$AF$205^A13,IF(A13='Données projet'!$A$62,'Données projet'!$B$62,AI12+AH13-AQ12)))</f>
        <v>19.634183025716826</v>
      </c>
      <c r="AJ13" s="13">
        <f>AI13*VLOOKUP('Données projet'!$B$10,Paramètres!$A$1:$I$89,3,0)*VLOOKUP('Données projet'!$B$10,Paramètres!$A$1:$I$89,5,0)</f>
        <v>17.152422291266223</v>
      </c>
      <c r="AK13" s="13">
        <f t="shared" si="35"/>
        <v>5.678086989362658</v>
      </c>
      <c r="AL13" s="20">
        <f t="shared" si="4"/>
        <v>39.763136997095295</v>
      </c>
      <c r="AM13" s="59">
        <f t="shared" si="5"/>
        <v>333.09647033042859</v>
      </c>
      <c r="AN13" s="59">
        <f ca="1">AVERAGE(OFFSET($AM$3,0,0,'Données projet'!$E$10+1,1))-AVERAGE(OFFSET($H$3,0,0,'Données projet'!$E$10+1,1))</f>
        <v>243.38048563215585</v>
      </c>
      <c r="AO13" s="59">
        <f t="shared" si="36"/>
        <v>372.1604147006675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>
        <f>VLOOKUP(A13,'Données projet'!$A$87:$I$107,2,0)</f>
        <v>12</v>
      </c>
      <c r="BB13" s="12">
        <f>VLOOKUP(A13,'Données projet'!$A$87:$I$107,9,0)</f>
        <v>1.2</v>
      </c>
      <c r="BC13" s="12">
        <f t="array" ref="BC13">INDEX(BB:BB,MIN(IF(ISNUMBER(BB13:BB209),ROW(BB13:BB209),"")))</f>
        <v>1.2</v>
      </c>
      <c r="BD13" s="12">
        <f>IF('Données projet'!$A$88&gt;35,BD12+BC13-BL12,IF(A13&lt;'Données projet'!$A$88,$BA$205^A13,IF(A13='Données projet'!$A$88,'Données projet'!$B$88,BD12+BC13-BL12)))</f>
        <v>12</v>
      </c>
      <c r="BE13" s="13">
        <f>BD13*VLOOKUP('Données projet'!$B$11,Paramètres!$A$1:$I$89,3,0)*VLOOKUP('Données projet'!$B$11,Paramètres!$A$1:$I$89,5,0)</f>
        <v>6.7080000000000002</v>
      </c>
      <c r="BF13" s="13">
        <f t="shared" si="37"/>
        <v>2.477020993200687</v>
      </c>
      <c r="BG13" s="20">
        <f t="shared" si="7"/>
        <v>15.997244896491198</v>
      </c>
      <c r="BH13" s="59">
        <f t="shared" si="8"/>
        <v>309.33057822982454</v>
      </c>
      <c r="BI13" s="59">
        <f ca="1">AVERAGE(OFFSET($BH$3,0,0,'Données projet'!$E$11+1,1))-AVERAGE(OFFSET($H$3,0,0,'Données projet'!$E$11+1,1))</f>
        <v>326.31232746914907</v>
      </c>
      <c r="BJ13" s="59">
        <f t="shared" si="38"/>
        <v>330.17137761430297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>
        <f>VLOOKUP(A13,'Données projet'!$A$113:$I$133,2,0)</f>
        <v>19</v>
      </c>
      <c r="BW13" s="12">
        <f>VLOOKUP(A13,'Données projet'!$A$113:$I$133,9,0)</f>
        <v>1.9</v>
      </c>
      <c r="BX13" s="12">
        <f t="array" ref="BX13">INDEX(BW:BW,MIN(IF(ISNUMBER(BW13:BW209),ROW(BW13:BW209),"")))</f>
        <v>1.9</v>
      </c>
      <c r="BY13" s="12">
        <f>IF('Données projet'!$A$114&gt;35,BY12+BX13-CG12,IF(A13&lt;'Données projet'!$A$114,$BV$205^A13,IF(A13='Données projet'!$A$114,'Données projet'!$B$114,BY12+BX13-CG12)))</f>
        <v>19</v>
      </c>
      <c r="BZ13" s="13">
        <f>BY13*VLOOKUP('Données projet'!$B$12,Paramètres!$A$1:$I$89,3,0)*VLOOKUP('Données projet'!$B$12,Paramètres!$A$1:$I$89,5,0)</f>
        <v>15.116400000000001</v>
      </c>
      <c r="CA13" s="13">
        <f t="shared" si="39"/>
        <v>5.0782333044806913</v>
      </c>
      <c r="CB13" s="20">
        <f t="shared" si="10"/>
        <v>35.172319671970541</v>
      </c>
      <c r="CC13" s="59">
        <f t="shared" si="11"/>
        <v>328.50565300530388</v>
      </c>
      <c r="CD13" s="59">
        <f ca="1">AVERAGE(OFFSET($CC$3,0,0,'Données projet'!$E$12+1,1))-AVERAGE(OFFSET($H$3,0,0,'Données projet'!$E$12+1,1))</f>
        <v>314.94704727988847</v>
      </c>
      <c r="CE13" s="59">
        <f t="shared" si="40"/>
        <v>366.49199094166454</v>
      </c>
      <c r="CF13" s="15">
        <f>IF(ISNA(VLOOKUP(A13,'Données projet'!$A$113:$I$133,3,0)),0,VLOOKUP(A13,'Données projet'!$A$113:$I$133,3,0))</f>
        <v>1</v>
      </c>
      <c r="CG13" s="15">
        <f>IF(ISNA(VLOOKUP(A13,'Données projet'!$A$113:$I$133,4,0)),0,VLOOKUP(A13,'Données projet'!$A$113:$I$133,4,0))</f>
        <v>7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0.13250000000000001</v>
      </c>
      <c r="CJ13" s="16">
        <f>IF(ISNA(VLOOKUP(A13,'Données projet'!$A$113:$I$133,7,0)),0%,VLOOKUP(A13,'Données projet'!$A$113:$I$133,7,0))</f>
        <v>0.25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0.81253568788100472</v>
      </c>
      <c r="CM13" s="21">
        <f>EXP(-LN(2)/2)*CM12+(1-EXP(-LN(2)/2))/(LN(2)/2)*CG13*CJ13*VLOOKUP('Données projet'!$B$12,Paramètres!$A$1:$I$89,3,0)*0.475*44/12</f>
        <v>1.3136725232050821</v>
      </c>
      <c r="CN13" s="22">
        <f t="shared" si="12"/>
        <v>2.1262082110860869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5.05</v>
      </c>
      <c r="CT13" s="12">
        <f>IF('Données projet'!$A$140&gt;35,CT12+CS13-DB12,IF(A13&lt;'Données projet'!$A$140,$CQ$205^A13,IF(A13='Données projet'!$A$140,'Données projet'!$B$140,CT12+CS13-DB12)))</f>
        <v>10.049875621120886</v>
      </c>
      <c r="CU13" s="17">
        <f>CT13*VLOOKUP('Données projet'!$B$13,Paramètres!$A$1:$I$89,3,0)*VLOOKUP('Données projet'!$B$13,Paramètres!$A$1:$I$89,5,0)</f>
        <v>7.8389029844742915</v>
      </c>
      <c r="CV13" s="13">
        <f t="shared" si="41"/>
        <v>2.8426018787930412</v>
      </c>
      <c r="CW13" s="20">
        <f t="shared" si="13"/>
        <v>18.603620970190601</v>
      </c>
      <c r="CX13" s="59">
        <f t="shared" si="14"/>
        <v>311.93695430352392</v>
      </c>
      <c r="CY13" s="59">
        <f ca="1">AVERAGE(OFFSET($CX$3,0,0,'Données projet'!$E$13+1,1))-AVERAGE(OFFSET($H$3,0,0,'Données projet'!$E$13+1,1))</f>
        <v>261.59434871103355</v>
      </c>
      <c r="CZ13" s="59">
        <f t="shared" si="42"/>
        <v>194.97518096665976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2.1</v>
      </c>
      <c r="N14" s="13">
        <f>IF('Données projet'!$A$36&gt;35,N13+M14-V13,IF(A14&lt;'Données projet'!$A$36,$K$205^A14,IF(A14='Données projet'!$A$36,'Données projet'!$B$36,N13+M14-V13)))</f>
        <v>7.8124474610620815</v>
      </c>
      <c r="O14" s="13">
        <f>N14*VLOOKUP('Données projet'!$B$9,Paramètres!$A$1:$I$89,3,0)*VLOOKUP('Données projet'!$B$9,Paramètres!$A$1:$I$89,5,0)</f>
        <v>7.0687024627689707</v>
      </c>
      <c r="P14" s="13">
        <f t="shared" si="33"/>
        <v>2.5943503554083325</v>
      </c>
      <c r="Q14" s="20">
        <f t="shared" si="2"/>
        <v>16.829816991658799</v>
      </c>
      <c r="R14" s="59">
        <f t="shared" si="0"/>
        <v>310.1631503249921</v>
      </c>
      <c r="S14" s="59">
        <f ca="1">AVERAGE(OFFSET($R$3,0,0,'Données projet'!$E$9+1,1))-AVERAGE(OFFSET($H$3,0,0,'Données projet'!$E$9+1,1))</f>
        <v>237.22177246688199</v>
      </c>
      <c r="T14" s="59">
        <f t="shared" si="34"/>
        <v>149.27472147904302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5.8</v>
      </c>
      <c r="AI14" s="13">
        <f>IF('Données projet'!$A$62&gt;35,AI13+AH14-AQ13,IF(A14&lt;'Données projet'!$A$62,$AF$205^A14,IF(A14='Données projet'!$A$62,'Données projet'!$B$62,AI13+AH14-AQ13)))</f>
        <v>26.443206626903088</v>
      </c>
      <c r="AJ14" s="13">
        <f>AI14*VLOOKUP('Données projet'!$B$10,Paramètres!$A$1:$I$89,3,0)*VLOOKUP('Données projet'!$B$10,Paramètres!$A$1:$I$89,5,0)</f>
        <v>23.100785309262541</v>
      </c>
      <c r="AK14" s="13">
        <f t="shared" si="35"/>
        <v>7.3867373282653306</v>
      </c>
      <c r="AL14" s="20">
        <f t="shared" si="4"/>
        <v>53.099101927027704</v>
      </c>
      <c r="AM14" s="59">
        <f t="shared" si="5"/>
        <v>346.43243526036099</v>
      </c>
      <c r="AN14" s="59">
        <f ca="1">AVERAGE(OFFSET($AM$3,0,0,'Données projet'!$E$10+1,1))-AVERAGE(OFFSET($H$3,0,0,'Données projet'!$E$10+1,1))</f>
        <v>243.38048563215585</v>
      </c>
      <c r="AO14" s="59">
        <f t="shared" si="36"/>
        <v>372.1604147006675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15</v>
      </c>
      <c r="BD14" s="12">
        <f>IF('Données projet'!$A$88&gt;35,BD13+BC14-BL13,IF(A14&lt;'Données projet'!$A$88,$BA$205^A14,IF(A14='Données projet'!$A$88,'Données projet'!$B$88,BD13+BC14-BL13)))</f>
        <v>27</v>
      </c>
      <c r="BE14" s="13">
        <f>BD14*VLOOKUP('Données projet'!$B$11,Paramètres!$A$1:$I$89,3,0)*VLOOKUP('Données projet'!$B$11,Paramètres!$A$1:$I$89,5,0)</f>
        <v>15.093</v>
      </c>
      <c r="BF14" s="13">
        <f t="shared" si="37"/>
        <v>5.0712866613861207</v>
      </c>
      <c r="BG14" s="20">
        <f t="shared" si="7"/>
        <v>35.11946593524749</v>
      </c>
      <c r="BH14" s="59">
        <f t="shared" si="8"/>
        <v>328.4527992685808</v>
      </c>
      <c r="BI14" s="59">
        <f ca="1">AVERAGE(OFFSET($BH$3,0,0,'Données projet'!$E$11+1,1))-AVERAGE(OFFSET($H$3,0,0,'Données projet'!$E$11+1,1))</f>
        <v>326.31232746914907</v>
      </c>
      <c r="BJ14" s="59">
        <f t="shared" si="38"/>
        <v>330.17137761430297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15.3</v>
      </c>
      <c r="BY14" s="12">
        <f>IF('Données projet'!$A$114&gt;35,BY13+BX14-CG13,IF(A14&lt;'Données projet'!$A$114,$BV$205^A14,IF(A14='Données projet'!$A$114,'Données projet'!$B$114,BY13+BX14-CG13)))</f>
        <v>27.299999999999997</v>
      </c>
      <c r="BZ14" s="13">
        <f>BY14*VLOOKUP('Données projet'!$B$12,Paramètres!$A$1:$I$89,3,0)*VLOOKUP('Données projet'!$B$12,Paramètres!$A$1:$I$89,5,0)</f>
        <v>21.719879999999996</v>
      </c>
      <c r="CA14" s="13">
        <f t="shared" si="39"/>
        <v>6.9951862537362919</v>
      </c>
      <c r="CB14" s="20">
        <f t="shared" si="10"/>
        <v>50.012073725257359</v>
      </c>
      <c r="CC14" s="59">
        <f t="shared" si="11"/>
        <v>343.34540705859069</v>
      </c>
      <c r="CD14" s="59">
        <f ca="1">AVERAGE(OFFSET($CC$3,0,0,'Données projet'!$E$12+1,1))-AVERAGE(OFFSET($H$3,0,0,'Données projet'!$E$12+1,1))</f>
        <v>314.94704727988847</v>
      </c>
      <c r="CE14" s="59">
        <f t="shared" si="40"/>
        <v>366.49199094166454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0.79031685676650387</v>
      </c>
      <c r="CM14" s="21">
        <f>EXP(-LN(2)/2)*CM13+(1-EXP(-LN(2)/2))/(LN(2)/2)*CG14*CJ14*VLOOKUP('Données projet'!$B$12,Paramètres!$A$1:$I$89,3,0)*0.475*44/12</f>
        <v>0.92890674941675577</v>
      </c>
      <c r="CN14" s="22">
        <f t="shared" si="12"/>
        <v>1.7192236061832595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5.05</v>
      </c>
      <c r="CT14" s="12">
        <f>IF('Données projet'!$A$140&gt;35,CT13+CS14-DB13,IF(A14&lt;'Données projet'!$A$140,$CQ$205^A14,IF(A14='Données projet'!$A$140,'Données projet'!$B$140,CT13+CS14-DB13)))</f>
        <v>12.658339971984896</v>
      </c>
      <c r="CU14" s="17">
        <f>CT14*VLOOKUP('Données projet'!$B$13,Paramètres!$A$1:$I$89,3,0)*VLOOKUP('Données projet'!$B$13,Paramètres!$A$1:$I$89,5,0)</f>
        <v>9.8735051781482195</v>
      </c>
      <c r="CV14" s="13">
        <f t="shared" si="41"/>
        <v>3.4855150077380315</v>
      </c>
      <c r="CW14" s="20">
        <f t="shared" si="13"/>
        <v>23.266960157085219</v>
      </c>
      <c r="CX14" s="59">
        <f t="shared" si="14"/>
        <v>316.60029349041855</v>
      </c>
      <c r="CY14" s="59">
        <f ca="1">AVERAGE(OFFSET($CX$3,0,0,'Données projet'!$E$13+1,1))-AVERAGE(OFFSET($H$3,0,0,'Données projet'!$E$13+1,1))</f>
        <v>261.59434871103355</v>
      </c>
      <c r="CZ14" s="59">
        <f t="shared" si="42"/>
        <v>194.97518096665976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2.1</v>
      </c>
      <c r="N15" s="13">
        <f>IF('Données projet'!$A$36&gt;35,N14+M15-V14,IF(A15&lt;'Données projet'!$A$36,$K$205^A15,IF(A15='Données projet'!$A$36,'Données projet'!$B$36,N14+M15-V14)))</f>
        <v>9.4178024044149407</v>
      </c>
      <c r="O15" s="13">
        <f>N15*VLOOKUP('Données projet'!$B$9,Paramètres!$A$1:$I$89,3,0)*VLOOKUP('Données projet'!$B$9,Paramètres!$A$1:$I$89,5,0)</f>
        <v>8.521227615514638</v>
      </c>
      <c r="P15" s="13">
        <f t="shared" si="33"/>
        <v>3.0601574970852128</v>
      </c>
      <c r="Q15" s="20">
        <f t="shared" si="2"/>
        <v>20.170912404444739</v>
      </c>
      <c r="R15" s="59">
        <f t="shared" si="0"/>
        <v>313.50424573777804</v>
      </c>
      <c r="S15" s="59">
        <f ca="1">AVERAGE(OFFSET($R$3,0,0,'Données projet'!$E$9+1,1))-AVERAGE(OFFSET($H$3,0,0,'Données projet'!$E$9+1,1))</f>
        <v>237.22177246688199</v>
      </c>
      <c r="T15" s="59">
        <f t="shared" si="34"/>
        <v>149.27472147904302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5.8</v>
      </c>
      <c r="AI15" s="13">
        <f>IF('Données projet'!$A$62&gt;35,AI14+AH15-AQ14,IF(A15&lt;'Données projet'!$A$62,$AF$205^A15,IF(A15='Données projet'!$A$62,'Données projet'!$B$62,AI14+AH15-AQ14)))</f>
        <v>35.613561093793592</v>
      </c>
      <c r="AJ15" s="13">
        <f>AI15*VLOOKUP('Données projet'!$B$10,Paramètres!$A$1:$I$89,3,0)*VLOOKUP('Données projet'!$B$10,Paramètres!$A$1:$I$89,5,0)</f>
        <v>31.112006971538086</v>
      </c>
      <c r="AK15" s="13">
        <f t="shared" si="35"/>
        <v>9.6095548481396289</v>
      </c>
      <c r="AL15" s="20">
        <f t="shared" si="4"/>
        <v>70.9233868359387</v>
      </c>
      <c r="AM15" s="59">
        <f t="shared" si="5"/>
        <v>364.256720169272</v>
      </c>
      <c r="AN15" s="59">
        <f ca="1">AVERAGE(OFFSET($AM$3,0,0,'Données projet'!$E$10+1,1))-AVERAGE(OFFSET($H$3,0,0,'Données projet'!$E$10+1,1))</f>
        <v>243.38048563215585</v>
      </c>
      <c r="AO15" s="59">
        <f t="shared" si="36"/>
        <v>372.1604147006675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15</v>
      </c>
      <c r="BD15" s="12">
        <f>IF('Données projet'!$A$88&gt;35,BD14+BC15-BL14,IF(A15&lt;'Données projet'!$A$88,$BA$205^A15,IF(A15='Données projet'!$A$88,'Données projet'!$B$88,BD14+BC15-BL14)))</f>
        <v>42</v>
      </c>
      <c r="BE15" s="13">
        <f>BD15*VLOOKUP('Données projet'!$B$11,Paramètres!$A$1:$I$89,3,0)*VLOOKUP('Données projet'!$B$11,Paramètres!$A$1:$I$89,5,0)</f>
        <v>23.477999999999998</v>
      </c>
      <c r="BF15" s="13">
        <f t="shared" si="37"/>
        <v>7.4932153017418202</v>
      </c>
      <c r="BG15" s="20">
        <f t="shared" si="7"/>
        <v>53.941533317200332</v>
      </c>
      <c r="BH15" s="59">
        <f t="shared" si="8"/>
        <v>347.27486665053362</v>
      </c>
      <c r="BI15" s="59">
        <f ca="1">AVERAGE(OFFSET($BH$3,0,0,'Données projet'!$E$11+1,1))-AVERAGE(OFFSET($H$3,0,0,'Données projet'!$E$11+1,1))</f>
        <v>326.31232746914907</v>
      </c>
      <c r="BJ15" s="59">
        <f t="shared" si="38"/>
        <v>330.17137761430297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15.3</v>
      </c>
      <c r="BY15" s="12">
        <f>IF('Données projet'!$A$114&gt;35,BY14+BX15-CG14,IF(A15&lt;'Données projet'!$A$114,$BV$205^A15,IF(A15='Données projet'!$A$114,'Données projet'!$B$114,BY14+BX15-CG14)))</f>
        <v>42.599999999999994</v>
      </c>
      <c r="BZ15" s="13">
        <f>BY15*VLOOKUP('Données projet'!$B$12,Paramètres!$A$1:$I$89,3,0)*VLOOKUP('Données projet'!$B$12,Paramètres!$A$1:$I$89,5,0)</f>
        <v>33.892560000000003</v>
      </c>
      <c r="CA15" s="13">
        <f t="shared" si="39"/>
        <v>10.364593873146402</v>
      </c>
      <c r="CB15" s="20">
        <f t="shared" si="10"/>
        <v>77.08120966239666</v>
      </c>
      <c r="CC15" s="59">
        <f t="shared" si="11"/>
        <v>370.41454299572996</v>
      </c>
      <c r="CD15" s="59">
        <f ca="1">AVERAGE(OFFSET($CC$3,0,0,'Données projet'!$E$12+1,1))-AVERAGE(OFFSET($H$3,0,0,'Données projet'!$E$12+1,1))</f>
        <v>314.94704727988847</v>
      </c>
      <c r="CE15" s="59">
        <f t="shared" si="40"/>
        <v>366.49199094166454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0.76870560075726657</v>
      </c>
      <c r="CM15" s="21">
        <f>EXP(-LN(2)/2)*CM14+(1-EXP(-LN(2)/2))/(LN(2)/2)*CG15*CJ15*VLOOKUP('Données projet'!$B$12,Paramètres!$A$1:$I$89,3,0)*0.475*44/12</f>
        <v>0.65683626160254105</v>
      </c>
      <c r="CN15" s="22">
        <f t="shared" si="12"/>
        <v>1.4255418623598075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5.05</v>
      </c>
      <c r="CT15" s="12">
        <f>IF('Données projet'!$A$140&gt;35,CT14+CS15-DB14,IF(A15&lt;'Données projet'!$A$140,$CQ$205^A15,IF(A15='Données projet'!$A$140,'Données projet'!$B$140,CT14+CS15-DB14)))</f>
        <v>15.943836211226593</v>
      </c>
      <c r="CU15" s="17">
        <f>CT15*VLOOKUP('Données projet'!$B$13,Paramètres!$A$1:$I$89,3,0)*VLOOKUP('Données projet'!$B$13,Paramètres!$A$1:$I$89,5,0)</f>
        <v>12.436192244756743</v>
      </c>
      <c r="CV15" s="13">
        <f t="shared" si="41"/>
        <v>4.2738362201904234</v>
      </c>
      <c r="CW15" s="20">
        <f t="shared" si="13"/>
        <v>29.103299576449643</v>
      </c>
      <c r="CX15" s="59">
        <f t="shared" si="14"/>
        <v>322.43663290978293</v>
      </c>
      <c r="CY15" s="59">
        <f ca="1">AVERAGE(OFFSET($CX$3,0,0,'Données projet'!$E$13+1,1))-AVERAGE(OFFSET($H$3,0,0,'Données projet'!$E$13+1,1))</f>
        <v>261.59434871103355</v>
      </c>
      <c r="CZ15" s="59">
        <f t="shared" si="42"/>
        <v>194.97518096665976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2.1</v>
      </c>
      <c r="N16" s="13">
        <f>IF('Données projet'!$A$36&gt;35,N15+M16-V15,IF(A16&lt;'Données projet'!$A$36,$K$205^A16,IF(A16='Données projet'!$A$36,'Données projet'!$B$36,N15+M16-V15)))</f>
        <v>11.35303662145153</v>
      </c>
      <c r="O16" s="13">
        <f>N16*VLOOKUP('Données projet'!$B$9,Paramètres!$A$1:$I$89,3,0)*VLOOKUP('Données projet'!$B$9,Paramètres!$A$1:$I$89,5,0)</f>
        <v>10.272227535089344</v>
      </c>
      <c r="P16" s="13">
        <f t="shared" si="33"/>
        <v>3.6095987912522753</v>
      </c>
      <c r="Q16" s="20">
        <f t="shared" si="2"/>
        <v>24.177514185044988</v>
      </c>
      <c r="R16" s="59">
        <f t="shared" si="0"/>
        <v>317.51084751837828</v>
      </c>
      <c r="S16" s="59">
        <f ca="1">AVERAGE(OFFSET($R$3,0,0,'Données projet'!$E$9+1,1))-AVERAGE(OFFSET($H$3,0,0,'Données projet'!$E$9+1,1))</f>
        <v>237.22177246688199</v>
      </c>
      <c r="T16" s="59">
        <f t="shared" si="34"/>
        <v>149.27472147904302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5.8</v>
      </c>
      <c r="AI16" s="13">
        <f>IF('Données projet'!$A$62&gt;35,AI15+AH16-AQ15,IF(A16&lt;'Données projet'!$A$62,$AF$205^A16,IF(A16='Données projet'!$A$62,'Données projet'!$B$62,AI15+AH16-AQ15)))</f>
        <v>47.964142612378375</v>
      </c>
      <c r="AJ16" s="13">
        <f>AI16*VLOOKUP('Données projet'!$B$10,Paramètres!$A$1:$I$89,3,0)*VLOOKUP('Données projet'!$B$10,Paramètres!$A$1:$I$89,5,0)</f>
        <v>41.901474986173753</v>
      </c>
      <c r="AK16" s="13">
        <f t="shared" si="35"/>
        <v>12.501262773491545</v>
      </c>
      <c r="AL16" s="20">
        <f t="shared" si="4"/>
        <v>94.751434931417066</v>
      </c>
      <c r="AM16" s="59">
        <f t="shared" si="5"/>
        <v>388.08476826475038</v>
      </c>
      <c r="AN16" s="59">
        <f ca="1">AVERAGE(OFFSET($AM$3,0,0,'Données projet'!$E$10+1,1))-AVERAGE(OFFSET($H$3,0,0,'Données projet'!$E$10+1,1))</f>
        <v>243.38048563215585</v>
      </c>
      <c r="AO16" s="59">
        <f t="shared" si="36"/>
        <v>372.1604147006675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15</v>
      </c>
      <c r="BD16" s="12">
        <f>IF('Données projet'!$A$88&gt;35,BD15+BC16-BL15,IF(A16&lt;'Données projet'!$A$88,$BA$205^A16,IF(A16='Données projet'!$A$88,'Données projet'!$B$88,BD15+BC16-BL15)))</f>
        <v>57</v>
      </c>
      <c r="BE16" s="13">
        <f>BD16*VLOOKUP('Données projet'!$B$11,Paramètres!$A$1:$I$89,3,0)*VLOOKUP('Données projet'!$B$11,Paramètres!$A$1:$I$89,5,0)</f>
        <v>31.863</v>
      </c>
      <c r="BF16" s="13">
        <f t="shared" si="37"/>
        <v>9.8142283995824151</v>
      </c>
      <c r="BG16" s="20">
        <f t="shared" si="7"/>
        <v>72.587839462606041</v>
      </c>
      <c r="BH16" s="59">
        <f t="shared" si="8"/>
        <v>365.92117279593936</v>
      </c>
      <c r="BI16" s="59">
        <f ca="1">AVERAGE(OFFSET($BH$3,0,0,'Données projet'!$E$11+1,1))-AVERAGE(OFFSET($H$3,0,0,'Données projet'!$E$11+1,1))</f>
        <v>326.31232746914907</v>
      </c>
      <c r="BJ16" s="59">
        <f t="shared" si="38"/>
        <v>330.17137761430297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15.3</v>
      </c>
      <c r="BY16" s="12">
        <f>IF('Données projet'!$A$114&gt;35,BY15+BX16-CG15,IF(A16&lt;'Données projet'!$A$114,$BV$205^A16,IF(A16='Données projet'!$A$114,'Données projet'!$B$114,BY15+BX16-CG15)))</f>
        <v>57.899999999999991</v>
      </c>
      <c r="BZ16" s="13">
        <f>BY16*VLOOKUP('Données projet'!$B$12,Paramètres!$A$1:$I$89,3,0)*VLOOKUP('Données projet'!$B$12,Paramètres!$A$1:$I$89,5,0)</f>
        <v>46.065239999999996</v>
      </c>
      <c r="CA16" s="13">
        <f t="shared" si="39"/>
        <v>13.592794353923109</v>
      </c>
      <c r="CB16" s="20">
        <f t="shared" si="10"/>
        <v>103.90440983308274</v>
      </c>
      <c r="CC16" s="59">
        <f t="shared" si="11"/>
        <v>397.23774316641607</v>
      </c>
      <c r="CD16" s="59">
        <f ca="1">AVERAGE(OFFSET($CC$3,0,0,'Données projet'!$E$12+1,1))-AVERAGE(OFFSET($H$3,0,0,'Données projet'!$E$12+1,1))</f>
        <v>314.94704727988847</v>
      </c>
      <c r="CE16" s="59">
        <f t="shared" si="40"/>
        <v>366.49199094166454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0.74768530568008851</v>
      </c>
      <c r="CM16" s="21">
        <f>EXP(-LN(2)/2)*CM15+(1-EXP(-LN(2)/2))/(LN(2)/2)*CG16*CJ16*VLOOKUP('Données projet'!$B$12,Paramètres!$A$1:$I$89,3,0)*0.475*44/12</f>
        <v>0.46445337470837789</v>
      </c>
      <c r="CN16" s="22">
        <f t="shared" si="12"/>
        <v>1.2121386803884664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5.05</v>
      </c>
      <c r="CT16" s="12">
        <f>IF('Données projet'!$A$140&gt;35,CT15+CS16-DB15,IF(A16&lt;'Données projet'!$A$140,$CQ$205^A16,IF(A16='Données projet'!$A$140,'Données projet'!$B$140,CT15+CS16-DB15)))</f>
        <v>20.08208925443796</v>
      </c>
      <c r="CU16" s="17">
        <f>CT16*VLOOKUP('Données projet'!$B$13,Paramètres!$A$1:$I$89,3,0)*VLOOKUP('Données projet'!$B$13,Paramètres!$A$1:$I$89,5,0)</f>
        <v>15.66402961846161</v>
      </c>
      <c r="CV16" s="13">
        <f t="shared" si="41"/>
        <v>5.2404525576452228</v>
      </c>
      <c r="CW16" s="20">
        <f t="shared" si="13"/>
        <v>36.408639790052732</v>
      </c>
      <c r="CX16" s="59">
        <f t="shared" si="14"/>
        <v>329.74197312338606</v>
      </c>
      <c r="CY16" s="59">
        <f ca="1">AVERAGE(OFFSET($CX$3,0,0,'Données projet'!$E$13+1,1))-AVERAGE(OFFSET($H$3,0,0,'Données projet'!$E$13+1,1))</f>
        <v>261.59434871103355</v>
      </c>
      <c r="CZ16" s="59">
        <f t="shared" si="42"/>
        <v>194.97518096665976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2.1</v>
      </c>
      <c r="N17" s="13">
        <f>IF('Données projet'!$A$36&gt;35,N16+M17-V16,IF(A17&lt;'Données projet'!$A$36,$K$205^A17,IF(A17='Données projet'!$A$36,'Données projet'!$B$36,N16+M17-V16)))</f>
        <v>13.685935953338433</v>
      </c>
      <c r="O17" s="13">
        <f>N17*VLOOKUP('Données projet'!$B$9,Paramètres!$A$1:$I$89,3,0)*VLOOKUP('Données projet'!$B$9,Paramètres!$A$1:$I$89,5,0)</f>
        <v>12.383034850580612</v>
      </c>
      <c r="P17" s="13">
        <f t="shared" si="33"/>
        <v>4.2576904771143838</v>
      </c>
      <c r="Q17" s="20">
        <f t="shared" si="2"/>
        <v>28.982596612402116</v>
      </c>
      <c r="R17" s="59">
        <f t="shared" si="0"/>
        <v>322.31592994573543</v>
      </c>
      <c r="S17" s="59">
        <f ca="1">AVERAGE(OFFSET($R$3,0,0,'Données projet'!$E$9+1,1))-AVERAGE(OFFSET($H$3,0,0,'Données projet'!$E$9+1,1))</f>
        <v>237.22177246688199</v>
      </c>
      <c r="T17" s="59">
        <f t="shared" si="34"/>
        <v>149.27472147904302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5.8</v>
      </c>
      <c r="AI17" s="13">
        <f>IF('Données projet'!$A$62&gt;35,AI16+AH17-AQ16,IF(A17&lt;'Données projet'!$A$62,$AF$205^A17,IF(A17='Données projet'!$A$62,'Données projet'!$B$62,AI16+AH17-AQ16)))</f>
        <v>64.597835933388069</v>
      </c>
      <c r="AJ17" s="13">
        <f>AI17*VLOOKUP('Données projet'!$B$10,Paramètres!$A$1:$I$89,3,0)*VLOOKUP('Données projet'!$B$10,Paramètres!$A$1:$I$89,5,0)</f>
        <v>56.432669471407827</v>
      </c>
      <c r="AK17" s="13">
        <f t="shared" si="35"/>
        <v>16.263143652501352</v>
      </c>
      <c r="AL17" s="20">
        <f t="shared" si="4"/>
        <v>126.61187452414181</v>
      </c>
      <c r="AM17" s="59">
        <f t="shared" si="5"/>
        <v>419.94520785747511</v>
      </c>
      <c r="AN17" s="59">
        <f ca="1">AVERAGE(OFFSET($AM$3,0,0,'Données projet'!$E$10+1,1))-AVERAGE(OFFSET($H$3,0,0,'Données projet'!$E$10+1,1))</f>
        <v>243.38048563215585</v>
      </c>
      <c r="AO17" s="59">
        <f t="shared" si="36"/>
        <v>372.1604147006675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15</v>
      </c>
      <c r="BD17" s="12">
        <f>IF('Données projet'!$A$88&gt;35,BD16+BC17-BL16,IF(A17&lt;'Données projet'!$A$88,$BA$205^A17,IF(A17='Données projet'!$A$88,'Données projet'!$B$88,BD16+BC17-BL16)))</f>
        <v>72</v>
      </c>
      <c r="BE17" s="13">
        <f>BD17*VLOOKUP('Données projet'!$B$11,Paramètres!$A$1:$I$89,3,0)*VLOOKUP('Données projet'!$B$11,Paramètres!$A$1:$I$89,5,0)</f>
        <v>40.248000000000005</v>
      </c>
      <c r="BF17" s="13">
        <f t="shared" si="37"/>
        <v>12.064355669675363</v>
      </c>
      <c r="BG17" s="20">
        <f t="shared" si="7"/>
        <v>91.110686124684605</v>
      </c>
      <c r="BH17" s="59">
        <f t="shared" si="8"/>
        <v>384.44401945801792</v>
      </c>
      <c r="BI17" s="59">
        <f ca="1">AVERAGE(OFFSET($BH$3,0,0,'Données projet'!$E$11+1,1))-AVERAGE(OFFSET($H$3,0,0,'Données projet'!$E$11+1,1))</f>
        <v>326.31232746914907</v>
      </c>
      <c r="BJ17" s="59">
        <f t="shared" si="38"/>
        <v>330.17137761430297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15.3</v>
      </c>
      <c r="BY17" s="12">
        <f>IF('Données projet'!$A$114&gt;35,BY16+BX17-CG16,IF(A17&lt;'Données projet'!$A$114,$BV$205^A17,IF(A17='Données projet'!$A$114,'Données projet'!$B$114,BY16+BX17-CG16)))</f>
        <v>73.199999999999989</v>
      </c>
      <c r="BZ17" s="13">
        <f>BY17*VLOOKUP('Données projet'!$B$12,Paramètres!$A$1:$I$89,3,0)*VLOOKUP('Données projet'!$B$12,Paramètres!$A$1:$I$89,5,0)</f>
        <v>58.237919999999995</v>
      </c>
      <c r="CA17" s="13">
        <f t="shared" si="39"/>
        <v>16.72198997753117</v>
      </c>
      <c r="CB17" s="20">
        <f t="shared" si="10"/>
        <v>130.55517654420012</v>
      </c>
      <c r="CC17" s="59">
        <f t="shared" si="11"/>
        <v>423.88850987753347</v>
      </c>
      <c r="CD17" s="59">
        <f ca="1">AVERAGE(OFFSET($CC$3,0,0,'Données projet'!$E$12+1,1))-AVERAGE(OFFSET($H$3,0,0,'Données projet'!$E$12+1,1))</f>
        <v>314.94704727988847</v>
      </c>
      <c r="CE17" s="59">
        <f t="shared" si="40"/>
        <v>366.49199094166454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0.72723981167720508</v>
      </c>
      <c r="CM17" s="21">
        <f>EXP(-LN(2)/2)*CM16+(1-EXP(-LN(2)/2))/(LN(2)/2)*CG17*CJ17*VLOOKUP('Données projet'!$B$12,Paramètres!$A$1:$I$89,3,0)*0.475*44/12</f>
        <v>0.32841813080127052</v>
      </c>
      <c r="CN17" s="22">
        <f t="shared" si="12"/>
        <v>1.0556579424784756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5.05</v>
      </c>
      <c r="CT17" s="12">
        <f>IF('Données projet'!$A$140&gt;35,CT16+CS17-DB16,IF(A17&lt;'Données projet'!$A$140,$CQ$205^A17,IF(A17='Données projet'!$A$140,'Données projet'!$B$140,CT16+CS17-DB16)))</f>
        <v>25.294433753605816</v>
      </c>
      <c r="CU17" s="17">
        <f>CT17*VLOOKUP('Données projet'!$B$13,Paramètres!$A$1:$I$89,3,0)*VLOOKUP('Données projet'!$B$13,Paramètres!$A$1:$I$89,5,0)</f>
        <v>19.729658327812537</v>
      </c>
      <c r="CV17" s="13">
        <f t="shared" si="41"/>
        <v>6.425689145314684</v>
      </c>
      <c r="CW17" s="20">
        <f t="shared" si="13"/>
        <v>45.553896849029911</v>
      </c>
      <c r="CX17" s="59">
        <f t="shared" si="14"/>
        <v>338.88723018236323</v>
      </c>
      <c r="CY17" s="59">
        <f ca="1">AVERAGE(OFFSET($CX$3,0,0,'Données projet'!$E$13+1,1))-AVERAGE(OFFSET($H$3,0,0,'Données projet'!$E$13+1,1))</f>
        <v>261.59434871103355</v>
      </c>
      <c r="CZ17" s="59">
        <f t="shared" si="42"/>
        <v>194.97518096665976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2.1</v>
      </c>
      <c r="N18" s="13">
        <f>IF('Données projet'!$A$36&gt;35,N17+M18-V17,IF(A18&lt;'Données projet'!$A$36,$K$205^A18,IF(A18='Données projet'!$A$36,'Données projet'!$B$36,N17+M18-V17)))</f>
        <v>16.498215337821566</v>
      </c>
      <c r="O18" s="13">
        <f>N18*VLOOKUP('Données projet'!$B$9,Paramètres!$A$1:$I$89,3,0)*VLOOKUP('Données projet'!$B$9,Paramètres!$A$1:$I$89,5,0)</f>
        <v>14.927585237660953</v>
      </c>
      <c r="P18" s="13">
        <f t="shared" si="33"/>
        <v>5.0221449106318534</v>
      </c>
      <c r="Q18" s="20">
        <f t="shared" si="2"/>
        <v>34.745780008276633</v>
      </c>
      <c r="R18" s="59">
        <f t="shared" si="0"/>
        <v>328.07911334160997</v>
      </c>
      <c r="S18" s="59">
        <f ca="1">AVERAGE(OFFSET($R$3,0,0,'Données projet'!$E$9+1,1))-AVERAGE(OFFSET($H$3,0,0,'Données projet'!$E$9+1,1))</f>
        <v>237.22177246688199</v>
      </c>
      <c r="T18" s="59">
        <f t="shared" si="34"/>
        <v>149.27472147904302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87</v>
      </c>
      <c r="AG18" s="12">
        <f>VLOOKUP(A18,'Données projet'!$A$61:$I$81,9,0)</f>
        <v>5.8</v>
      </c>
      <c r="AH18" s="12">
        <f t="array" ref="AH18">INDEX(AG:AG,MIN(IF(ISNUMBER(AG18:AG214),ROW(AG18:AG214),"")))</f>
        <v>5.8</v>
      </c>
      <c r="AI18" s="13">
        <f>IF('Données projet'!$A$62&gt;35,AI17+AH18-AQ17,IF(A18&lt;'Données projet'!$A$62,$AF$205^A18,IF(A18='Données projet'!$A$62,'Données projet'!$B$62,AI17+AH18-AQ17)))</f>
        <v>87</v>
      </c>
      <c r="AJ18" s="13">
        <f>AI18*VLOOKUP('Données projet'!$B$10,Paramètres!$A$1:$I$89,3,0)*VLOOKUP('Données projet'!$B$10,Paramètres!$A$1:$I$89,5,0)</f>
        <v>76.003200000000007</v>
      </c>
      <c r="AK18" s="13">
        <f t="shared" si="35"/>
        <v>21.157049992000456</v>
      </c>
      <c r="AL18" s="20">
        <f t="shared" si="4"/>
        <v>169.22076873606747</v>
      </c>
      <c r="AM18" s="59">
        <f t="shared" si="5"/>
        <v>462.55410206940076</v>
      </c>
      <c r="AN18" s="59">
        <f ca="1">AVERAGE(OFFSET($AM$3,0,0,'Données projet'!$E$10+1,1))-AVERAGE(OFFSET($H$3,0,0,'Données projet'!$E$10+1,1))</f>
        <v>243.38048563215585</v>
      </c>
      <c r="AO18" s="59">
        <f t="shared" si="36"/>
        <v>372.1604147006675</v>
      </c>
      <c r="AP18" s="15">
        <f>IF(ISNA(VLOOKUP(A18,'Données projet'!$A$61:$I$81,3,0)),0,VLOOKUP(A18,'Données projet'!$A$61:$I$81,3,0))</f>
        <v>1</v>
      </c>
      <c r="AQ18" s="15">
        <f>IF(ISNA(VLOOKUP(A18,'Données projet'!$A$61:$I$81,4,0)),0,VLOOKUP(A18,'Données projet'!$A$61:$I$81,4,0))</f>
        <v>21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0.1075</v>
      </c>
      <c r="AT18" s="16">
        <f>IF(ISNA(VLOOKUP(A18,'Données projet'!$A$61:$I$81,7,0)),0%,VLOOKUP(A18,'Données projet'!$A$61:$I$81,7,0))</f>
        <v>0.25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2.1715715165565586</v>
      </c>
      <c r="AW18" s="21">
        <f>EXP(-LN(2)/2)*AW17+(1-EXP(-LN(2)/2))/(LN(2)/2)*AQ18*AT18*VLOOKUP('Données projet'!$B$10,Paramètres!$A$1:$I$89,3,0)*0.475*44/12</f>
        <v>4.3273918411461532</v>
      </c>
      <c r="AX18" s="21">
        <f t="shared" si="6"/>
        <v>6.4989633577027117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15</v>
      </c>
      <c r="BD18" s="12">
        <f>IF('Données projet'!$A$88&gt;35,BD17+BC18-BL17,IF(A18&lt;'Données projet'!$A$88,$BA$205^A18,IF(A18='Données projet'!$A$88,'Données projet'!$B$88,BD17+BC18-BL17)))</f>
        <v>87</v>
      </c>
      <c r="BE18" s="13">
        <f>BD18*VLOOKUP('Données projet'!$B$11,Paramètres!$A$1:$I$89,3,0)*VLOOKUP('Données projet'!$B$11,Paramètres!$A$1:$I$89,5,0)</f>
        <v>48.632999999999996</v>
      </c>
      <c r="BF18" s="13">
        <f t="shared" si="37"/>
        <v>14.260158409918978</v>
      </c>
      <c r="BG18" s="20">
        <f t="shared" si="7"/>
        <v>109.53891756394221</v>
      </c>
      <c r="BH18" s="59">
        <f t="shared" si="8"/>
        <v>402.87225089727553</v>
      </c>
      <c r="BI18" s="59">
        <f ca="1">AVERAGE(OFFSET($BH$3,0,0,'Données projet'!$E$11+1,1))-AVERAGE(OFFSET($H$3,0,0,'Données projet'!$E$11+1,1))</f>
        <v>326.31232746914907</v>
      </c>
      <c r="BJ18" s="59">
        <f t="shared" si="38"/>
        <v>330.17137761430297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15.3</v>
      </c>
      <c r="BY18" s="12">
        <f>IF('Données projet'!$A$114&gt;35,BY17+BX18-CG17,IF(A18&lt;'Données projet'!$A$114,$BV$205^A18,IF(A18='Données projet'!$A$114,'Données projet'!$B$114,BY17+BX18-CG17)))</f>
        <v>88.499999999999986</v>
      </c>
      <c r="BZ18" s="13">
        <f>BY18*VLOOKUP('Données projet'!$B$12,Paramètres!$A$1:$I$89,3,0)*VLOOKUP('Données projet'!$B$12,Paramètres!$A$1:$I$89,5,0)</f>
        <v>70.410599999999988</v>
      </c>
      <c r="CA18" s="13">
        <f t="shared" si="39"/>
        <v>19.775389288717292</v>
      </c>
      <c r="CB18" s="20">
        <f t="shared" si="10"/>
        <v>157.07393134451593</v>
      </c>
      <c r="CC18" s="59">
        <f t="shared" si="11"/>
        <v>450.40726467784924</v>
      </c>
      <c r="CD18" s="59">
        <f ca="1">AVERAGE(OFFSET($CC$3,0,0,'Données projet'!$E$12+1,1))-AVERAGE(OFFSET($H$3,0,0,'Données projet'!$E$12+1,1))</f>
        <v>314.94704727988847</v>
      </c>
      <c r="CE18" s="59">
        <f t="shared" si="40"/>
        <v>366.49199094166454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0.70735340078301234</v>
      </c>
      <c r="CM18" s="21">
        <f>EXP(-LN(2)/2)*CM17+(1-EXP(-LN(2)/2))/(LN(2)/2)*CG18*CJ18*VLOOKUP('Données projet'!$B$12,Paramètres!$A$1:$I$89,3,0)*0.475*44/12</f>
        <v>0.23222668735418894</v>
      </c>
      <c r="CN18" s="22">
        <f t="shared" si="12"/>
        <v>0.93958008813720129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5.05</v>
      </c>
      <c r="CT18" s="12">
        <f>IF('Données projet'!$A$140&gt;35,CT17+CS18-DB17,IF(A18&lt;'Données projet'!$A$140,$CQ$205^A18,IF(A18='Données projet'!$A$140,'Données projet'!$B$140,CT17+CS18-DB17)))</f>
        <v>31.859652191026957</v>
      </c>
      <c r="CU18" s="17">
        <f>CT18*VLOOKUP('Données projet'!$B$13,Paramètres!$A$1:$I$89,3,0)*VLOOKUP('Données projet'!$B$13,Paramètres!$A$1:$I$89,5,0)</f>
        <v>24.850528709001026</v>
      </c>
      <c r="CV18" s="13">
        <f t="shared" si="41"/>
        <v>7.8789914683949043</v>
      </c>
      <c r="CW18" s="20">
        <f t="shared" si="13"/>
        <v>57.003914308964568</v>
      </c>
      <c r="CX18" s="59">
        <f t="shared" si="14"/>
        <v>350.33724764229788</v>
      </c>
      <c r="CY18" s="59">
        <f ca="1">AVERAGE(OFFSET($CX$3,0,0,'Données projet'!$E$13+1,1))-AVERAGE(OFFSET($H$3,0,0,'Données projet'!$E$13+1,1))</f>
        <v>261.59434871103355</v>
      </c>
      <c r="CZ18" s="59">
        <f t="shared" si="42"/>
        <v>194.97518096665976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2.1</v>
      </c>
      <c r="N19" s="13">
        <f>IF('Données projet'!$A$36&gt;35,N18+M19-V18,IF(A19&lt;'Données projet'!$A$36,$K$205^A19,IF(A19='Données projet'!$A$36,'Données projet'!$B$36,N18+M19-V18)))</f>
        <v>19.888381054913147</v>
      </c>
      <c r="O19" s="13">
        <f>N19*VLOOKUP('Données projet'!$B$9,Paramètres!$A$1:$I$89,3,0)*VLOOKUP('Données projet'!$B$9,Paramètres!$A$1:$I$89,5,0)</f>
        <v>17.995007178485412</v>
      </c>
      <c r="P19" s="13">
        <f t="shared" si="33"/>
        <v>5.9238546434872337</v>
      </c>
      <c r="Q19" s="20">
        <f t="shared" si="2"/>
        <v>41.658684339935689</v>
      </c>
      <c r="R19" s="59">
        <f t="shared" si="0"/>
        <v>334.992017673269</v>
      </c>
      <c r="S19" s="59">
        <f ca="1">AVERAGE(OFFSET($R$3,0,0,'Données projet'!$E$9+1,1))-AVERAGE(OFFSET($H$3,0,0,'Données projet'!$E$9+1,1))</f>
        <v>237.22177246688199</v>
      </c>
      <c r="T19" s="59">
        <f t="shared" si="34"/>
        <v>149.27472147904302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14.2</v>
      </c>
      <c r="AI19" s="13">
        <f>IF('Données projet'!$A$62&gt;35,AI18+AH19-AQ18,IF(A19&lt;'Données projet'!$A$62,$AF$205^A19,IF(A19='Données projet'!$A$62,'Données projet'!$B$62,AI18+AH19-AQ18)))</f>
        <v>80.2</v>
      </c>
      <c r="AJ19" s="13">
        <f>AI19*VLOOKUP('Données projet'!$B$10,Paramètres!$A$1:$I$89,3,0)*VLOOKUP('Données projet'!$B$10,Paramètres!$A$1:$I$89,5,0)</f>
        <v>70.062720000000013</v>
      </c>
      <c r="AK19" s="13">
        <f t="shared" si="35"/>
        <v>19.689032345957123</v>
      </c>
      <c r="AL19" s="20">
        <f t="shared" si="4"/>
        <v>156.31763533587534</v>
      </c>
      <c r="AM19" s="59">
        <f t="shared" si="5"/>
        <v>449.65096866920862</v>
      </c>
      <c r="AN19" s="59">
        <f ca="1">AVERAGE(OFFSET($AM$3,0,0,'Données projet'!$E$10+1,1))-AVERAGE(OFFSET($H$3,0,0,'Données projet'!$E$10+1,1))</f>
        <v>243.38048563215585</v>
      </c>
      <c r="AO19" s="59">
        <f t="shared" si="36"/>
        <v>372.1604147006675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2.1121897792383364</v>
      </c>
      <c r="AW19" s="21">
        <f>EXP(-LN(2)/2)*AW18+(1-EXP(-LN(2)/2))/(LN(2)/2)*AQ19*AT19*VLOOKUP('Données projet'!$B$10,Paramètres!$A$1:$I$89,3,0)*0.475*44/12</f>
        <v>3.0599281157257843</v>
      </c>
      <c r="AX19" s="21">
        <f t="shared" si="6"/>
        <v>5.1721178949641207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15</v>
      </c>
      <c r="BD19" s="12">
        <f>IF('Données projet'!$A$88&gt;35,BD18+BC19-BL18,IF(A19&lt;'Données projet'!$A$88,$BA$205^A19,IF(A19='Données projet'!$A$88,'Données projet'!$B$88,BD18+BC19-BL18)))</f>
        <v>102</v>
      </c>
      <c r="BE19" s="13">
        <f>BD19*VLOOKUP('Données projet'!$B$11,Paramètres!$A$1:$I$89,3,0)*VLOOKUP('Données projet'!$B$11,Paramètres!$A$1:$I$89,5,0)</f>
        <v>57.018000000000001</v>
      </c>
      <c r="BF19" s="13">
        <f t="shared" si="37"/>
        <v>16.412103612717626</v>
      </c>
      <c r="BG19" s="20">
        <f t="shared" si="7"/>
        <v>127.89076379214985</v>
      </c>
      <c r="BH19" s="59">
        <f t="shared" si="8"/>
        <v>421.22409712548318</v>
      </c>
      <c r="BI19" s="59">
        <f ca="1">AVERAGE(OFFSET($BH$3,0,0,'Données projet'!$E$11+1,1))-AVERAGE(OFFSET($H$3,0,0,'Données projet'!$E$11+1,1))</f>
        <v>326.31232746914907</v>
      </c>
      <c r="BJ19" s="59">
        <f t="shared" si="38"/>
        <v>330.17137761430297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15.3</v>
      </c>
      <c r="BY19" s="12">
        <f>IF('Données projet'!$A$114&gt;35,BY18+BX19-CG18,IF(A19&lt;'Données projet'!$A$114,$BV$205^A19,IF(A19='Données projet'!$A$114,'Données projet'!$B$114,BY18+BX19-CG18)))</f>
        <v>103.79999999999998</v>
      </c>
      <c r="BZ19" s="13">
        <f>BY19*VLOOKUP('Données projet'!$B$12,Paramètres!$A$1:$I$89,3,0)*VLOOKUP('Données projet'!$B$12,Paramètres!$A$1:$I$89,5,0)</f>
        <v>82.583280000000002</v>
      </c>
      <c r="CA19" s="13">
        <f t="shared" si="39"/>
        <v>22.767636507088277</v>
      </c>
      <c r="CB19" s="20">
        <f t="shared" si="10"/>
        <v>183.48617958317871</v>
      </c>
      <c r="CC19" s="59">
        <f t="shared" si="11"/>
        <v>476.81951291651205</v>
      </c>
      <c r="CD19" s="59">
        <f ca="1">AVERAGE(OFFSET($CC$3,0,0,'Données projet'!$E$12+1,1))-AVERAGE(OFFSET($H$3,0,0,'Données projet'!$E$12+1,1))</f>
        <v>314.94704727988847</v>
      </c>
      <c r="CE19" s="59">
        <f t="shared" si="40"/>
        <v>366.49199094166454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0.68801078484050215</v>
      </c>
      <c r="CM19" s="21">
        <f>EXP(-LN(2)/2)*CM18+(1-EXP(-LN(2)/2))/(LN(2)/2)*CG19*CJ19*VLOOKUP('Données projet'!$B$12,Paramètres!$A$1:$I$89,3,0)*0.475*44/12</f>
        <v>0.16420906540063526</v>
      </c>
      <c r="CN19" s="22">
        <f t="shared" si="12"/>
        <v>0.85221985024113744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5.05</v>
      </c>
      <c r="CT19" s="12">
        <f>IF('Données projet'!$A$140&gt;35,CT18+CS19-DB18,IF(A19&lt;'Données projet'!$A$140,$CQ$205^A19,IF(A19='Données projet'!$A$140,'Données projet'!$B$140,CT18+CS19-DB18)))</f>
        <v>40.128885573036847</v>
      </c>
      <c r="CU19" s="17">
        <f>CT19*VLOOKUP('Données projet'!$B$13,Paramètres!$A$1:$I$89,3,0)*VLOOKUP('Données projet'!$B$13,Paramètres!$A$1:$I$89,5,0)</f>
        <v>31.300530746968743</v>
      </c>
      <c r="CV19" s="13">
        <f t="shared" si="41"/>
        <v>9.6609881298575555</v>
      </c>
      <c r="CW19" s="20">
        <f t="shared" si="13"/>
        <v>71.341312043805786</v>
      </c>
      <c r="CX19" s="59">
        <f t="shared" si="14"/>
        <v>364.67464537713909</v>
      </c>
      <c r="CY19" s="59">
        <f ca="1">AVERAGE(OFFSET($CX$3,0,0,'Données projet'!$E$13+1,1))-AVERAGE(OFFSET($H$3,0,0,'Données projet'!$E$13+1,1))</f>
        <v>261.59434871103355</v>
      </c>
      <c r="CZ19" s="59">
        <f t="shared" si="42"/>
        <v>194.97518096665976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2.1</v>
      </c>
      <c r="N20" s="13">
        <f>IF('Données projet'!$A$36&gt;35,N19+M20-V19,IF(A20&lt;'Données projet'!$A$36,$K$205^A20,IF(A20='Données projet'!$A$36,'Données projet'!$B$36,N19+M20-V19)))</f>
        <v>23.975181126327602</v>
      </c>
      <c r="O20" s="13">
        <f>N20*VLOOKUP('Données projet'!$B$9,Paramètres!$A$1:$I$89,3,0)*VLOOKUP('Données projet'!$B$9,Paramètres!$A$1:$I$89,5,0)</f>
        <v>21.692743883101215</v>
      </c>
      <c r="P20" s="13">
        <f t="shared" si="33"/>
        <v>6.98746341685115</v>
      </c>
      <c r="Q20" s="20">
        <f t="shared" si="2"/>
        <v>49.951361047417038</v>
      </c>
      <c r="R20" s="59">
        <f t="shared" si="0"/>
        <v>343.28469438075035</v>
      </c>
      <c r="S20" s="59">
        <f ca="1">AVERAGE(OFFSET($R$3,0,0,'Données projet'!$E$9+1,1))-AVERAGE(OFFSET($H$3,0,0,'Données projet'!$E$9+1,1))</f>
        <v>237.22177246688199</v>
      </c>
      <c r="T20" s="59">
        <f t="shared" si="34"/>
        <v>149.27472147904302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14.2</v>
      </c>
      <c r="AI20" s="13">
        <f>IF('Données projet'!$A$62&gt;35,AI19+AH20-AQ19,IF(A20&lt;'Données projet'!$A$62,$AF$205^A20,IF(A20='Données projet'!$A$62,'Données projet'!$B$62,AI19+AH20-AQ19)))</f>
        <v>94.4</v>
      </c>
      <c r="AJ20" s="13">
        <f>AI20*VLOOKUP('Données projet'!$B$10,Paramètres!$A$1:$I$89,3,0)*VLOOKUP('Données projet'!$B$10,Paramètres!$A$1:$I$89,5,0)</f>
        <v>82.467840000000024</v>
      </c>
      <c r="AK20" s="13">
        <f t="shared" si="35"/>
        <v>22.739512759227473</v>
      </c>
      <c r="AL20" s="20">
        <f t="shared" si="4"/>
        <v>183.23613938898788</v>
      </c>
      <c r="AM20" s="59">
        <f t="shared" si="5"/>
        <v>476.56947272232117</v>
      </c>
      <c r="AN20" s="59">
        <f ca="1">AVERAGE(OFFSET($AM$3,0,0,'Données projet'!$E$10+1,1))-AVERAGE(OFFSET($H$3,0,0,'Données projet'!$E$10+1,1))</f>
        <v>243.38048563215585</v>
      </c>
      <c r="AO20" s="59">
        <f t="shared" si="36"/>
        <v>372.1604147006675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2.054431838649831</v>
      </c>
      <c r="AW20" s="21">
        <f>EXP(-LN(2)/2)*AW19+(1-EXP(-LN(2)/2))/(LN(2)/2)*AQ20*AT20*VLOOKUP('Données projet'!$B$10,Paramètres!$A$1:$I$89,3,0)*0.475*44/12</f>
        <v>2.163695920573077</v>
      </c>
      <c r="AX20" s="21">
        <f t="shared" si="6"/>
        <v>4.2181277592229076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15</v>
      </c>
      <c r="BD20" s="12">
        <f>IF('Données projet'!$A$88&gt;35,BD19+BC20-BL19,IF(A20&lt;'Données projet'!$A$88,$BA$205^A20,IF(A20='Données projet'!$A$88,'Données projet'!$B$88,BD19+BC20-BL19)))</f>
        <v>117</v>
      </c>
      <c r="BE20" s="13">
        <f>BD20*VLOOKUP('Données projet'!$B$11,Paramètres!$A$1:$I$89,3,0)*VLOOKUP('Données projet'!$B$11,Paramètres!$A$1:$I$89,5,0)</f>
        <v>65.403000000000006</v>
      </c>
      <c r="BF20" s="13">
        <f t="shared" si="37"/>
        <v>18.527386684584471</v>
      </c>
      <c r="BG20" s="20">
        <f t="shared" si="7"/>
        <v>146.17875680898462</v>
      </c>
      <c r="BH20" s="59">
        <f t="shared" si="8"/>
        <v>439.5120901423179</v>
      </c>
      <c r="BI20" s="59">
        <f ca="1">AVERAGE(OFFSET($BH$3,0,0,'Données projet'!$E$11+1,1))-AVERAGE(OFFSET($H$3,0,0,'Données projet'!$E$11+1,1))</f>
        <v>326.31232746914907</v>
      </c>
      <c r="BJ20" s="59">
        <f t="shared" si="38"/>
        <v>330.17137761430297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15.3</v>
      </c>
      <c r="BY20" s="12">
        <f>IF('Données projet'!$A$114&gt;35,BY19+BX20-CG19,IF(A20&lt;'Données projet'!$A$114,$BV$205^A20,IF(A20='Données projet'!$A$114,'Données projet'!$B$114,BY19+BX20-CG19)))</f>
        <v>119.09999999999998</v>
      </c>
      <c r="BZ20" s="13">
        <f>BY20*VLOOKUP('Données projet'!$B$12,Paramètres!$A$1:$I$89,3,0)*VLOOKUP('Données projet'!$B$12,Paramètres!$A$1:$I$89,5,0)</f>
        <v>94.755959999999988</v>
      </c>
      <c r="CA20" s="13">
        <f t="shared" si="39"/>
        <v>25.708787823615488</v>
      </c>
      <c r="CB20" s="20">
        <f t="shared" si="10"/>
        <v>209.80943579279696</v>
      </c>
      <c r="CC20" s="59">
        <f t="shared" si="11"/>
        <v>503.14276912613025</v>
      </c>
      <c r="CD20" s="59">
        <f ca="1">AVERAGE(OFFSET($CC$3,0,0,'Données projet'!$E$12+1,1))-AVERAGE(OFFSET($H$3,0,0,'Données projet'!$E$12+1,1))</f>
        <v>314.94704727988847</v>
      </c>
      <c r="CE20" s="59">
        <f t="shared" si="40"/>
        <v>366.49199094166454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0.66919709374812397</v>
      </c>
      <c r="CM20" s="21">
        <f>EXP(-LN(2)/2)*CM19+(1-EXP(-LN(2)/2))/(LN(2)/2)*CG20*CJ20*VLOOKUP('Données projet'!$B$12,Paramètres!$A$1:$I$89,3,0)*0.475*44/12</f>
        <v>0.11611334367709447</v>
      </c>
      <c r="CN20" s="22">
        <f t="shared" si="12"/>
        <v>0.78531043742521844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5.05</v>
      </c>
      <c r="CT20" s="12">
        <f>IF('Données projet'!$A$140&gt;35,CT19+CS20-DB19,IF(A20&lt;'Données projet'!$A$140,$CQ$205^A20,IF(A20='Données projet'!$A$140,'Données projet'!$B$140,CT19+CS20-DB19)))</f>
        <v>50.544414222683258</v>
      </c>
      <c r="CU20" s="17">
        <f>CT20*VLOOKUP('Données projet'!$B$13,Paramètres!$A$1:$I$89,3,0)*VLOOKUP('Données projet'!$B$13,Paramètres!$A$1:$I$89,5,0)</f>
        <v>39.424643093692943</v>
      </c>
      <c r="CV20" s="13">
        <f t="shared" si="41"/>
        <v>11.846020143522569</v>
      </c>
      <c r="CW20" s="20">
        <f t="shared" si="13"/>
        <v>89.296405138150362</v>
      </c>
      <c r="CX20" s="59">
        <f t="shared" si="14"/>
        <v>382.62973847148368</v>
      </c>
      <c r="CY20" s="59">
        <f ca="1">AVERAGE(OFFSET($CX$3,0,0,'Données projet'!$E$13+1,1))-AVERAGE(OFFSET($H$3,0,0,'Données projet'!$E$13+1,1))</f>
        <v>261.59434871103355</v>
      </c>
      <c r="CZ20" s="59">
        <f t="shared" si="42"/>
        <v>194.97518096665976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2.1</v>
      </c>
      <c r="N21" s="13">
        <f>IF('Données projet'!$A$36&gt;35,N20+M21-V20,IF(A21&lt;'Données projet'!$A$36,$K$205^A21,IF(A21='Données projet'!$A$36,'Données projet'!$B$36,N20+M21-V20)))</f>
        <v>28.901764726506816</v>
      </c>
      <c r="O21" s="13">
        <f>N21*VLOOKUP('Données projet'!$B$9,Paramètres!$A$1:$I$89,3,0)*VLOOKUP('Données projet'!$B$9,Paramètres!$A$1:$I$89,5,0)</f>
        <v>26.150316724543362</v>
      </c>
      <c r="P21" s="13">
        <f t="shared" si="33"/>
        <v>8.2420396752158016</v>
      </c>
      <c r="Q21" s="20">
        <f t="shared" si="2"/>
        <v>59.900020729580547</v>
      </c>
      <c r="R21" s="59">
        <f t="shared" si="0"/>
        <v>353.23335406291386</v>
      </c>
      <c r="S21" s="59">
        <f ca="1">AVERAGE(OFFSET($R$3,0,0,'Données projet'!$E$9+1,1))-AVERAGE(OFFSET($H$3,0,0,'Données projet'!$E$9+1,1))</f>
        <v>237.22177246688199</v>
      </c>
      <c r="T21" s="59">
        <f t="shared" si="34"/>
        <v>149.27472147904302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14.2</v>
      </c>
      <c r="AI21" s="13">
        <f>IF('Données projet'!$A$62&gt;35,AI20+AH21-AQ20,IF(A21&lt;'Données projet'!$A$62,$AF$205^A21,IF(A21='Données projet'!$A$62,'Données projet'!$B$62,AI20+AH21-AQ20)))</f>
        <v>108.60000000000001</v>
      </c>
      <c r="AJ21" s="13">
        <f>AI21*VLOOKUP('Données projet'!$B$10,Paramètres!$A$1:$I$89,3,0)*VLOOKUP('Données projet'!$B$10,Paramètres!$A$1:$I$89,5,0)</f>
        <v>94.87296000000002</v>
      </c>
      <c r="AK21" s="13">
        <f t="shared" si="35"/>
        <v>25.736834760472274</v>
      </c>
      <c r="AL21" s="20">
        <f t="shared" si="4"/>
        <v>210.06205920782259</v>
      </c>
      <c r="AM21" s="59">
        <f t="shared" si="5"/>
        <v>503.3953925411559</v>
      </c>
      <c r="AN21" s="59">
        <f ca="1">AVERAGE(OFFSET($AM$3,0,0,'Données projet'!$E$10+1,1))-AVERAGE(OFFSET($H$3,0,0,'Données projet'!$E$10+1,1))</f>
        <v>243.38048563215585</v>
      </c>
      <c r="AO21" s="59">
        <f t="shared" si="36"/>
        <v>372.1604147006675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1.9982532919840765</v>
      </c>
      <c r="AW21" s="21">
        <f>EXP(-LN(2)/2)*AW20+(1-EXP(-LN(2)/2))/(LN(2)/2)*AQ21*AT21*VLOOKUP('Données projet'!$B$10,Paramètres!$A$1:$I$89,3,0)*0.475*44/12</f>
        <v>1.5299640578628924</v>
      </c>
      <c r="AX21" s="21">
        <f t="shared" si="6"/>
        <v>3.5282173498469689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15</v>
      </c>
      <c r="BD21" s="12">
        <f>IF('Données projet'!$A$88&gt;35,BD20+BC21-BL20,IF(A21&lt;'Données projet'!$A$88,$BA$205^A21,IF(A21='Données projet'!$A$88,'Données projet'!$B$88,BD20+BC21-BL20)))</f>
        <v>132</v>
      </c>
      <c r="BE21" s="13">
        <f>BD21*VLOOKUP('Données projet'!$B$11,Paramètres!$A$1:$I$89,3,0)*VLOOKUP('Données projet'!$B$11,Paramètres!$A$1:$I$89,5,0)</f>
        <v>73.787999999999997</v>
      </c>
      <c r="BF21" s="13">
        <f t="shared" si="37"/>
        <v>20.611246816293939</v>
      </c>
      <c r="BG21" s="20">
        <f t="shared" si="7"/>
        <v>164.41202153837858</v>
      </c>
      <c r="BH21" s="59">
        <f t="shared" si="8"/>
        <v>457.74535487171192</v>
      </c>
      <c r="BI21" s="59">
        <f ca="1">AVERAGE(OFFSET($BH$3,0,0,'Données projet'!$E$11+1,1))-AVERAGE(OFFSET($H$3,0,0,'Données projet'!$E$11+1,1))</f>
        <v>326.31232746914907</v>
      </c>
      <c r="BJ21" s="59">
        <f t="shared" si="38"/>
        <v>330.17137761430297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15.3</v>
      </c>
      <c r="BY21" s="12">
        <f>IF('Données projet'!$A$114&gt;35,BY20+BX21-CG20,IF(A21&lt;'Données projet'!$A$114,$BV$205^A21,IF(A21='Données projet'!$A$114,'Données projet'!$B$114,BY20+BX21-CG20)))</f>
        <v>134.39999999999998</v>
      </c>
      <c r="BZ21" s="13">
        <f>BY21*VLOOKUP('Données projet'!$B$12,Paramètres!$A$1:$I$89,3,0)*VLOOKUP('Données projet'!$B$12,Paramètres!$A$1:$I$89,5,0)</f>
        <v>106.92863999999997</v>
      </c>
      <c r="CA21" s="13">
        <f t="shared" si="39"/>
        <v>28.606159868782917</v>
      </c>
      <c r="CB21" s="20">
        <f t="shared" si="10"/>
        <v>236.05644310479684</v>
      </c>
      <c r="CC21" s="59">
        <f t="shared" si="11"/>
        <v>529.38977643813018</v>
      </c>
      <c r="CD21" s="59">
        <f ca="1">AVERAGE(OFFSET($CC$3,0,0,'Données projet'!$E$12+1,1))-AVERAGE(OFFSET($H$3,0,0,'Données projet'!$E$12+1,1))</f>
        <v>314.94704727988847</v>
      </c>
      <c r="CE21" s="59">
        <f t="shared" si="40"/>
        <v>366.49199094166454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0.65089786402803584</v>
      </c>
      <c r="CM21" s="21">
        <f>EXP(-LN(2)/2)*CM20+(1-EXP(-LN(2)/2))/(LN(2)/2)*CG21*CJ21*VLOOKUP('Données projet'!$B$12,Paramètres!$A$1:$I$89,3,0)*0.475*44/12</f>
        <v>8.2104532700317631E-2</v>
      </c>
      <c r="CN21" s="22">
        <f t="shared" si="12"/>
        <v>0.73300239672835343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5.05</v>
      </c>
      <c r="CT21" s="12">
        <f>IF('Données projet'!$A$140&gt;35,CT20+CS21-DB20,IF(A21&lt;'Données projet'!$A$140,$CQ$205^A21,IF(A21='Données projet'!$A$140,'Données projet'!$B$140,CT20+CS21-DB20)))</f>
        <v>63.663313162894049</v>
      </c>
      <c r="CU21" s="17">
        <f>CT21*VLOOKUP('Données projet'!$B$13,Paramètres!$A$1:$I$89,3,0)*VLOOKUP('Données projet'!$B$13,Paramètres!$A$1:$I$89,5,0)</f>
        <v>49.65738426705736</v>
      </c>
      <c r="CV21" s="13">
        <f t="shared" si="41"/>
        <v>14.525242279001914</v>
      </c>
      <c r="CW21" s="20">
        <f t="shared" si="13"/>
        <v>111.78474123438654</v>
      </c>
      <c r="CX21" s="59">
        <f t="shared" si="14"/>
        <v>405.11807456771987</v>
      </c>
      <c r="CY21" s="59">
        <f ca="1">AVERAGE(OFFSET($CX$3,0,0,'Données projet'!$E$13+1,1))-AVERAGE(OFFSET($H$3,0,0,'Données projet'!$E$13+1,1))</f>
        <v>261.59434871103355</v>
      </c>
      <c r="CZ21" s="59">
        <f t="shared" si="42"/>
        <v>194.97518096665976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2.1</v>
      </c>
      <c r="N22" s="13">
        <f>IF('Données projet'!$A$36&gt;35,N21+M22-V21,IF(A22&lt;'Données projet'!$A$36,$K$205^A22,IF(A22='Données projet'!$A$36,'Données projet'!$B$36,N21+M22-V21)))</f>
        <v>34.840696297767764</v>
      </c>
      <c r="O22" s="13">
        <f>N22*VLOOKUP('Données projet'!$B$9,Paramètres!$A$1:$I$89,3,0)*VLOOKUP('Données projet'!$B$9,Paramètres!$A$1:$I$89,5,0)</f>
        <v>31.52386201022027</v>
      </c>
      <c r="P22" s="13">
        <f t="shared" si="33"/>
        <v>9.7218710074397983</v>
      </c>
      <c r="Q22" s="20">
        <f t="shared" si="2"/>
        <v>71.836318339091292</v>
      </c>
      <c r="R22" s="59">
        <f t="shared" si="0"/>
        <v>365.16965167242461</v>
      </c>
      <c r="S22" s="59">
        <f ca="1">AVERAGE(OFFSET($R$3,0,0,'Données projet'!$E$9+1,1))-AVERAGE(OFFSET($H$3,0,0,'Données projet'!$E$9+1,1))</f>
        <v>237.22177246688199</v>
      </c>
      <c r="T22" s="59">
        <f t="shared" si="34"/>
        <v>149.27472147904302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14.2</v>
      </c>
      <c r="AI22" s="13">
        <f>IF('Données projet'!$A$62&gt;35,AI21+AH22-AQ21,IF(A22&lt;'Données projet'!$A$62,$AF$205^A22,IF(A22='Données projet'!$A$62,'Données projet'!$B$62,AI21+AH22-AQ21)))</f>
        <v>122.80000000000001</v>
      </c>
      <c r="AJ22" s="13">
        <f>AI22*VLOOKUP('Données projet'!$B$10,Paramètres!$A$1:$I$89,3,0)*VLOOKUP('Données projet'!$B$10,Paramètres!$A$1:$I$89,5,0)</f>
        <v>107.27808000000003</v>
      </c>
      <c r="AK22" s="13">
        <f t="shared" si="35"/>
        <v>28.688746800886673</v>
      </c>
      <c r="AL22" s="20">
        <f t="shared" si="4"/>
        <v>236.80889001154432</v>
      </c>
      <c r="AM22" s="59">
        <f t="shared" si="5"/>
        <v>530.14222334487761</v>
      </c>
      <c r="AN22" s="59">
        <f ca="1">AVERAGE(OFFSET($AM$3,0,0,'Données projet'!$E$10+1,1))-AVERAGE(OFFSET($H$3,0,0,'Données projet'!$E$10+1,1))</f>
        <v>243.38048563215585</v>
      </c>
      <c r="AO22" s="59">
        <f t="shared" si="36"/>
        <v>372.1604147006675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1.9436109506311985</v>
      </c>
      <c r="AW22" s="21">
        <f>EXP(-LN(2)/2)*AW21+(1-EXP(-LN(2)/2))/(LN(2)/2)*AQ22*AT22*VLOOKUP('Données projet'!$B$10,Paramètres!$A$1:$I$89,3,0)*0.475*44/12</f>
        <v>1.0818479602865387</v>
      </c>
      <c r="AX22" s="21">
        <f t="shared" si="6"/>
        <v>3.0254589109177372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15</v>
      </c>
      <c r="BD22" s="12">
        <f>IF('Données projet'!$A$88&gt;35,BD21+BC22-BL21,IF(A22&lt;'Données projet'!$A$88,$BA$205^A22,IF(A22='Données projet'!$A$88,'Données projet'!$B$88,BD21+BC22-BL21)))</f>
        <v>147</v>
      </c>
      <c r="BE22" s="13">
        <f>BD22*VLOOKUP('Données projet'!$B$11,Paramètres!$A$1:$I$89,3,0)*VLOOKUP('Données projet'!$B$11,Paramètres!$A$1:$I$89,5,0)</f>
        <v>82.173000000000002</v>
      </c>
      <c r="BF22" s="13">
        <f t="shared" si="37"/>
        <v>22.667662370396656</v>
      </c>
      <c r="BG22" s="20">
        <f t="shared" si="7"/>
        <v>182.59748696177417</v>
      </c>
      <c r="BH22" s="59">
        <f t="shared" si="8"/>
        <v>475.93082029510748</v>
      </c>
      <c r="BI22" s="59">
        <f ca="1">AVERAGE(OFFSET($BH$3,0,0,'Données projet'!$E$11+1,1))-AVERAGE(OFFSET($H$3,0,0,'Données projet'!$E$11+1,1))</f>
        <v>326.31232746914907</v>
      </c>
      <c r="BJ22" s="59">
        <f t="shared" si="38"/>
        <v>330.17137761430297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15.3</v>
      </c>
      <c r="BY22" s="12">
        <f>IF('Données projet'!$A$114&gt;35,BY21+BX22-CG21,IF(A22&lt;'Données projet'!$A$114,$BV$205^A22,IF(A22='Données projet'!$A$114,'Données projet'!$B$114,BY21+BX22-CG21)))</f>
        <v>149.69999999999999</v>
      </c>
      <c r="BZ22" s="13">
        <f>BY22*VLOOKUP('Données projet'!$B$12,Paramètres!$A$1:$I$89,3,0)*VLOOKUP('Données projet'!$B$12,Paramètres!$A$1:$I$89,5,0)</f>
        <v>119.10132</v>
      </c>
      <c r="CA22" s="13">
        <f t="shared" si="39"/>
        <v>31.465305329267146</v>
      </c>
      <c r="CB22" s="20">
        <f t="shared" si="10"/>
        <v>262.23687244847355</v>
      </c>
      <c r="CC22" s="59">
        <f t="shared" si="11"/>
        <v>555.57020578180686</v>
      </c>
      <c r="CD22" s="59">
        <f ca="1">AVERAGE(OFFSET($CC$3,0,0,'Données projet'!$E$12+1,1))-AVERAGE(OFFSET($H$3,0,0,'Données projet'!$E$12+1,1))</f>
        <v>314.94704727988847</v>
      </c>
      <c r="CE22" s="59">
        <f t="shared" si="40"/>
        <v>366.49199094166454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0.63309902770695814</v>
      </c>
      <c r="CM22" s="21">
        <f>EXP(-LN(2)/2)*CM21+(1-EXP(-LN(2)/2))/(LN(2)/2)*CG22*CJ22*VLOOKUP('Données projet'!$B$12,Paramètres!$A$1:$I$89,3,0)*0.475*44/12</f>
        <v>5.8056671838547236E-2</v>
      </c>
      <c r="CN22" s="22">
        <f t="shared" si="12"/>
        <v>0.69115569954550538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5.05</v>
      </c>
      <c r="CT22" s="12">
        <f>IF('Données projet'!$A$140&gt;35,CT21+CS22-DB21,IF(A22&lt;'Données projet'!$A$140,$CQ$205^A22,IF(A22='Données projet'!$A$140,'Données projet'!$B$140,CT21+CS22-DB21)))</f>
        <v>80.187247299382307</v>
      </c>
      <c r="CU22" s="17">
        <f>CT22*VLOOKUP('Données projet'!$B$13,Paramètres!$A$1:$I$89,3,0)*VLOOKUP('Données projet'!$B$13,Paramètres!$A$1:$I$89,5,0)</f>
        <v>62.546052893518201</v>
      </c>
      <c r="CV22" s="13">
        <f t="shared" si="41"/>
        <v>17.810425839860699</v>
      </c>
      <c r="CW22" s="20">
        <f t="shared" si="13"/>
        <v>139.95420046063492</v>
      </c>
      <c r="CX22" s="59">
        <f t="shared" si="14"/>
        <v>433.28753379396824</v>
      </c>
      <c r="CY22" s="59">
        <f ca="1">AVERAGE(OFFSET($CX$3,0,0,'Données projet'!$E$13+1,1))-AVERAGE(OFFSET($H$3,0,0,'Données projet'!$E$13+1,1))</f>
        <v>261.59434871103355</v>
      </c>
      <c r="CZ22" s="59">
        <f t="shared" si="42"/>
        <v>194.97518096665976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42</v>
      </c>
      <c r="L23" s="12">
        <f>VLOOKUP(A23,'Données projet'!$A$35:$I$55,9,0)</f>
        <v>2.1</v>
      </c>
      <c r="M23" s="12">
        <f t="array" ref="M23">INDEX(L:L,MIN(IF(ISNUMBER(L23:L219),ROW(L23:L219),"")))</f>
        <v>2.1</v>
      </c>
      <c r="N23" s="13">
        <f>IF('Données projet'!$A$36&gt;35,N22+M23-V22,IF(A23&lt;'Données projet'!$A$36,$K$205^A23,IF(A23='Données projet'!$A$36,'Données projet'!$B$36,N22+M23-V22)))</f>
        <v>42</v>
      </c>
      <c r="O23" s="13">
        <f>N23*VLOOKUP('Données projet'!$B$9,Paramètres!$A$1:$I$89,3,0)*VLOOKUP('Données projet'!$B$9,Paramètres!$A$1:$I$89,5,0)</f>
        <v>38.001600000000003</v>
      </c>
      <c r="P23" s="13">
        <f t="shared" si="33"/>
        <v>11.467401227090512</v>
      </c>
      <c r="Q23" s="20">
        <f t="shared" si="2"/>
        <v>86.158510470515978</v>
      </c>
      <c r="R23" s="59">
        <f t="shared" si="0"/>
        <v>379.49184380384929</v>
      </c>
      <c r="S23" s="59">
        <f ca="1">AVERAGE(OFFSET($R$3,0,0,'Données projet'!$E$9+1,1))-AVERAGE(OFFSET($H$3,0,0,'Données projet'!$E$9+1,1))</f>
        <v>237.22177246688199</v>
      </c>
      <c r="T23" s="59">
        <f t="shared" si="34"/>
        <v>149.27472147904302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137</v>
      </c>
      <c r="AG23" s="12">
        <f>VLOOKUP(A23,'Données projet'!$A$61:$I$81,9,0)</f>
        <v>14.2</v>
      </c>
      <c r="AH23" s="12">
        <f t="array" ref="AH23">INDEX(AG:AG,MIN(IF(ISNUMBER(AG23:AG219),ROW(AG23:AG219),"")))</f>
        <v>14.2</v>
      </c>
      <c r="AI23" s="13">
        <f>IF('Données projet'!$A$62&gt;35,AI22+AH23-AQ22,IF(A23&lt;'Données projet'!$A$62,$AF$205^A23,IF(A23='Données projet'!$A$62,'Données projet'!$B$62,AI22+AH23-AQ22)))</f>
        <v>137</v>
      </c>
      <c r="AJ23" s="13">
        <f>AI23*VLOOKUP('Données projet'!$B$10,Paramètres!$A$1:$I$89,3,0)*VLOOKUP('Données projet'!$B$10,Paramètres!$A$1:$I$89,5,0)</f>
        <v>119.68320000000003</v>
      </c>
      <c r="AK23" s="13">
        <f t="shared" si="35"/>
        <v>31.601099532596194</v>
      </c>
      <c r="AL23" s="20">
        <f t="shared" si="4"/>
        <v>263.48682168593842</v>
      </c>
      <c r="AM23" s="59">
        <f t="shared" si="5"/>
        <v>556.82015501927174</v>
      </c>
      <c r="AN23" s="59">
        <f ca="1">AVERAGE(OFFSET($AM$3,0,0,'Données projet'!$E$10+1,1))-AVERAGE(OFFSET($H$3,0,0,'Données projet'!$E$10+1,1))</f>
        <v>243.38048563215585</v>
      </c>
      <c r="AO23" s="59">
        <f t="shared" si="36"/>
        <v>372.1604147006675</v>
      </c>
      <c r="AP23" s="15">
        <f>IF(ISNA(VLOOKUP(A23,'Données projet'!$A$61:$I$81,3,0)),0,VLOOKUP(A23,'Données projet'!$A$61:$I$81,3,0))</f>
        <v>2</v>
      </c>
      <c r="AQ23" s="15">
        <f>IF(ISNA(VLOOKUP(A23,'Données projet'!$A$61:$I$81,4,0)),0,VLOOKUP(A23,'Données projet'!$A$61:$I$81,4,0))</f>
        <v>43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0.1075</v>
      </c>
      <c r="AT23" s="16">
        <f>IF(ISNA(VLOOKUP(A23,'Données projet'!$A$61:$I$81,7,0)),0%,VLOOKUP(A23,'Données projet'!$A$61:$I$81,7,0))</f>
        <v>0.25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6.3370140075443224</v>
      </c>
      <c r="AW23" s="21">
        <f>EXP(-LN(2)/2)*AW22+(1-EXP(-LN(2)/2))/(LN(2)/2)*AQ23*AT23*VLOOKUP('Données projet'!$B$10,Paramètres!$A$1:$I$89,3,0)*0.475*44/12</f>
        <v>9.6258319893735695</v>
      </c>
      <c r="AX23" s="21">
        <f t="shared" si="6"/>
        <v>15.962845996917892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162</v>
      </c>
      <c r="BB23" s="12">
        <f>VLOOKUP(A23,'Données projet'!$A$87:$I$107,9,0)</f>
        <v>15</v>
      </c>
      <c r="BC23" s="12">
        <f t="array" ref="BC23">INDEX(BB:BB,MIN(IF(ISNUMBER(BB23:BB219),ROW(BB23:BB219),"")))</f>
        <v>15</v>
      </c>
      <c r="BD23" s="12">
        <f>IF('Données projet'!$A$88&gt;35,BD22+BC23-BL22,IF(A23&lt;'Données projet'!$A$88,$BA$205^A23,IF(A23='Données projet'!$A$88,'Données projet'!$B$88,BD22+BC23-BL22)))</f>
        <v>162</v>
      </c>
      <c r="BE23" s="13">
        <f>BD23*VLOOKUP('Données projet'!$B$11,Paramètres!$A$1:$I$89,3,0)*VLOOKUP('Données projet'!$B$11,Paramètres!$A$1:$I$89,5,0)</f>
        <v>90.557999999999993</v>
      </c>
      <c r="BF23" s="13">
        <f t="shared" si="37"/>
        <v>24.699752708509138</v>
      </c>
      <c r="BG23" s="20">
        <f t="shared" si="7"/>
        <v>200.74058596732007</v>
      </c>
      <c r="BH23" s="59">
        <f t="shared" si="8"/>
        <v>494.07391930065342</v>
      </c>
      <c r="BI23" s="59">
        <f ca="1">AVERAGE(OFFSET($BH$3,0,0,'Données projet'!$E$11+1,1))-AVERAGE(OFFSET($H$3,0,0,'Données projet'!$E$11+1,1))</f>
        <v>326.31232746914907</v>
      </c>
      <c r="BJ23" s="59">
        <f t="shared" si="38"/>
        <v>330.17137761430297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63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0.27500000000000002</v>
      </c>
      <c r="BO23" s="16">
        <f>IF(ISNA(VLOOKUP(A23,'Données projet'!$A$87:$I$107,7,0)),0%,VLOOKUP(A23,'Données projet'!$A$87:$I$107,7,0))</f>
        <v>0.5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12.796760722565436</v>
      </c>
      <c r="BR23" s="21">
        <f>EXP(-LN(2)/2)*BR22+(1-EXP(-LN(2)/2))/(LN(2)/2)*BL23*BO23*VLOOKUP('Données projet'!$B$11,Paramètres!$A$1:$I$89,3,0)*0.475*44/12</f>
        <v>19.936912410994776</v>
      </c>
      <c r="BS23" s="22">
        <f t="shared" si="9"/>
        <v>32.73367313356021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165</v>
      </c>
      <c r="BW23" s="12">
        <f>VLOOKUP(A23,'Données projet'!$A$113:$I$133,9,0)</f>
        <v>15.3</v>
      </c>
      <c r="BX23" s="12">
        <f t="array" ref="BX23">INDEX(BW:BW,MIN(IF(ISNUMBER(BW23:BW219),ROW(BW23:BW219),"")))</f>
        <v>15.3</v>
      </c>
      <c r="BY23" s="12">
        <f>IF('Données projet'!$A$114&gt;35,BY22+BX23-CG22,IF(A23&lt;'Données projet'!$A$114,$BV$205^A23,IF(A23='Données projet'!$A$114,'Données projet'!$B$114,BY22+BX23-CG22)))</f>
        <v>165</v>
      </c>
      <c r="BZ23" s="13">
        <f>BY23*VLOOKUP('Données projet'!$B$12,Paramètres!$A$1:$I$89,3,0)*VLOOKUP('Données projet'!$B$12,Paramètres!$A$1:$I$89,5,0)</f>
        <v>131.274</v>
      </c>
      <c r="CA23" s="13">
        <f t="shared" si="39"/>
        <v>34.290576031111669</v>
      </c>
      <c r="CB23" s="20">
        <f t="shared" si="10"/>
        <v>288.35830325418613</v>
      </c>
      <c r="CC23" s="59">
        <f t="shared" si="11"/>
        <v>581.6916365875195</v>
      </c>
      <c r="CD23" s="59">
        <f ca="1">AVERAGE(OFFSET($CC$3,0,0,'Données projet'!$E$12+1,1))-AVERAGE(OFFSET($H$3,0,0,'Données projet'!$E$12+1,1))</f>
        <v>314.94704727988847</v>
      </c>
      <c r="CE23" s="59">
        <f t="shared" si="40"/>
        <v>366.49199094166454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84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0.13250000000000001</v>
      </c>
      <c r="CJ23" s="16">
        <f>IF(ISNA(VLOOKUP(A23,'Données projet'!$A$113:$I$133,7,0)),0%,VLOOKUP(A23,'Données projet'!$A$113:$I$133,7,0))</f>
        <v>0.25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10.366215156073137</v>
      </c>
      <c r="CM23" s="21">
        <f>EXP(-LN(2)/2)*CM22+(1-EXP(-LN(2)/2))/(LN(2)/2)*CG23*CJ23*VLOOKUP('Données projet'!$B$12,Paramètres!$A$1:$I$89,3,0)*0.475*44/12</f>
        <v>15.805122544811143</v>
      </c>
      <c r="CN23" s="22">
        <f t="shared" si="12"/>
        <v>26.17133770088428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101</v>
      </c>
      <c r="CR23" s="12">
        <f>VLOOKUP(A23,'Données projet'!$A$139:$I$159,9,0)</f>
        <v>5.05</v>
      </c>
      <c r="CS23" s="12">
        <f t="array" ref="CS23">INDEX(CR:CR,MIN(IF(ISNUMBER(CR23:CR219),ROW(CR23:CR219),"")))</f>
        <v>5.05</v>
      </c>
      <c r="CT23" s="12">
        <f>IF('Données projet'!$A$140&gt;35,CT22+CS23-DB22,IF(A23&lt;'Données projet'!$A$140,$CQ$205^A23,IF(A23='Données projet'!$A$140,'Données projet'!$B$140,CT22+CS23-DB22)))</f>
        <v>101</v>
      </c>
      <c r="CU23" s="17">
        <f>CT23*VLOOKUP('Données projet'!$B$13,Paramètres!$A$1:$I$89,3,0)*VLOOKUP('Données projet'!$B$13,Paramètres!$A$1:$I$89,5,0)</f>
        <v>78.78</v>
      </c>
      <c r="CV23" s="13">
        <f t="shared" si="41"/>
        <v>21.838621518606057</v>
      </c>
      <c r="CW23" s="20">
        <f t="shared" si="13"/>
        <v>175.24409914490556</v>
      </c>
      <c r="CX23" s="59">
        <f t="shared" si="14"/>
        <v>468.57743247823885</v>
      </c>
      <c r="CY23" s="59">
        <f ca="1">AVERAGE(OFFSET($CX$3,0,0,'Données projet'!$E$13+1,1))-AVERAGE(OFFSET($H$3,0,0,'Données projet'!$E$13+1,1))</f>
        <v>261.59434871103355</v>
      </c>
      <c r="CZ23" s="59">
        <f t="shared" si="42"/>
        <v>194.97518096665976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34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0.1075</v>
      </c>
      <c r="DE23" s="16">
        <f>IF(ISNA(VLOOKUP(A23,'Données projet'!$A$139:$I$159,7,0)),0%,VLOOKUP(A23,'Données projet'!$A$139:$I$159,7,0))</f>
        <v>0.25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3.1391765120290387</v>
      </c>
      <c r="DH23" s="21">
        <f>EXP(-LN(2)/2)*DH22+(1-EXP(-LN(2)/2))/(LN(2)/2)*DB23*DE23*VLOOKUP('Données projet'!$B$13,Paramètres!$A$1:$I$89,3,0)*0.475*44/12</f>
        <v>6.2555834438337241</v>
      </c>
      <c r="DI23" s="22">
        <f t="shared" si="15"/>
        <v>9.3947599558627637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6.3</v>
      </c>
      <c r="N24" s="13">
        <f>IF('Données projet'!$A$36&gt;35,N23+M24-V23,IF(A24&lt;'Données projet'!$A$36,$K$205^A24,IF(A24='Données projet'!$A$36,'Données projet'!$B$36,N23+M24-V23)))</f>
        <v>48.3</v>
      </c>
      <c r="O24" s="13">
        <f>N24*VLOOKUP('Données projet'!$B$9,Paramètres!$A$1:$I$89,3,0)*VLOOKUP('Données projet'!$B$9,Paramètres!$A$1:$I$89,5,0)</f>
        <v>43.701839999999997</v>
      </c>
      <c r="P24" s="13">
        <f t="shared" si="33"/>
        <v>12.974708810432297</v>
      </c>
      <c r="Q24" s="20">
        <f t="shared" si="2"/>
        <v>98.711655844836244</v>
      </c>
      <c r="R24" s="59">
        <f t="shared" si="0"/>
        <v>392.04498917816954</v>
      </c>
      <c r="S24" s="59">
        <f ca="1">AVERAGE(OFFSET($R$3,0,0,'Données projet'!$E$9+1,1))-AVERAGE(OFFSET($H$3,0,0,'Données projet'!$E$9+1,1))</f>
        <v>237.22177246688199</v>
      </c>
      <c r="T24" s="59">
        <f t="shared" si="34"/>
        <v>149.27472147904302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13.4</v>
      </c>
      <c r="AI24" s="13">
        <f>IF('Données projet'!$A$62&gt;35,AI23+AH24-AQ23,IF(A24&lt;'Données projet'!$A$62,$AF$205^A24,IF(A24='Données projet'!$A$62,'Données projet'!$B$62,AI23+AH24-AQ23)))</f>
        <v>107.4</v>
      </c>
      <c r="AJ24" s="13">
        <f>AI24*VLOOKUP('Données projet'!$B$10,Paramètres!$A$1:$I$89,3,0)*VLOOKUP('Données projet'!$B$10,Paramètres!$A$1:$I$89,5,0)</f>
        <v>93.824640000000016</v>
      </c>
      <c r="AK24" s="13">
        <f t="shared" si="35"/>
        <v>25.48538998338303</v>
      </c>
      <c r="AL24" s="20">
        <f t="shared" si="4"/>
        <v>207.79830222105878</v>
      </c>
      <c r="AM24" s="59">
        <f t="shared" si="5"/>
        <v>501.13163555439212</v>
      </c>
      <c r="AN24" s="59">
        <f ca="1">AVERAGE(OFFSET($AM$3,0,0,'Données projet'!$E$10+1,1))-AVERAGE(OFFSET($H$3,0,0,'Données projet'!$E$10+1,1))</f>
        <v>243.38048563215585</v>
      </c>
      <c r="AO24" s="59">
        <f t="shared" si="36"/>
        <v>372.1604147006675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6.1637280262589398</v>
      </c>
      <c r="AW24" s="21">
        <f>EXP(-LN(2)/2)*AW23+(1-EXP(-LN(2)/2))/(LN(2)/2)*AQ24*AT24*VLOOKUP('Données projet'!$B$10,Paramètres!$A$1:$I$89,3,0)*0.475*44/12</f>
        <v>6.8064910742484468</v>
      </c>
      <c r="AX24" s="21">
        <f t="shared" si="6"/>
        <v>12.970219100507386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22.2</v>
      </c>
      <c r="BD24" s="12">
        <f>IF('Données projet'!$A$88&gt;35,BD23+BC24-BL23,IF(A24&lt;'Données projet'!$A$88,$BA$205^A24,IF(A24='Données projet'!$A$88,'Données projet'!$B$88,BD23+BC24-BL23)))</f>
        <v>121.19999999999999</v>
      </c>
      <c r="BE24" s="13">
        <f>BD24*VLOOKUP('Données projet'!$B$11,Paramètres!$A$1:$I$89,3,0)*VLOOKUP('Données projet'!$B$11,Paramètres!$A$1:$I$89,5,0)</f>
        <v>67.750799999999998</v>
      </c>
      <c r="BF24" s="13">
        <f t="shared" si="37"/>
        <v>19.113844706860473</v>
      </c>
      <c r="BG24" s="20">
        <f t="shared" si="7"/>
        <v>151.28925619778201</v>
      </c>
      <c r="BH24" s="59">
        <f t="shared" si="8"/>
        <v>444.6225895311153</v>
      </c>
      <c r="BI24" s="59">
        <f ca="1">AVERAGE(OFFSET($BH$3,0,0,'Données projet'!$E$11+1,1))-AVERAGE(OFFSET($H$3,0,0,'Données projet'!$E$11+1,1))</f>
        <v>326.31232746914907</v>
      </c>
      <c r="BJ24" s="59">
        <f t="shared" si="38"/>
        <v>330.17137761430297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12.446832627654485</v>
      </c>
      <c r="BR24" s="21">
        <f>EXP(-LN(2)/2)*BR23+(1-EXP(-LN(2)/2))/(LN(2)/2)*BL24*BO24*VLOOKUP('Données projet'!$B$11,Paramètres!$A$1:$I$89,3,0)*0.475*44/12</f>
        <v>14.097525961736647</v>
      </c>
      <c r="BS24" s="22">
        <f t="shared" si="9"/>
        <v>26.54435858939113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16.600000000000001</v>
      </c>
      <c r="BY24" s="12">
        <f>IF('Données projet'!$A$114&gt;35,BY23+BX24-CG23,IF(A24&lt;'Données projet'!$A$114,$BV$205^A24,IF(A24='Données projet'!$A$114,'Données projet'!$B$114,BY23+BX24-CG23)))</f>
        <v>97.6</v>
      </c>
      <c r="BZ24" s="13">
        <f>BY24*VLOOKUP('Données projet'!$B$12,Paramètres!$A$1:$I$89,3,0)*VLOOKUP('Données projet'!$B$12,Paramètres!$A$1:$I$89,5,0)</f>
        <v>77.650559999999999</v>
      </c>
      <c r="CA24" s="13">
        <f t="shared" si="39"/>
        <v>21.561741073650076</v>
      </c>
      <c r="CB24" s="20">
        <f t="shared" si="10"/>
        <v>172.79475770327392</v>
      </c>
      <c r="CC24" s="59">
        <f t="shared" si="11"/>
        <v>466.1280910366072</v>
      </c>
      <c r="CD24" s="59">
        <f ca="1">AVERAGE(OFFSET($CC$3,0,0,'Données projet'!$E$12+1,1))-AVERAGE(OFFSET($H$3,0,0,'Données projet'!$E$12+1,1))</f>
        <v>314.94704727988847</v>
      </c>
      <c r="CE24" s="59">
        <f t="shared" si="40"/>
        <v>366.49199094166454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10.082750457494754</v>
      </c>
      <c r="CM24" s="21">
        <f>EXP(-LN(2)/2)*CM23+(1-EXP(-LN(2)/2))/(LN(2)/2)*CG24*CJ24*VLOOKUP('Données projet'!$B$12,Paramètres!$A$1:$I$89,3,0)*0.475*44/12</f>
        <v>11.175909328920342</v>
      </c>
      <c r="CN24" s="22">
        <f t="shared" si="12"/>
        <v>21.258659786415095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8.1999999999999993</v>
      </c>
      <c r="CT24" s="12">
        <f>IF('Données projet'!$A$140&gt;35,CT23+CS24-DB23,IF(A24&lt;'Données projet'!$A$140,$CQ$205^A24,IF(A24='Données projet'!$A$140,'Données projet'!$B$140,CT23+CS24-DB23)))</f>
        <v>75.2</v>
      </c>
      <c r="CU24" s="17">
        <f>CT24*VLOOKUP('Données projet'!$B$13,Paramètres!$A$1:$I$89,3,0)*VLOOKUP('Données projet'!$B$13,Paramètres!$A$1:$I$89,5,0)</f>
        <v>58.656000000000006</v>
      </c>
      <c r="CV24" s="13">
        <f t="shared" si="41"/>
        <v>16.828016909929076</v>
      </c>
      <c r="CW24" s="20">
        <f t="shared" si="13"/>
        <v>131.46799611812648</v>
      </c>
      <c r="CX24" s="59">
        <f t="shared" si="14"/>
        <v>424.80132945145976</v>
      </c>
      <c r="CY24" s="59">
        <f ca="1">AVERAGE(OFFSET($CX$3,0,0,'Données projet'!$E$13+1,1))-AVERAGE(OFFSET($H$3,0,0,'Données projet'!$E$13+1,1))</f>
        <v>261.59434871103355</v>
      </c>
      <c r="CZ24" s="59">
        <f t="shared" si="42"/>
        <v>194.97518096665976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3.0533355652254865</v>
      </c>
      <c r="DH24" s="21">
        <f>EXP(-LN(2)/2)*DH23+(1-EXP(-LN(2)/2))/(LN(2)/2)*DB24*DE24*VLOOKUP('Données projet'!$B$13,Paramètres!$A$1:$I$89,3,0)*0.475*44/12</f>
        <v>4.4233654734131225</v>
      </c>
      <c r="DI24" s="22">
        <f t="shared" si="15"/>
        <v>7.476701038638609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6.3</v>
      </c>
      <c r="N25" s="13">
        <f>IF('Données projet'!$A$36&gt;35,N24+M25-V24,IF(A25&lt;'Données projet'!$A$36,$K$205^A25,IF(A25='Données projet'!$A$36,'Données projet'!$B$36,N24+M25-V24)))</f>
        <v>54.599999999999994</v>
      </c>
      <c r="O25" s="13">
        <f>N25*VLOOKUP('Données projet'!$B$9,Paramètres!$A$1:$I$89,3,0)*VLOOKUP('Données projet'!$B$9,Paramètres!$A$1:$I$89,5,0)</f>
        <v>49.402079999999998</v>
      </c>
      <c r="P25" s="13">
        <f t="shared" si="33"/>
        <v>14.459236264867963</v>
      </c>
      <c r="Q25" s="20">
        <f t="shared" si="2"/>
        <v>111.22512582797835</v>
      </c>
      <c r="R25" s="59">
        <f t="shared" si="0"/>
        <v>404.55845916131165</v>
      </c>
      <c r="S25" s="59">
        <f ca="1">AVERAGE(OFFSET($R$3,0,0,'Données projet'!$E$9+1,1))-AVERAGE(OFFSET($H$3,0,0,'Données projet'!$E$9+1,1))</f>
        <v>237.22177246688199</v>
      </c>
      <c r="T25" s="59">
        <f t="shared" si="34"/>
        <v>149.27472147904302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13.4</v>
      </c>
      <c r="AI25" s="13">
        <f>IF('Données projet'!$A$62&gt;35,AI24+AH25-AQ24,IF(A25&lt;'Données projet'!$A$62,$AF$205^A25,IF(A25='Données projet'!$A$62,'Données projet'!$B$62,AI24+AH25-AQ24)))</f>
        <v>120.80000000000001</v>
      </c>
      <c r="AJ25" s="13">
        <f>AI25*VLOOKUP('Données projet'!$B$10,Paramètres!$A$1:$I$89,3,0)*VLOOKUP('Données projet'!$B$10,Paramètres!$A$1:$I$89,5,0)</f>
        <v>105.53088000000002</v>
      </c>
      <c r="AK25" s="13">
        <f t="shared" si="35"/>
        <v>28.275496771440064</v>
      </c>
      <c r="AL25" s="20">
        <f t="shared" si="4"/>
        <v>233.04610621025813</v>
      </c>
      <c r="AM25" s="59">
        <f t="shared" si="5"/>
        <v>526.37943954359139</v>
      </c>
      <c r="AN25" s="59">
        <f ca="1">AVERAGE(OFFSET($AM$3,0,0,'Données projet'!$E$10+1,1))-AVERAGE(OFFSET($H$3,0,0,'Données projet'!$E$10+1,1))</f>
        <v>243.38048563215585</v>
      </c>
      <c r="AO25" s="59">
        <f t="shared" si="36"/>
        <v>372.1604147006675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5.9951805592445195</v>
      </c>
      <c r="AW25" s="21">
        <f>EXP(-LN(2)/2)*AW24+(1-EXP(-LN(2)/2))/(LN(2)/2)*AQ25*AT25*VLOOKUP('Données projet'!$B$10,Paramètres!$A$1:$I$89,3,0)*0.475*44/12</f>
        <v>4.8129159946867857</v>
      </c>
      <c r="AX25" s="21">
        <f t="shared" si="6"/>
        <v>10.808096553931305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22.2</v>
      </c>
      <c r="BD25" s="12">
        <f>IF('Données projet'!$A$88&gt;35,BD24+BC25-BL24,IF(A25&lt;'Données projet'!$A$88,$BA$205^A25,IF(A25='Données projet'!$A$88,'Données projet'!$B$88,BD24+BC25-BL24)))</f>
        <v>143.39999999999998</v>
      </c>
      <c r="BE25" s="13">
        <f>BD25*VLOOKUP('Données projet'!$B$11,Paramètres!$A$1:$I$89,3,0)*VLOOKUP('Données projet'!$B$11,Paramètres!$A$1:$I$89,5,0)</f>
        <v>80.160599999999988</v>
      </c>
      <c r="BF25" s="13">
        <f t="shared" si="37"/>
        <v>22.176447079115164</v>
      </c>
      <c r="BG25" s="20">
        <f t="shared" si="7"/>
        <v>178.23702366279221</v>
      </c>
      <c r="BH25" s="59">
        <f t="shared" si="8"/>
        <v>471.5703569961255</v>
      </c>
      <c r="BI25" s="59">
        <f ca="1">AVERAGE(OFFSET($BH$3,0,0,'Données projet'!$E$11+1,1))-AVERAGE(OFFSET($H$3,0,0,'Données projet'!$E$11+1,1))</f>
        <v>326.31232746914907</v>
      </c>
      <c r="BJ25" s="59">
        <f t="shared" si="38"/>
        <v>330.17137761430297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12.106473334900793</v>
      </c>
      <c r="BR25" s="21">
        <f>EXP(-LN(2)/2)*BR24+(1-EXP(-LN(2)/2))/(LN(2)/2)*BL25*BO25*VLOOKUP('Données projet'!$B$11,Paramètres!$A$1:$I$89,3,0)*0.475*44/12</f>
        <v>9.9684562054973895</v>
      </c>
      <c r="BS25" s="22">
        <f t="shared" si="9"/>
        <v>22.07492954039818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16.600000000000001</v>
      </c>
      <c r="BY25" s="12">
        <f>IF('Données projet'!$A$114&gt;35,BY24+BX25-CG24,IF(A25&lt;'Données projet'!$A$114,$BV$205^A25,IF(A25='Données projet'!$A$114,'Données projet'!$B$114,BY24+BX25-CG24)))</f>
        <v>114.19999999999999</v>
      </c>
      <c r="BZ25" s="13">
        <f>BY25*VLOOKUP('Données projet'!$B$12,Paramètres!$A$1:$I$89,3,0)*VLOOKUP('Données projet'!$B$12,Paramètres!$A$1:$I$89,5,0)</f>
        <v>90.857519999999994</v>
      </c>
      <c r="CA25" s="13">
        <f t="shared" si="39"/>
        <v>24.771923889440387</v>
      </c>
      <c r="CB25" s="20">
        <f t="shared" si="10"/>
        <v>201.38794810744199</v>
      </c>
      <c r="CC25" s="59">
        <f t="shared" si="11"/>
        <v>494.72128144077533</v>
      </c>
      <c r="CD25" s="59">
        <f ca="1">AVERAGE(OFFSET($CC$3,0,0,'Données projet'!$E$12+1,1))-AVERAGE(OFFSET($H$3,0,0,'Données projet'!$E$12+1,1))</f>
        <v>314.94704727988847</v>
      </c>
      <c r="CE25" s="59">
        <f t="shared" si="40"/>
        <v>366.49199094166454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9.8070371160057572</v>
      </c>
      <c r="CM25" s="21">
        <f>EXP(-LN(2)/2)*CM24+(1-EXP(-LN(2)/2))/(LN(2)/2)*CG25*CJ25*VLOOKUP('Données projet'!$B$12,Paramètres!$A$1:$I$89,3,0)*0.475*44/12</f>
        <v>7.9025612724055723</v>
      </c>
      <c r="CN25" s="22">
        <f t="shared" si="12"/>
        <v>17.709598388411329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8.1999999999999993</v>
      </c>
      <c r="CT25" s="12">
        <f>IF('Données projet'!$A$140&gt;35,CT24+CS25-DB24,IF(A25&lt;'Données projet'!$A$140,$CQ$205^A25,IF(A25='Données projet'!$A$140,'Données projet'!$B$140,CT24+CS25-DB24)))</f>
        <v>83.4</v>
      </c>
      <c r="CU25" s="17">
        <f>CT25*VLOOKUP('Données projet'!$B$13,Paramètres!$A$1:$I$89,3,0)*VLOOKUP('Données projet'!$B$13,Paramètres!$A$1:$I$89,5,0)</f>
        <v>65.052000000000007</v>
      </c>
      <c r="CV25" s="13">
        <f t="shared" si="41"/>
        <v>18.439501591054679</v>
      </c>
      <c r="CW25" s="20">
        <f t="shared" si="13"/>
        <v>145.41436527108689</v>
      </c>
      <c r="CX25" s="59">
        <f t="shared" si="14"/>
        <v>438.74769860442018</v>
      </c>
      <c r="CY25" s="59">
        <f ca="1">AVERAGE(OFFSET($CX$3,0,0,'Données projet'!$E$13+1,1))-AVERAGE(OFFSET($H$3,0,0,'Données projet'!$E$13+1,1))</f>
        <v>261.59434871103355</v>
      </c>
      <c r="CZ25" s="59">
        <f t="shared" si="42"/>
        <v>194.97518096665976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2.9698419436264567</v>
      </c>
      <c r="DH25" s="21">
        <f>EXP(-LN(2)/2)*DH24+(1-EXP(-LN(2)/2))/(LN(2)/2)*DB25*DE25*VLOOKUP('Données projet'!$B$13,Paramètres!$A$1:$I$89,3,0)*0.475*44/12</f>
        <v>3.1277917219168621</v>
      </c>
      <c r="DI25" s="22">
        <f t="shared" si="15"/>
        <v>6.0976336655433183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6.3</v>
      </c>
      <c r="N26" s="13">
        <f>IF('Données projet'!$A$36&gt;35,N25+M26-V25,IF(A26&lt;'Données projet'!$A$36,$K$205^A26,IF(A26='Données projet'!$A$36,'Données projet'!$B$36,N25+M26-V25)))</f>
        <v>60.899999999999991</v>
      </c>
      <c r="O26" s="13">
        <f>N26*VLOOKUP('Données projet'!$B$9,Paramètres!$A$1:$I$89,3,0)*VLOOKUP('Données projet'!$B$9,Paramètres!$A$1:$I$89,5,0)</f>
        <v>55.102319999999992</v>
      </c>
      <c r="P26" s="13">
        <f t="shared" si="33"/>
        <v>15.923912218988239</v>
      </c>
      <c r="Q26" s="20">
        <f t="shared" si="2"/>
        <v>123.70402111473783</v>
      </c>
      <c r="R26" s="59">
        <f t="shared" si="0"/>
        <v>417.03735444807114</v>
      </c>
      <c r="S26" s="59">
        <f ca="1">AVERAGE(OFFSET($R$3,0,0,'Données projet'!$E$9+1,1))-AVERAGE(OFFSET($H$3,0,0,'Données projet'!$E$9+1,1))</f>
        <v>237.22177246688199</v>
      </c>
      <c r="T26" s="59">
        <f t="shared" si="34"/>
        <v>149.27472147904302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13.4</v>
      </c>
      <c r="AI26" s="13">
        <f>IF('Données projet'!$A$62&gt;35,AI25+AH26-AQ25,IF(A26&lt;'Données projet'!$A$62,$AF$205^A26,IF(A26='Données projet'!$A$62,'Données projet'!$B$62,AI25+AH26-AQ25)))</f>
        <v>134.20000000000002</v>
      </c>
      <c r="AJ26" s="13">
        <f>AI26*VLOOKUP('Données projet'!$B$10,Paramètres!$A$1:$I$89,3,0)*VLOOKUP('Données projet'!$B$10,Paramètres!$A$1:$I$89,5,0)</f>
        <v>117.23712000000003</v>
      </c>
      <c r="AK26" s="13">
        <f t="shared" si="35"/>
        <v>31.029731926851252</v>
      </c>
      <c r="AL26" s="20">
        <f t="shared" si="4"/>
        <v>258.2314337725993</v>
      </c>
      <c r="AM26" s="59">
        <f t="shared" si="5"/>
        <v>551.56476710593256</v>
      </c>
      <c r="AN26" s="59">
        <f ca="1">AVERAGE(OFFSET($AM$3,0,0,'Données projet'!$E$10+1,1))-AVERAGE(OFFSET($H$3,0,0,'Données projet'!$E$10+1,1))</f>
        <v>243.38048563215585</v>
      </c>
      <c r="AO26" s="59">
        <f t="shared" si="36"/>
        <v>372.1604147006675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5.8312420315791345</v>
      </c>
      <c r="AW26" s="21">
        <f>EXP(-LN(2)/2)*AW25+(1-EXP(-LN(2)/2))/(LN(2)/2)*AQ26*AT26*VLOOKUP('Données projet'!$B$10,Paramètres!$A$1:$I$89,3,0)*0.475*44/12</f>
        <v>3.4032455371242238</v>
      </c>
      <c r="AX26" s="21">
        <f t="shared" si="6"/>
        <v>9.2344875687033579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22.2</v>
      </c>
      <c r="BD26" s="12">
        <f>IF('Données projet'!$A$88&gt;35,BD25+BC26-BL25,IF(A26&lt;'Données projet'!$A$88,$BA$205^A26,IF(A26='Données projet'!$A$88,'Données projet'!$B$88,BD25+BC26-BL25)))</f>
        <v>165.59999999999997</v>
      </c>
      <c r="BE26" s="13">
        <f>BD26*VLOOKUP('Données projet'!$B$11,Paramètres!$A$1:$I$89,3,0)*VLOOKUP('Données projet'!$B$11,Paramètres!$A$1:$I$89,5,0)</f>
        <v>92.570399999999978</v>
      </c>
      <c r="BF26" s="13">
        <f t="shared" si="37"/>
        <v>25.184123943972491</v>
      </c>
      <c r="BG26" s="20">
        <f t="shared" si="7"/>
        <v>205.08912920241869</v>
      </c>
      <c r="BH26" s="59">
        <f t="shared" si="8"/>
        <v>498.422462535752</v>
      </c>
      <c r="BI26" s="59">
        <f ca="1">AVERAGE(OFFSET($BH$3,0,0,'Données projet'!$E$11+1,1))-AVERAGE(OFFSET($H$3,0,0,'Données projet'!$E$11+1,1))</f>
        <v>326.31232746914907</v>
      </c>
      <c r="BJ26" s="59">
        <f t="shared" si="38"/>
        <v>330.17137761430297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11.775421184906168</v>
      </c>
      <c r="BR26" s="21">
        <f>EXP(-LN(2)/2)*BR25+(1-EXP(-LN(2)/2))/(LN(2)/2)*BL26*BO26*VLOOKUP('Données projet'!$B$11,Paramètres!$A$1:$I$89,3,0)*0.475*44/12</f>
        <v>7.0487629808683252</v>
      </c>
      <c r="BS26" s="22">
        <f t="shared" si="9"/>
        <v>18.824184165774493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16.600000000000001</v>
      </c>
      <c r="BY26" s="12">
        <f>IF('Données projet'!$A$114&gt;35,BY25+BX26-CG25,IF(A26&lt;'Données projet'!$A$114,$BV$205^A26,IF(A26='Données projet'!$A$114,'Données projet'!$B$114,BY25+BX26-CG25)))</f>
        <v>130.79999999999998</v>
      </c>
      <c r="BZ26" s="13">
        <f>BY26*VLOOKUP('Données projet'!$B$12,Paramètres!$A$1:$I$89,3,0)*VLOOKUP('Données projet'!$B$12,Paramètres!$A$1:$I$89,5,0)</f>
        <v>104.06448</v>
      </c>
      <c r="CA26" s="13">
        <f t="shared" si="39"/>
        <v>27.928047224076721</v>
      </c>
      <c r="CB26" s="20">
        <f t="shared" si="10"/>
        <v>229.88698491526694</v>
      </c>
      <c r="CC26" s="59">
        <f t="shared" si="11"/>
        <v>523.22031824860028</v>
      </c>
      <c r="CD26" s="59">
        <f ca="1">AVERAGE(OFFSET($CC$3,0,0,'Données projet'!$E$12+1,1))-AVERAGE(OFFSET($H$3,0,0,'Données projet'!$E$12+1,1))</f>
        <v>314.94704727988847</v>
      </c>
      <c r="CE26" s="59">
        <f t="shared" si="40"/>
        <v>366.49199094166454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9.538863170338912</v>
      </c>
      <c r="CM26" s="21">
        <f>EXP(-LN(2)/2)*CM25+(1-EXP(-LN(2)/2))/(LN(2)/2)*CG26*CJ26*VLOOKUP('Données projet'!$B$12,Paramètres!$A$1:$I$89,3,0)*0.475*44/12</f>
        <v>5.5879546644601721</v>
      </c>
      <c r="CN26" s="22">
        <f t="shared" si="12"/>
        <v>15.126817834799084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8.1999999999999993</v>
      </c>
      <c r="CT26" s="12">
        <f>IF('Données projet'!$A$140&gt;35,CT25+CS26-DB25,IF(A26&lt;'Données projet'!$A$140,$CQ$205^A26,IF(A26='Données projet'!$A$140,'Données projet'!$B$140,CT25+CS26-DB25)))</f>
        <v>91.600000000000009</v>
      </c>
      <c r="CU26" s="17">
        <f>CT26*VLOOKUP('Données projet'!$B$13,Paramètres!$A$1:$I$89,3,0)*VLOOKUP('Données projet'!$B$13,Paramètres!$A$1:$I$89,5,0)</f>
        <v>71.448000000000008</v>
      </c>
      <c r="CV26" s="13">
        <f t="shared" si="41"/>
        <v>20.03261738899662</v>
      </c>
      <c r="CW26" s="20">
        <f t="shared" si="13"/>
        <v>159.32874195250244</v>
      </c>
      <c r="CX26" s="59">
        <f t="shared" si="14"/>
        <v>452.66207528583573</v>
      </c>
      <c r="CY26" s="59">
        <f ca="1">AVERAGE(OFFSET($CX$3,0,0,'Données projet'!$E$13+1,1))-AVERAGE(OFFSET($H$3,0,0,'Données projet'!$E$13+1,1))</f>
        <v>261.59434871103355</v>
      </c>
      <c r="CZ26" s="59">
        <f t="shared" si="42"/>
        <v>194.97518096665976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2.8886314595007909</v>
      </c>
      <c r="DH26" s="21">
        <f>EXP(-LN(2)/2)*DH25+(1-EXP(-LN(2)/2))/(LN(2)/2)*DB26*DE26*VLOOKUP('Données projet'!$B$13,Paramètres!$A$1:$I$89,3,0)*0.475*44/12</f>
        <v>2.2116827367065612</v>
      </c>
      <c r="DI26" s="22">
        <f t="shared" si="15"/>
        <v>5.1003141962073517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6.3</v>
      </c>
      <c r="N27" s="13">
        <f>IF('Données projet'!$A$36&gt;35,N26+M27-V26,IF(A27&lt;'Données projet'!$A$36,$K$205^A27,IF(A27='Données projet'!$A$36,'Données projet'!$B$36,N26+M27-V26)))</f>
        <v>67.199999999999989</v>
      </c>
      <c r="O27" s="13">
        <f>N27*VLOOKUP('Données projet'!$B$9,Paramètres!$A$1:$I$89,3,0)*VLOOKUP('Données projet'!$B$9,Paramètres!$A$1:$I$89,5,0)</f>
        <v>60.802559999999993</v>
      </c>
      <c r="P27" s="13">
        <f t="shared" si="33"/>
        <v>17.371024177726472</v>
      </c>
      <c r="Q27" s="20">
        <f t="shared" si="2"/>
        <v>136.15232577620694</v>
      </c>
      <c r="R27" s="59">
        <f t="shared" si="0"/>
        <v>429.48565910954028</v>
      </c>
      <c r="S27" s="59">
        <f ca="1">AVERAGE(OFFSET($R$3,0,0,'Données projet'!$E$9+1,1))-AVERAGE(OFFSET($H$3,0,0,'Données projet'!$E$9+1,1))</f>
        <v>237.22177246688199</v>
      </c>
      <c r="T27" s="59">
        <f t="shared" si="34"/>
        <v>149.27472147904302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13.4</v>
      </c>
      <c r="AI27" s="13">
        <f>IF('Données projet'!$A$62&gt;35,AI26+AH27-AQ26,IF(A27&lt;'Données projet'!$A$62,$AF$205^A27,IF(A27='Données projet'!$A$62,'Données projet'!$B$62,AI26+AH27-AQ26)))</f>
        <v>147.60000000000002</v>
      </c>
      <c r="AJ27" s="13">
        <f>AI27*VLOOKUP('Données projet'!$B$10,Paramètres!$A$1:$I$89,3,0)*VLOOKUP('Données projet'!$B$10,Paramètres!$A$1:$I$89,5,0)</f>
        <v>128.94336000000004</v>
      </c>
      <c r="AK27" s="13">
        <f t="shared" si="35"/>
        <v>33.752085002132198</v>
      </c>
      <c r="AL27" s="20">
        <f t="shared" si="4"/>
        <v>283.36123337871362</v>
      </c>
      <c r="AM27" s="59">
        <f t="shared" si="5"/>
        <v>576.69456671204694</v>
      </c>
      <c r="AN27" s="59">
        <f ca="1">AVERAGE(OFFSET($AM$3,0,0,'Données projet'!$E$10+1,1))-AVERAGE(OFFSET($H$3,0,0,'Données projet'!$E$10+1,1))</f>
        <v>243.38048563215585</v>
      </c>
      <c r="AO27" s="59">
        <f t="shared" si="36"/>
        <v>372.1604147006675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5.6717864115739118</v>
      </c>
      <c r="AW27" s="21">
        <f>EXP(-LN(2)/2)*AW26+(1-EXP(-LN(2)/2))/(LN(2)/2)*AQ27*AT27*VLOOKUP('Données projet'!$B$10,Paramètres!$A$1:$I$89,3,0)*0.475*44/12</f>
        <v>2.4064579973433933</v>
      </c>
      <c r="AX27" s="21">
        <f t="shared" si="6"/>
        <v>8.0782444089173051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22.2</v>
      </c>
      <c r="BD27" s="12">
        <f>IF('Données projet'!$A$88&gt;35,BD26+BC27-BL26,IF(A27&lt;'Données projet'!$A$88,$BA$205^A27,IF(A27='Données projet'!$A$88,'Données projet'!$B$88,BD26+BC27-BL26)))</f>
        <v>187.79999999999995</v>
      </c>
      <c r="BE27" s="13">
        <f>BD27*VLOOKUP('Données projet'!$B$11,Paramètres!$A$1:$I$89,3,0)*VLOOKUP('Données projet'!$B$11,Paramètres!$A$1:$I$89,5,0)</f>
        <v>104.98019999999997</v>
      </c>
      <c r="BF27" s="13">
        <f t="shared" si="37"/>
        <v>28.145084690033578</v>
      </c>
      <c r="BG27" s="20">
        <f t="shared" si="7"/>
        <v>231.85987083514172</v>
      </c>
      <c r="BH27" s="59">
        <f t="shared" si="8"/>
        <v>525.19320416847506</v>
      </c>
      <c r="BI27" s="59">
        <f ca="1">AVERAGE(OFFSET($BH$3,0,0,'Données projet'!$E$11+1,1))-AVERAGE(OFFSET($H$3,0,0,'Données projet'!$E$11+1,1))</f>
        <v>326.31232746914907</v>
      </c>
      <c r="BJ27" s="59">
        <f t="shared" si="38"/>
        <v>330.17137761430297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11.453421673362422</v>
      </c>
      <c r="BR27" s="21">
        <f>EXP(-LN(2)/2)*BR26+(1-EXP(-LN(2)/2))/(LN(2)/2)*BL27*BO27*VLOOKUP('Données projet'!$B$11,Paramètres!$A$1:$I$89,3,0)*0.475*44/12</f>
        <v>4.9842281027486957</v>
      </c>
      <c r="BS27" s="22">
        <f t="shared" si="9"/>
        <v>16.437649776111119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16.600000000000001</v>
      </c>
      <c r="BY27" s="12">
        <f>IF('Données projet'!$A$114&gt;35,BY26+BX27-CG26,IF(A27&lt;'Données projet'!$A$114,$BV$205^A27,IF(A27='Données projet'!$A$114,'Données projet'!$B$114,BY26+BX27-CG26)))</f>
        <v>147.39999999999998</v>
      </c>
      <c r="BZ27" s="13">
        <f>BY27*VLOOKUP('Données projet'!$B$12,Paramètres!$A$1:$I$89,3,0)*VLOOKUP('Données projet'!$B$12,Paramètres!$A$1:$I$89,5,0)</f>
        <v>117.27144</v>
      </c>
      <c r="CA27" s="13">
        <f t="shared" si="39"/>
        <v>31.037758098997106</v>
      </c>
      <c r="CB27" s="20">
        <f t="shared" si="10"/>
        <v>258.30518668908661</v>
      </c>
      <c r="CC27" s="59">
        <f t="shared" si="11"/>
        <v>551.63852002241993</v>
      </c>
      <c r="CD27" s="59">
        <f ca="1">AVERAGE(OFFSET($CC$3,0,0,'Données projet'!$E$12+1,1))-AVERAGE(OFFSET($H$3,0,0,'Données projet'!$E$12+1,1))</f>
        <v>314.94704727988847</v>
      </c>
      <c r="CE27" s="59">
        <f t="shared" si="40"/>
        <v>366.49199094166454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9.2780224553189825</v>
      </c>
      <c r="CM27" s="21">
        <f>EXP(-LN(2)/2)*CM26+(1-EXP(-LN(2)/2))/(LN(2)/2)*CG27*CJ27*VLOOKUP('Données projet'!$B$12,Paramètres!$A$1:$I$89,3,0)*0.475*44/12</f>
        <v>3.9512806362027866</v>
      </c>
      <c r="CN27" s="22">
        <f t="shared" si="12"/>
        <v>13.22930309152177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8.1999999999999993</v>
      </c>
      <c r="CT27" s="12">
        <f>IF('Données projet'!$A$140&gt;35,CT26+CS27-DB26,IF(A27&lt;'Données projet'!$A$140,$CQ$205^A27,IF(A27='Données projet'!$A$140,'Données projet'!$B$140,CT26+CS27-DB26)))</f>
        <v>99.800000000000011</v>
      </c>
      <c r="CU27" s="17">
        <f>CT27*VLOOKUP('Données projet'!$B$13,Paramètres!$A$1:$I$89,3,0)*VLOOKUP('Données projet'!$B$13,Paramètres!$A$1:$I$89,5,0)</f>
        <v>77.844000000000008</v>
      </c>
      <c r="CV27" s="13">
        <f t="shared" si="41"/>
        <v>21.609195673142153</v>
      </c>
      <c r="CW27" s="20">
        <f t="shared" si="13"/>
        <v>173.21431579738928</v>
      </c>
      <c r="CX27" s="59">
        <f t="shared" si="14"/>
        <v>466.54764913072256</v>
      </c>
      <c r="CY27" s="59">
        <f ca="1">AVERAGE(OFFSET($CX$3,0,0,'Données projet'!$E$13+1,1))-AVERAGE(OFFSET($H$3,0,0,'Données projet'!$E$13+1,1))</f>
        <v>261.59434871103355</v>
      </c>
      <c r="CZ27" s="59">
        <f t="shared" si="42"/>
        <v>194.97518096665976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2.8096416803342152</v>
      </c>
      <c r="DH27" s="21">
        <f>EXP(-LN(2)/2)*DH26+(1-EXP(-LN(2)/2))/(LN(2)/2)*DB27*DE27*VLOOKUP('Données projet'!$B$13,Paramètres!$A$1:$I$89,3,0)*0.475*44/12</f>
        <v>1.563895860958431</v>
      </c>
      <c r="DI27" s="22">
        <f t="shared" si="15"/>
        <v>4.373537541292646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6.3</v>
      </c>
      <c r="N28" s="13">
        <f>IF('Données projet'!$A$36&gt;35,N27+M28-V27,IF(A28&lt;'Données projet'!$A$36,$K$205^A28,IF(A28='Données projet'!$A$36,'Données projet'!$B$36,N27+M28-V27)))</f>
        <v>73.499999999999986</v>
      </c>
      <c r="O28" s="13">
        <f>N28*VLOOKUP('Données projet'!$B$9,Paramètres!$A$1:$I$89,3,0)*VLOOKUP('Données projet'!$B$9,Paramètres!$A$1:$I$89,5,0)</f>
        <v>66.502799999999979</v>
      </c>
      <c r="P28" s="13">
        <f t="shared" si="33"/>
        <v>18.802406075407909</v>
      </c>
      <c r="Q28" s="20">
        <f t="shared" si="2"/>
        <v>148.57323391466869</v>
      </c>
      <c r="R28" s="59">
        <f t="shared" si="0"/>
        <v>441.90656724800203</v>
      </c>
      <c r="S28" s="59">
        <f ca="1">AVERAGE(OFFSET($R$3,0,0,'Données projet'!$E$9+1,1))-AVERAGE(OFFSET($H$3,0,0,'Données projet'!$E$9+1,1))</f>
        <v>237.22177246688199</v>
      </c>
      <c r="T28" s="59">
        <f t="shared" si="34"/>
        <v>149.27472147904302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13.4</v>
      </c>
      <c r="AI28" s="13">
        <f>IF('Données projet'!$A$62&gt;35,AI27+AH28-AQ27,IF(A28&lt;'Données projet'!$A$62,$AF$205^A28,IF(A28='Données projet'!$A$62,'Données projet'!$B$62,AI27+AH28-AQ27)))</f>
        <v>161.00000000000003</v>
      </c>
      <c r="AJ28" s="13">
        <f>AI28*VLOOKUP('Données projet'!$B$10,Paramètres!$A$1:$I$89,3,0)*VLOOKUP('Données projet'!$B$10,Paramètres!$A$1:$I$89,5,0)</f>
        <v>140.64960000000005</v>
      </c>
      <c r="AK28" s="13">
        <f t="shared" si="35"/>
        <v>36.445779615258637</v>
      </c>
      <c r="AL28" s="20">
        <f t="shared" si="4"/>
        <v>308.44111949657554</v>
      </c>
      <c r="AM28" s="59">
        <f t="shared" si="5"/>
        <v>601.7744528299088</v>
      </c>
      <c r="AN28" s="59">
        <f ca="1">AVERAGE(OFFSET($AM$3,0,0,'Données projet'!$E$10+1,1))-AVERAGE(OFFSET($H$3,0,0,'Données projet'!$E$10+1,1))</f>
        <v>243.38048563215585</v>
      </c>
      <c r="AO28" s="59">
        <f t="shared" si="36"/>
        <v>372.1604147006675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5.5166911138831392</v>
      </c>
      <c r="AW28" s="21">
        <f>EXP(-LN(2)/2)*AW27+(1-EXP(-LN(2)/2))/(LN(2)/2)*AQ28*AT28*VLOOKUP('Données projet'!$B$10,Paramètres!$A$1:$I$89,3,0)*0.475*44/12</f>
        <v>1.7016227685621124</v>
      </c>
      <c r="AX28" s="21">
        <f t="shared" si="6"/>
        <v>7.2183138824452513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22.2</v>
      </c>
      <c r="BD28" s="12">
        <f>IF('Données projet'!$A$88&gt;35,BD27+BC28-BL27,IF(A28&lt;'Données projet'!$A$88,$BA$205^A28,IF(A28='Données projet'!$A$88,'Données projet'!$B$88,BD27+BC28-BL27)))</f>
        <v>209.99999999999994</v>
      </c>
      <c r="BE28" s="13">
        <f>BD28*VLOOKUP('Données projet'!$B$11,Paramètres!$A$1:$I$89,3,0)*VLOOKUP('Données projet'!$B$11,Paramètres!$A$1:$I$89,5,0)</f>
        <v>117.38999999999996</v>
      </c>
      <c r="BF28" s="13">
        <f t="shared" si="37"/>
        <v>31.065482772413461</v>
      </c>
      <c r="BG28" s="20">
        <f t="shared" si="7"/>
        <v>258.55996582862002</v>
      </c>
      <c r="BH28" s="59">
        <f t="shared" si="8"/>
        <v>551.89329916195334</v>
      </c>
      <c r="BI28" s="59">
        <f ca="1">AVERAGE(OFFSET($BH$3,0,0,'Données projet'!$E$11+1,1))-AVERAGE(OFFSET($H$3,0,0,'Données projet'!$E$11+1,1))</f>
        <v>326.31232746914907</v>
      </c>
      <c r="BJ28" s="59">
        <f t="shared" si="38"/>
        <v>330.17137761430297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11.140227255395057</v>
      </c>
      <c r="BR28" s="21">
        <f>EXP(-LN(2)/2)*BR27+(1-EXP(-LN(2)/2))/(LN(2)/2)*BL28*BO28*VLOOKUP('Données projet'!$B$11,Paramètres!$A$1:$I$89,3,0)*0.475*44/12</f>
        <v>3.524381490434163</v>
      </c>
      <c r="BS28" s="22">
        <f t="shared" si="9"/>
        <v>14.66460874582922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16.600000000000001</v>
      </c>
      <c r="BY28" s="12">
        <f>IF('Données projet'!$A$114&gt;35,BY27+BX28-CG27,IF(A28&lt;'Données projet'!$A$114,$BV$205^A28,IF(A28='Données projet'!$A$114,'Données projet'!$B$114,BY27+BX28-CG27)))</f>
        <v>163.99999999999997</v>
      </c>
      <c r="BZ28" s="13">
        <f>BY28*VLOOKUP('Données projet'!$B$12,Paramètres!$A$1:$I$89,3,0)*VLOOKUP('Données projet'!$B$12,Paramètres!$A$1:$I$89,5,0)</f>
        <v>130.47839999999999</v>
      </c>
      <c r="CA28" s="13">
        <f t="shared" si="39"/>
        <v>34.106879882626828</v>
      </c>
      <c r="CB28" s="20">
        <f t="shared" si="10"/>
        <v>286.65269579557503</v>
      </c>
      <c r="CC28" s="59">
        <f t="shared" si="11"/>
        <v>579.98602912890829</v>
      </c>
      <c r="CD28" s="59">
        <f ca="1">AVERAGE(OFFSET($CC$3,0,0,'Données projet'!$E$12+1,1))-AVERAGE(OFFSET($H$3,0,0,'Données projet'!$E$12+1,1))</f>
        <v>314.94704727988847</v>
      </c>
      <c r="CE28" s="59">
        <f t="shared" si="40"/>
        <v>366.49199094166454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9.02431444336829</v>
      </c>
      <c r="CM28" s="21">
        <f>EXP(-LN(2)/2)*CM27+(1-EXP(-LN(2)/2))/(LN(2)/2)*CG28*CJ28*VLOOKUP('Données projet'!$B$12,Paramètres!$A$1:$I$89,3,0)*0.475*44/12</f>
        <v>2.7939773322300865</v>
      </c>
      <c r="CN28" s="22">
        <f t="shared" si="12"/>
        <v>11.818291775598377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8.1999999999999993</v>
      </c>
      <c r="CT28" s="12">
        <f>IF('Données projet'!$A$140&gt;35,CT27+CS28-DB27,IF(A28&lt;'Données projet'!$A$140,$CQ$205^A28,IF(A28='Données projet'!$A$140,'Données projet'!$B$140,CT27+CS28-DB27)))</f>
        <v>108.00000000000001</v>
      </c>
      <c r="CU28" s="17">
        <f>CT28*VLOOKUP('Données projet'!$B$13,Paramètres!$A$1:$I$89,3,0)*VLOOKUP('Données projet'!$B$13,Paramètres!$A$1:$I$89,5,0)</f>
        <v>84.240000000000009</v>
      </c>
      <c r="CV28" s="13">
        <f t="shared" si="41"/>
        <v>23.170749718409468</v>
      </c>
      <c r="CW28" s="20">
        <f t="shared" si="13"/>
        <v>187.07372242622981</v>
      </c>
      <c r="CX28" s="59">
        <f t="shared" si="14"/>
        <v>480.40705575956315</v>
      </c>
      <c r="CY28" s="59">
        <f ca="1">AVERAGE(OFFSET($CX$3,0,0,'Données projet'!$E$13+1,1))-AVERAGE(OFFSET($H$3,0,0,'Données projet'!$E$13+1,1))</f>
        <v>261.59434871103355</v>
      </c>
      <c r="CZ28" s="59">
        <f t="shared" si="42"/>
        <v>194.97518096665976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2.7328118808328417</v>
      </c>
      <c r="DH28" s="21">
        <f>EXP(-LN(2)/2)*DH27+(1-EXP(-LN(2)/2))/(LN(2)/2)*DB28*DE28*VLOOKUP('Données projet'!$B$13,Paramètres!$A$1:$I$89,3,0)*0.475*44/12</f>
        <v>1.1058413683532806</v>
      </c>
      <c r="DI28" s="22">
        <f t="shared" si="15"/>
        <v>3.8386532491861223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6.3</v>
      </c>
      <c r="N29" s="13">
        <f>IF('Données projet'!$A$36&gt;35,N28+M29-V28,IF(A29&lt;'Données projet'!$A$36,$K$205^A29,IF(A29='Données projet'!$A$36,'Données projet'!$B$36,N28+M29-V28)))</f>
        <v>79.799999999999983</v>
      </c>
      <c r="O29" s="13">
        <f>N29*VLOOKUP('Données projet'!$B$9,Paramètres!$A$1:$I$89,3,0)*VLOOKUP('Données projet'!$B$9,Paramètres!$A$1:$I$89,5,0)</f>
        <v>72.203039999999973</v>
      </c>
      <c r="P29" s="13">
        <f t="shared" si="33"/>
        <v>20.219559499787128</v>
      </c>
      <c r="Q29" s="20">
        <f t="shared" si="2"/>
        <v>160.96936079546251</v>
      </c>
      <c r="R29" s="59">
        <f t="shared" si="0"/>
        <v>454.30269412879579</v>
      </c>
      <c r="S29" s="59">
        <f ca="1">AVERAGE(OFFSET($R$3,0,0,'Données projet'!$E$9+1,1))-AVERAGE(OFFSET($H$3,0,0,'Données projet'!$E$9+1,1))</f>
        <v>237.22177246688199</v>
      </c>
      <c r="T29" s="59">
        <f t="shared" si="34"/>
        <v>149.27472147904302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13.4</v>
      </c>
      <c r="AI29" s="13">
        <f>IF('Données projet'!$A$62&gt;35,AI28+AH29-AQ28,IF(A29&lt;'Données projet'!$A$62,$AF$205^A29,IF(A29='Données projet'!$A$62,'Données projet'!$B$62,AI28+AH29-AQ28)))</f>
        <v>174.40000000000003</v>
      </c>
      <c r="AJ29" s="13">
        <f>AI29*VLOOKUP('Données projet'!$B$10,Paramètres!$A$1:$I$89,3,0)*VLOOKUP('Données projet'!$B$10,Paramètres!$A$1:$I$89,5,0)</f>
        <v>152.35584000000006</v>
      </c>
      <c r="AK29" s="13">
        <f t="shared" si="35"/>
        <v>39.11347218476763</v>
      </c>
      <c r="AL29" s="20">
        <f t="shared" si="4"/>
        <v>333.47571872180373</v>
      </c>
      <c r="AM29" s="59">
        <f t="shared" si="5"/>
        <v>626.80905205513704</v>
      </c>
      <c r="AN29" s="59">
        <f ca="1">AVERAGE(OFFSET($AM$3,0,0,'Données projet'!$E$10+1,1))-AVERAGE(OFFSET($H$3,0,0,'Données projet'!$E$10+1,1))</f>
        <v>243.38048563215585</v>
      </c>
      <c r="AO29" s="59">
        <f t="shared" si="36"/>
        <v>372.1604147006675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5.3658369052638273</v>
      </c>
      <c r="AW29" s="21">
        <f>EXP(-LN(2)/2)*AW28+(1-EXP(-LN(2)/2))/(LN(2)/2)*AQ29*AT29*VLOOKUP('Données projet'!$B$10,Paramètres!$A$1:$I$89,3,0)*0.475*44/12</f>
        <v>1.2032289986716969</v>
      </c>
      <c r="AX29" s="21">
        <f t="shared" si="6"/>
        <v>6.5690659039355239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22.2</v>
      </c>
      <c r="BD29" s="12">
        <f>IF('Données projet'!$A$88&gt;35,BD28+BC29-BL28,IF(A29&lt;'Données projet'!$A$88,$BA$205^A29,IF(A29='Données projet'!$A$88,'Données projet'!$B$88,BD28+BC29-BL28)))</f>
        <v>232.19999999999993</v>
      </c>
      <c r="BE29" s="13">
        <f>BD29*VLOOKUP('Données projet'!$B$11,Paramètres!$A$1:$I$89,3,0)*VLOOKUP('Données projet'!$B$11,Paramètres!$A$1:$I$89,5,0)</f>
        <v>129.79979999999998</v>
      </c>
      <c r="BF29" s="13">
        <f t="shared" si="37"/>
        <v>33.950094841766401</v>
      </c>
      <c r="BG29" s="20">
        <f t="shared" si="7"/>
        <v>285.19773351607643</v>
      </c>
      <c r="BH29" s="59">
        <f t="shared" si="8"/>
        <v>578.53106684940974</v>
      </c>
      <c r="BI29" s="59">
        <f ca="1">AVERAGE(OFFSET($BH$3,0,0,'Données projet'!$E$11+1,1))-AVERAGE(OFFSET($H$3,0,0,'Données projet'!$E$11+1,1))</f>
        <v>326.31232746914907</v>
      </c>
      <c r="BJ29" s="59">
        <f t="shared" si="38"/>
        <v>330.17137761430297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10.83559715525719</v>
      </c>
      <c r="BR29" s="21">
        <f>EXP(-LN(2)/2)*BR28+(1-EXP(-LN(2)/2))/(LN(2)/2)*BL29*BO29*VLOOKUP('Données projet'!$B$11,Paramètres!$A$1:$I$89,3,0)*0.475*44/12</f>
        <v>2.4921140513743483</v>
      </c>
      <c r="BS29" s="22">
        <f t="shared" si="9"/>
        <v>13.327711206631538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16.600000000000001</v>
      </c>
      <c r="BY29" s="12">
        <f>IF('Données projet'!$A$114&gt;35,BY28+BX29-CG28,IF(A29&lt;'Données projet'!$A$114,$BV$205^A29,IF(A29='Données projet'!$A$114,'Données projet'!$B$114,BY28+BX29-CG28)))</f>
        <v>180.59999999999997</v>
      </c>
      <c r="BZ29" s="13">
        <f>BY29*VLOOKUP('Données projet'!$B$12,Paramètres!$A$1:$I$89,3,0)*VLOOKUP('Données projet'!$B$12,Paramètres!$A$1:$I$89,5,0)</f>
        <v>143.68535999999997</v>
      </c>
      <c r="CA29" s="13">
        <f t="shared" si="39"/>
        <v>37.139988755891473</v>
      </c>
      <c r="CB29" s="20">
        <f t="shared" si="10"/>
        <v>314.93748241651093</v>
      </c>
      <c r="CC29" s="59">
        <f t="shared" si="11"/>
        <v>608.27081574984425</v>
      </c>
      <c r="CD29" s="59">
        <f ca="1">AVERAGE(OFFSET($CC$3,0,0,'Données projet'!$E$12+1,1))-AVERAGE(OFFSET($H$3,0,0,'Données projet'!$E$12+1,1))</f>
        <v>314.94704727988847</v>
      </c>
      <c r="CE29" s="59">
        <f t="shared" si="40"/>
        <v>366.49199094166454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8.7775440903463124</v>
      </c>
      <c r="CM29" s="21">
        <f>EXP(-LN(2)/2)*CM28+(1-EXP(-LN(2)/2))/(LN(2)/2)*CG29*CJ29*VLOOKUP('Données projet'!$B$12,Paramètres!$A$1:$I$89,3,0)*0.475*44/12</f>
        <v>1.9756403181013937</v>
      </c>
      <c r="CN29" s="22">
        <f t="shared" si="12"/>
        <v>10.753184408447707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8.1999999999999993</v>
      </c>
      <c r="CT29" s="12">
        <f>IF('Données projet'!$A$140&gt;35,CT28+CS29-DB28,IF(A29&lt;'Données projet'!$A$140,$CQ$205^A29,IF(A29='Données projet'!$A$140,'Données projet'!$B$140,CT28+CS29-DB28)))</f>
        <v>116.20000000000002</v>
      </c>
      <c r="CU29" s="17">
        <f>CT29*VLOOKUP('Données projet'!$B$13,Paramètres!$A$1:$I$89,3,0)*VLOOKUP('Données projet'!$B$13,Paramètres!$A$1:$I$89,5,0)</f>
        <v>90.63600000000001</v>
      </c>
      <c r="CV29" s="13">
        <f t="shared" si="41"/>
        <v>24.718549958973355</v>
      </c>
      <c r="CW29" s="20">
        <f t="shared" si="13"/>
        <v>200.9091745118786</v>
      </c>
      <c r="CX29" s="59">
        <f t="shared" si="14"/>
        <v>494.24250784521189</v>
      </c>
      <c r="CY29" s="59">
        <f ca="1">AVERAGE(OFFSET($CX$3,0,0,'Données projet'!$E$13+1,1))-AVERAGE(OFFSET($H$3,0,0,'Données projet'!$E$13+1,1))</f>
        <v>261.59434871103355</v>
      </c>
      <c r="CZ29" s="59">
        <f t="shared" si="42"/>
        <v>194.97518096665976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2.6580829962391368</v>
      </c>
      <c r="DH29" s="21">
        <f>EXP(-LN(2)/2)*DH28+(1-EXP(-LN(2)/2))/(LN(2)/2)*DB29*DE29*VLOOKUP('Données projet'!$B$13,Paramètres!$A$1:$I$89,3,0)*0.475*44/12</f>
        <v>0.78194793047921551</v>
      </c>
      <c r="DI29" s="22">
        <f t="shared" si="15"/>
        <v>3.4400309267183524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6.3</v>
      </c>
      <c r="N30" s="13">
        <f>IF('Données projet'!$A$36&gt;35,N29+M30-V29,IF(A30&lt;'Données projet'!$A$36,$K$205^A30,IF(A30='Données projet'!$A$36,'Données projet'!$B$36,N29+M30-V29)))</f>
        <v>86.09999999999998</v>
      </c>
      <c r="O30" s="13">
        <f>N30*VLOOKUP('Données projet'!$B$9,Paramètres!$A$1:$I$89,3,0)*VLOOKUP('Données projet'!$B$9,Paramètres!$A$1:$I$89,5,0)</f>
        <v>77.903279999999981</v>
      </c>
      <c r="P30" s="13">
        <f t="shared" si="33"/>
        <v>21.623735462576285</v>
      </c>
      <c r="Q30" s="20">
        <f t="shared" si="2"/>
        <v>173.342885263987</v>
      </c>
      <c r="R30" s="59">
        <f t="shared" si="0"/>
        <v>466.67621859732031</v>
      </c>
      <c r="S30" s="59">
        <f ca="1">AVERAGE(OFFSET($R$3,0,0,'Données projet'!$E$9+1,1))-AVERAGE(OFFSET($H$3,0,0,'Données projet'!$E$9+1,1))</f>
        <v>237.22177246688199</v>
      </c>
      <c r="T30" s="59">
        <f t="shared" si="34"/>
        <v>149.27472147904302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13.4</v>
      </c>
      <c r="AI30" s="13">
        <f>IF('Données projet'!$A$62&gt;35,AI29+AH30-AQ29,IF(A30&lt;'Données projet'!$A$62,$AF$205^A30,IF(A30='Données projet'!$A$62,'Données projet'!$B$62,AI29+AH30-AQ29)))</f>
        <v>187.80000000000004</v>
      </c>
      <c r="AJ30" s="13">
        <f>AI30*VLOOKUP('Données projet'!$B$10,Paramètres!$A$1:$I$89,3,0)*VLOOKUP('Données projet'!$B$10,Paramètres!$A$1:$I$89,5,0)</f>
        <v>164.06208000000007</v>
      </c>
      <c r="AK30" s="13">
        <f t="shared" si="35"/>
        <v>41.75738773013461</v>
      </c>
      <c r="AL30" s="20">
        <f t="shared" si="4"/>
        <v>358.46890629665114</v>
      </c>
      <c r="AM30" s="59">
        <f t="shared" si="5"/>
        <v>651.80223962998446</v>
      </c>
      <c r="AN30" s="59">
        <f ca="1">AVERAGE(OFFSET($AM$3,0,0,'Données projet'!$E$10+1,1))-AVERAGE(OFFSET($H$3,0,0,'Données projet'!$E$10+1,1))</f>
        <v>243.38048563215585</v>
      </c>
      <c r="AO30" s="59">
        <f t="shared" si="36"/>
        <v>372.1604147006675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5.2191078129122888</v>
      </c>
      <c r="AW30" s="21">
        <f>EXP(-LN(2)/2)*AW29+(1-EXP(-LN(2)/2))/(LN(2)/2)*AQ30*AT30*VLOOKUP('Données projet'!$B$10,Paramètres!$A$1:$I$89,3,0)*0.475*44/12</f>
        <v>0.85081138428105629</v>
      </c>
      <c r="AX30" s="21">
        <f t="shared" si="6"/>
        <v>6.0699191971933448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22.2</v>
      </c>
      <c r="BD30" s="12">
        <f>IF('Données projet'!$A$88&gt;35,BD29+BC30-BL29,IF(A30&lt;'Données projet'!$A$88,$BA$205^A30,IF(A30='Données projet'!$A$88,'Données projet'!$B$88,BD29+BC30-BL29)))</f>
        <v>254.39999999999992</v>
      </c>
      <c r="BE30" s="13">
        <f>BD30*VLOOKUP('Données projet'!$B$11,Paramètres!$A$1:$I$89,3,0)*VLOOKUP('Données projet'!$B$11,Paramètres!$A$1:$I$89,5,0)</f>
        <v>142.20959999999997</v>
      </c>
      <c r="BF30" s="13">
        <f t="shared" si="37"/>
        <v>36.802731569585617</v>
      </c>
      <c r="BG30" s="20">
        <f t="shared" si="7"/>
        <v>311.77981081702814</v>
      </c>
      <c r="BH30" s="59">
        <f t="shared" si="8"/>
        <v>605.11314415036145</v>
      </c>
      <c r="BI30" s="59">
        <f ca="1">AVERAGE(OFFSET($BH$3,0,0,'Données projet'!$E$11+1,1))-AVERAGE(OFFSET($H$3,0,0,'Données projet'!$E$11+1,1))</f>
        <v>326.31232746914907</v>
      </c>
      <c r="BJ30" s="59">
        <f t="shared" si="38"/>
        <v>330.17137761430297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10.539297181227393</v>
      </c>
      <c r="BR30" s="21">
        <f>EXP(-LN(2)/2)*BR29+(1-EXP(-LN(2)/2))/(LN(2)/2)*BL30*BO30*VLOOKUP('Données projet'!$B$11,Paramètres!$A$1:$I$89,3,0)*0.475*44/12</f>
        <v>1.762190745217082</v>
      </c>
      <c r="BS30" s="22">
        <f t="shared" si="9"/>
        <v>12.301487926444475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16.600000000000001</v>
      </c>
      <c r="BY30" s="12">
        <f>IF('Données projet'!$A$114&gt;35,BY29+BX30-CG29,IF(A30&lt;'Données projet'!$A$114,$BV$205^A30,IF(A30='Données projet'!$A$114,'Données projet'!$B$114,BY29+BX30-CG29)))</f>
        <v>197.19999999999996</v>
      </c>
      <c r="BZ30" s="13">
        <f>BY30*VLOOKUP('Données projet'!$B$12,Paramètres!$A$1:$I$89,3,0)*VLOOKUP('Données projet'!$B$12,Paramètres!$A$1:$I$89,5,0)</f>
        <v>156.89231999999998</v>
      </c>
      <c r="CA30" s="13">
        <f t="shared" si="39"/>
        <v>40.140771359113288</v>
      </c>
      <c r="CB30" s="20">
        <f t="shared" si="10"/>
        <v>343.16596745045558</v>
      </c>
      <c r="CC30" s="59">
        <f t="shared" si="11"/>
        <v>636.49930078378884</v>
      </c>
      <c r="CD30" s="59">
        <f ca="1">AVERAGE(OFFSET($CC$3,0,0,'Données projet'!$E$12+1,1))-AVERAGE(OFFSET($H$3,0,0,'Données projet'!$E$12+1,1))</f>
        <v>314.94704727988847</v>
      </c>
      <c r="CE30" s="59">
        <f t="shared" si="40"/>
        <v>366.49199094166454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8.5375216856048102</v>
      </c>
      <c r="CM30" s="21">
        <f>EXP(-LN(2)/2)*CM29+(1-EXP(-LN(2)/2))/(LN(2)/2)*CG30*CJ30*VLOOKUP('Données projet'!$B$12,Paramètres!$A$1:$I$89,3,0)*0.475*44/12</f>
        <v>1.3969886661150435</v>
      </c>
      <c r="CN30" s="22">
        <f t="shared" si="12"/>
        <v>9.9345103517198545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8.1999999999999993</v>
      </c>
      <c r="CT30" s="12">
        <f>IF('Données projet'!$A$140&gt;35,CT29+CS30-DB29,IF(A30&lt;'Données projet'!$A$140,$CQ$205^A30,IF(A30='Données projet'!$A$140,'Données projet'!$B$140,CT29+CS30-DB29)))</f>
        <v>124.40000000000002</v>
      </c>
      <c r="CU30" s="17">
        <f>CT30*VLOOKUP('Données projet'!$B$13,Paramètres!$A$1:$I$89,3,0)*VLOOKUP('Données projet'!$B$13,Paramètres!$A$1:$I$89,5,0)</f>
        <v>97.032000000000025</v>
      </c>
      <c r="CV30" s="13">
        <f t="shared" si="41"/>
        <v>26.253677368156847</v>
      </c>
      <c r="CW30" s="20">
        <f t="shared" si="13"/>
        <v>214.72255474953988</v>
      </c>
      <c r="CX30" s="59">
        <f t="shared" si="14"/>
        <v>508.0558880828732</v>
      </c>
      <c r="CY30" s="59">
        <f ca="1">AVERAGE(OFFSET($CX$3,0,0,'Données projet'!$E$13+1,1))-AVERAGE(OFFSET($H$3,0,0,'Données projet'!$E$13+1,1))</f>
        <v>261.59434871103355</v>
      </c>
      <c r="CZ30" s="59">
        <f t="shared" si="42"/>
        <v>194.97518096665976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2.5853975769244681</v>
      </c>
      <c r="DH30" s="21">
        <f>EXP(-LN(2)/2)*DH29+(1-EXP(-LN(2)/2))/(LN(2)/2)*DB30*DE30*VLOOKUP('Données projet'!$B$13,Paramètres!$A$1:$I$89,3,0)*0.475*44/12</f>
        <v>0.55292068417664031</v>
      </c>
      <c r="DI30" s="22">
        <f t="shared" si="15"/>
        <v>3.1383182611011087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6.3</v>
      </c>
      <c r="N31" s="13">
        <f>IF('Données projet'!$A$36&gt;35,N30+M31-V30,IF(A31&lt;'Données projet'!$A$36,$K$205^A31,IF(A31='Données projet'!$A$36,'Données projet'!$B$36,N30+M31-V30)))</f>
        <v>92.399999999999977</v>
      </c>
      <c r="O31" s="13">
        <f>N31*VLOOKUP('Données projet'!$B$9,Paramètres!$A$1:$I$89,3,0)*VLOOKUP('Données projet'!$B$9,Paramètres!$A$1:$I$89,5,0)</f>
        <v>83.603519999999975</v>
      </c>
      <c r="P31" s="13">
        <f t="shared" si="33"/>
        <v>23.015991519299678</v>
      </c>
      <c r="Q31" s="20">
        <f t="shared" si="2"/>
        <v>185.69564922944687</v>
      </c>
      <c r="R31" s="59">
        <f t="shared" si="0"/>
        <v>479.02898256278019</v>
      </c>
      <c r="S31" s="59">
        <f ca="1">AVERAGE(OFFSET($R$3,0,0,'Données projet'!$E$9+1,1))-AVERAGE(OFFSET($H$3,0,0,'Données projet'!$E$9+1,1))</f>
        <v>237.22177246688199</v>
      </c>
      <c r="T31" s="59">
        <f t="shared" si="34"/>
        <v>149.27472147904302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13.4</v>
      </c>
      <c r="AI31" s="13">
        <f>IF('Données projet'!$A$62&gt;35,AI30+AH31-AQ30,IF(A31&lt;'Données projet'!$A$62,$AF$205^A31,IF(A31='Données projet'!$A$62,'Données projet'!$B$62,AI30+AH31-AQ30)))</f>
        <v>201.20000000000005</v>
      </c>
      <c r="AJ31" s="13">
        <f>AI31*VLOOKUP('Données projet'!$B$10,Paramètres!$A$1:$I$89,3,0)*VLOOKUP('Données projet'!$B$10,Paramètres!$A$1:$I$89,5,0)</f>
        <v>175.76832000000007</v>
      </c>
      <c r="AK31" s="13">
        <f t="shared" si="35"/>
        <v>44.379415757690204</v>
      </c>
      <c r="AL31" s="20">
        <f t="shared" si="4"/>
        <v>383.42397311131054</v>
      </c>
      <c r="AM31" s="59">
        <f t="shared" si="5"/>
        <v>676.75730644464386</v>
      </c>
      <c r="AN31" s="59">
        <f ca="1">AVERAGE(OFFSET($AM$3,0,0,'Données projet'!$E$10+1,1))-AVERAGE(OFFSET($H$3,0,0,'Données projet'!$E$10+1,1))</f>
        <v>243.38048563215585</v>
      </c>
      <c r="AO31" s="59">
        <f t="shared" si="36"/>
        <v>372.1604147006675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5.0763910353072506</v>
      </c>
      <c r="AW31" s="21">
        <f>EXP(-LN(2)/2)*AW30+(1-EXP(-LN(2)/2))/(LN(2)/2)*AQ31*AT31*VLOOKUP('Données projet'!$B$10,Paramètres!$A$1:$I$89,3,0)*0.475*44/12</f>
        <v>0.60161449933584854</v>
      </c>
      <c r="AX31" s="21">
        <f t="shared" si="6"/>
        <v>5.6780055346430993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22.2</v>
      </c>
      <c r="BD31" s="12">
        <f>IF('Données projet'!$A$88&gt;35,BD30+BC31-BL30,IF(A31&lt;'Données projet'!$A$88,$BA$205^A31,IF(A31='Données projet'!$A$88,'Données projet'!$B$88,BD30+BC31-BL30)))</f>
        <v>276.59999999999991</v>
      </c>
      <c r="BE31" s="13">
        <f>BD31*VLOOKUP('Données projet'!$B$11,Paramètres!$A$1:$I$89,3,0)*VLOOKUP('Données projet'!$B$11,Paramètres!$A$1:$I$89,5,0)</f>
        <v>154.61939999999996</v>
      </c>
      <c r="BF31" s="13">
        <f t="shared" si="37"/>
        <v>39.626500524372794</v>
      </c>
      <c r="BG31" s="20">
        <f t="shared" si="7"/>
        <v>338.31161007994922</v>
      </c>
      <c r="BH31" s="59">
        <f t="shared" si="8"/>
        <v>631.64494341328259</v>
      </c>
      <c r="BI31" s="59">
        <f ca="1">AVERAGE(OFFSET($BH$3,0,0,'Données projet'!$E$11+1,1))-AVERAGE(OFFSET($H$3,0,0,'Données projet'!$E$11+1,1))</f>
        <v>326.31232746914907</v>
      </c>
      <c r="BJ31" s="59">
        <f t="shared" si="38"/>
        <v>330.17137761430297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10.251099545569179</v>
      </c>
      <c r="BR31" s="21">
        <f>EXP(-LN(2)/2)*BR30+(1-EXP(-LN(2)/2))/(LN(2)/2)*BL31*BO31*VLOOKUP('Données projet'!$B$11,Paramètres!$A$1:$I$89,3,0)*0.475*44/12</f>
        <v>1.2460570256871744</v>
      </c>
      <c r="BS31" s="22">
        <f t="shared" si="9"/>
        <v>11.497156571256353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16.600000000000001</v>
      </c>
      <c r="BY31" s="12">
        <f>IF('Données projet'!$A$114&gt;35,BY30+BX31-CG30,IF(A31&lt;'Données projet'!$A$114,$BV$205^A31,IF(A31='Données projet'!$A$114,'Données projet'!$B$114,BY30+BX31-CG30)))</f>
        <v>213.79999999999995</v>
      </c>
      <c r="BZ31" s="13">
        <f>BY31*VLOOKUP('Données projet'!$B$12,Paramètres!$A$1:$I$89,3,0)*VLOOKUP('Données projet'!$B$12,Paramètres!$A$1:$I$89,5,0)</f>
        <v>170.09927999999996</v>
      </c>
      <c r="CA31" s="13">
        <f t="shared" si="39"/>
        <v>43.112258247107711</v>
      </c>
      <c r="CB31" s="20">
        <f t="shared" si="10"/>
        <v>371.34342911371255</v>
      </c>
      <c r="CC31" s="59">
        <f t="shared" si="11"/>
        <v>664.6767624470458</v>
      </c>
      <c r="CD31" s="59">
        <f ca="1">AVERAGE(OFFSET($CC$3,0,0,'Données projet'!$E$12+1,1))-AVERAGE(OFFSET($H$3,0,0,'Données projet'!$E$12+1,1))</f>
        <v>314.94704727988847</v>
      </c>
      <c r="CE31" s="59">
        <f t="shared" si="40"/>
        <v>366.49199094166454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8.3040627061431938</v>
      </c>
      <c r="CM31" s="21">
        <f>EXP(-LN(2)/2)*CM30+(1-EXP(-LN(2)/2))/(LN(2)/2)*CG31*CJ31*VLOOKUP('Données projet'!$B$12,Paramètres!$A$1:$I$89,3,0)*0.475*44/12</f>
        <v>0.98782015905069698</v>
      </c>
      <c r="CN31" s="22">
        <f t="shared" si="12"/>
        <v>9.291882865193891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8.1999999999999993</v>
      </c>
      <c r="CT31" s="12">
        <f>IF('Données projet'!$A$140&gt;35,CT30+CS31-DB30,IF(A31&lt;'Données projet'!$A$140,$CQ$205^A31,IF(A31='Données projet'!$A$140,'Données projet'!$B$140,CT30+CS31-DB30)))</f>
        <v>132.60000000000002</v>
      </c>
      <c r="CU31" s="17">
        <f>CT31*VLOOKUP('Données projet'!$B$13,Paramètres!$A$1:$I$89,3,0)*VLOOKUP('Données projet'!$B$13,Paramètres!$A$1:$I$89,5,0)</f>
        <v>103.42800000000003</v>
      </c>
      <c r="CV31" s="13">
        <f t="shared" si="41"/>
        <v>27.777062350859747</v>
      </c>
      <c r="CW31" s="20">
        <f t="shared" si="13"/>
        <v>228.51548359441412</v>
      </c>
      <c r="CX31" s="59">
        <f t="shared" si="14"/>
        <v>521.84881692774741</v>
      </c>
      <c r="CY31" s="59">
        <f ca="1">AVERAGE(OFFSET($CX$3,0,0,'Données projet'!$E$13+1,1))-AVERAGE(OFFSET($H$3,0,0,'Données projet'!$E$13+1,1))</f>
        <v>261.59434871103355</v>
      </c>
      <c r="CZ31" s="59">
        <f t="shared" si="42"/>
        <v>194.97518096665976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2.5146997442233192</v>
      </c>
      <c r="DH31" s="21">
        <f>EXP(-LN(2)/2)*DH30+(1-EXP(-LN(2)/2))/(LN(2)/2)*DB31*DE31*VLOOKUP('Données projet'!$B$13,Paramètres!$A$1:$I$89,3,0)*0.475*44/12</f>
        <v>0.39097396523960776</v>
      </c>
      <c r="DI31" s="22">
        <f t="shared" si="15"/>
        <v>2.9056737094629268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6.3</v>
      </c>
      <c r="N32" s="13">
        <f>IF('Données projet'!$A$36&gt;35,N31+M32-V31,IF(A32&lt;'Données projet'!$A$36,$K$205^A32,IF(A32='Données projet'!$A$36,'Données projet'!$B$36,N31+M32-V31)))</f>
        <v>98.699999999999974</v>
      </c>
      <c r="O32" s="13">
        <f>N32*VLOOKUP('Données projet'!$B$9,Paramètres!$A$1:$I$89,3,0)*VLOOKUP('Données projet'!$B$9,Paramètres!$A$1:$I$89,5,0)</f>
        <v>89.303759999999968</v>
      </c>
      <c r="P32" s="13">
        <f t="shared" si="33"/>
        <v>24.397232850954325</v>
      </c>
      <c r="Q32" s="20">
        <f t="shared" si="2"/>
        <v>198.02922921541202</v>
      </c>
      <c r="R32" s="59">
        <f t="shared" si="0"/>
        <v>491.36256254874536</v>
      </c>
      <c r="S32" s="59">
        <f ca="1">AVERAGE(OFFSET($R$3,0,0,'Données projet'!$E$9+1,1))-AVERAGE(OFFSET($H$3,0,0,'Données projet'!$E$9+1,1))</f>
        <v>237.22177246688199</v>
      </c>
      <c r="T32" s="59">
        <f t="shared" si="34"/>
        <v>149.27472147904302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13.4</v>
      </c>
      <c r="AI32" s="13">
        <f>IF('Données projet'!$A$62&gt;35,AI31+AH32-AQ31,IF(A32&lt;'Données projet'!$A$62,$AF$205^A32,IF(A32='Données projet'!$A$62,'Données projet'!$B$62,AI31+AH32-AQ31)))</f>
        <v>214.60000000000005</v>
      </c>
      <c r="AJ32" s="13">
        <f>AI32*VLOOKUP('Données projet'!$B$10,Paramètres!$A$1:$I$89,3,0)*VLOOKUP('Données projet'!$B$10,Paramètres!$A$1:$I$89,5,0)</f>
        <v>187.47456000000008</v>
      </c>
      <c r="AK32" s="13">
        <f t="shared" si="35"/>
        <v>46.981179851370143</v>
      </c>
      <c r="AL32" s="20">
        <f t="shared" si="4"/>
        <v>408.34374690780311</v>
      </c>
      <c r="AM32" s="59">
        <f t="shared" si="5"/>
        <v>701.67708024113642</v>
      </c>
      <c r="AN32" s="59">
        <f ca="1">AVERAGE(OFFSET($AM$3,0,0,'Données projet'!$E$10+1,1))-AVERAGE(OFFSET($H$3,0,0,'Données projet'!$E$10+1,1))</f>
        <v>243.38048563215585</v>
      </c>
      <c r="AO32" s="59">
        <f t="shared" si="36"/>
        <v>372.1604147006675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4.9375768554909714</v>
      </c>
      <c r="AW32" s="21">
        <f>EXP(-LN(2)/2)*AW31+(1-EXP(-LN(2)/2))/(LN(2)/2)*AQ32*AT32*VLOOKUP('Données projet'!$B$10,Paramètres!$A$1:$I$89,3,0)*0.475*44/12</f>
        <v>0.4254056921405282</v>
      </c>
      <c r="AX32" s="21">
        <f t="shared" si="6"/>
        <v>5.3629825476314998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22.2</v>
      </c>
      <c r="BD32" s="12">
        <f>IF('Données projet'!$A$88&gt;35,BD31+BC32-BL31,IF(A32&lt;'Données projet'!$A$88,$BA$205^A32,IF(A32='Données projet'!$A$88,'Données projet'!$B$88,BD31+BC32-BL31)))</f>
        <v>298.7999999999999</v>
      </c>
      <c r="BE32" s="13">
        <f>BD32*VLOOKUP('Données projet'!$B$11,Paramètres!$A$1:$I$89,3,0)*VLOOKUP('Données projet'!$B$11,Paramètres!$A$1:$I$89,5,0)</f>
        <v>167.02919999999995</v>
      </c>
      <c r="BF32" s="13">
        <f t="shared" si="37"/>
        <v>42.423982056168619</v>
      </c>
      <c r="BG32" s="20">
        <f t="shared" si="7"/>
        <v>364.79762541449355</v>
      </c>
      <c r="BH32" s="59">
        <f t="shared" si="8"/>
        <v>658.13095874782687</v>
      </c>
      <c r="BI32" s="59">
        <f ca="1">AVERAGE(OFFSET($BH$3,0,0,'Données projet'!$E$11+1,1))-AVERAGE(OFFSET($H$3,0,0,'Données projet'!$E$11+1,1))</f>
        <v>326.31232746914907</v>
      </c>
      <c r="BJ32" s="59">
        <f t="shared" si="38"/>
        <v>330.17137761430297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9.9707826894136939</v>
      </c>
      <c r="BR32" s="21">
        <f>EXP(-LN(2)/2)*BR31+(1-EXP(-LN(2)/2))/(LN(2)/2)*BL32*BO32*VLOOKUP('Données projet'!$B$11,Paramètres!$A$1:$I$89,3,0)*0.475*44/12</f>
        <v>0.88109537260854109</v>
      </c>
      <c r="BS32" s="22">
        <f t="shared" si="9"/>
        <v>10.851878062022235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16.600000000000001</v>
      </c>
      <c r="BY32" s="12">
        <f>IF('Données projet'!$A$114&gt;35,BY31+BX32-CG31,IF(A32&lt;'Données projet'!$A$114,$BV$205^A32,IF(A32='Données projet'!$A$114,'Données projet'!$B$114,BY31+BX32-CG31)))</f>
        <v>230.39999999999995</v>
      </c>
      <c r="BZ32" s="13">
        <f>BY32*VLOOKUP('Données projet'!$B$12,Paramètres!$A$1:$I$89,3,0)*VLOOKUP('Données projet'!$B$12,Paramètres!$A$1:$I$89,5,0)</f>
        <v>183.30623999999997</v>
      </c>
      <c r="CA32" s="13">
        <f t="shared" si="39"/>
        <v>46.056982630723049</v>
      </c>
      <c r="CB32" s="20">
        <f t="shared" si="10"/>
        <v>399.47427941517589</v>
      </c>
      <c r="CC32" s="59">
        <f t="shared" si="11"/>
        <v>692.8076127485092</v>
      </c>
      <c r="CD32" s="59">
        <f ca="1">AVERAGE(OFFSET($CC$3,0,0,'Données projet'!$E$12+1,1))-AVERAGE(OFFSET($H$3,0,0,'Données projet'!$E$12+1,1))</f>
        <v>314.94704727988847</v>
      </c>
      <c r="CE32" s="59">
        <f t="shared" si="40"/>
        <v>366.49199094166454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8.0769876747520293</v>
      </c>
      <c r="CM32" s="21">
        <f>EXP(-LN(2)/2)*CM31+(1-EXP(-LN(2)/2))/(LN(2)/2)*CG32*CJ32*VLOOKUP('Données projet'!$B$12,Paramètres!$A$1:$I$89,3,0)*0.475*44/12</f>
        <v>0.69849433305752184</v>
      </c>
      <c r="CN32" s="22">
        <f t="shared" si="12"/>
        <v>8.7754820078095506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8.1999999999999993</v>
      </c>
      <c r="CT32" s="12">
        <f>IF('Données projet'!$A$140&gt;35,CT31+CS32-DB31,IF(A32&lt;'Données projet'!$A$140,$CQ$205^A32,IF(A32='Données projet'!$A$140,'Données projet'!$B$140,CT31+CS32-DB31)))</f>
        <v>140.80000000000001</v>
      </c>
      <c r="CU32" s="17">
        <f>CT32*VLOOKUP('Données projet'!$B$13,Paramètres!$A$1:$I$89,3,0)*VLOOKUP('Données projet'!$B$13,Paramètres!$A$1:$I$89,5,0)</f>
        <v>109.82400000000001</v>
      </c>
      <c r="CV32" s="13">
        <f t="shared" si="41"/>
        <v>29.289513736104162</v>
      </c>
      <c r="CW32" s="20">
        <f t="shared" si="13"/>
        <v>242.28936975704809</v>
      </c>
      <c r="CX32" s="59">
        <f t="shared" si="14"/>
        <v>535.62270309038138</v>
      </c>
      <c r="CY32" s="59">
        <f ca="1">AVERAGE(OFFSET($CX$3,0,0,'Données projet'!$E$13+1,1))-AVERAGE(OFFSET($H$3,0,0,'Données projet'!$E$13+1,1))</f>
        <v>261.59434871103355</v>
      </c>
      <c r="CZ32" s="59">
        <f t="shared" si="42"/>
        <v>194.97518096665976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2.4459351474752205</v>
      </c>
      <c r="DH32" s="21">
        <f>EXP(-LN(2)/2)*DH31+(1-EXP(-LN(2)/2))/(LN(2)/2)*DB32*DE32*VLOOKUP('Données projet'!$B$13,Paramètres!$A$1:$I$89,3,0)*0.475*44/12</f>
        <v>0.27646034208832015</v>
      </c>
      <c r="DI32" s="22">
        <f t="shared" si="15"/>
        <v>2.7223954895635405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105</v>
      </c>
      <c r="L33" s="12">
        <f>VLOOKUP(A33,'Données projet'!$A$35:$I$55,9,0)</f>
        <v>6.3</v>
      </c>
      <c r="M33" s="12">
        <f t="array" ref="M33">INDEX(L:L,MIN(IF(ISNUMBER(L33:L229),ROW(L33:L229),"")))</f>
        <v>6.3</v>
      </c>
      <c r="N33" s="13">
        <f>IF('Données projet'!$A$36&gt;35,N32+M33-V32,IF(A33&lt;'Données projet'!$A$36,$K$205^A33,IF(A33='Données projet'!$A$36,'Données projet'!$B$36,N32+M33-V32)))</f>
        <v>104.99999999999997</v>
      </c>
      <c r="O33" s="13">
        <f>N33*VLOOKUP('Données projet'!$B$9,Paramètres!$A$1:$I$89,3,0)*VLOOKUP('Données projet'!$B$9,Paramètres!$A$1:$I$89,5,0)</f>
        <v>95.003999999999962</v>
      </c>
      <c r="P33" s="13">
        <f t="shared" si="33"/>
        <v>25.768242550600764</v>
      </c>
      <c r="Q33" s="20">
        <f t="shared" si="2"/>
        <v>210.34498910896289</v>
      </c>
      <c r="R33" s="59">
        <f t="shared" si="0"/>
        <v>503.67832244229623</v>
      </c>
      <c r="S33" s="59">
        <f ca="1">AVERAGE(OFFSET($R$3,0,0,'Données projet'!$E$9+1,1))-AVERAGE(OFFSET($H$3,0,0,'Données projet'!$E$9+1,1))</f>
        <v>237.22177246688199</v>
      </c>
      <c r="T33" s="59">
        <f t="shared" si="34"/>
        <v>149.27472147904302</v>
      </c>
      <c r="U33" s="15">
        <f>IF(ISNA(VLOOKUP(A33,'Données projet'!$A$35:$I$55,3,0)),0,VLOOKUP(A33,'Données projet'!$A$35:$I$55,3,0))</f>
        <v>1</v>
      </c>
      <c r="V33" s="15">
        <f>IF(ISNA(VLOOKUP(A33,'Données projet'!$A$35:$I$55,4,0)),0,VLOOKUP(A33,'Données projet'!$A$35:$I$55,4,0))</f>
        <v>29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0.1075</v>
      </c>
      <c r="Y33" s="16">
        <f>IF(ISNA(VLOOKUP(A33,'Données projet'!$A$35:$I$55,7,0)),0%,VLOOKUP(A33,'Données projet'!$A$35:$I$55,7,0))</f>
        <v>0.25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3.1059381724899082</v>
      </c>
      <c r="AB33" s="21">
        <f>EXP(-LN(2)/2)*AB32+(1-EXP(-LN(2)/2))/(LN(2)/2)*V33*Y33*VLOOKUP('Données projet'!$B$9,Paramètres!$A$1:$I$89,3,0)*0.475*44/12</f>
        <v>6.1893478544284255</v>
      </c>
      <c r="AC33" s="22">
        <f t="shared" si="3"/>
        <v>9.2952860269183333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228</v>
      </c>
      <c r="AG33" s="12">
        <f>VLOOKUP(A33,'Données projet'!$A$61:$I$81,9,0)</f>
        <v>13.4</v>
      </c>
      <c r="AH33" s="12">
        <f t="array" ref="AH33">INDEX(AG:AG,MIN(IF(ISNUMBER(AG33:AG229),ROW(AG33:AG229),"")))</f>
        <v>13.4</v>
      </c>
      <c r="AI33" s="13">
        <f>IF('Données projet'!$A$62&gt;35,AI32+AH33-AQ32,IF(A33&lt;'Données projet'!$A$62,$AF$205^A33,IF(A33='Données projet'!$A$62,'Données projet'!$B$62,AI32+AH33-AQ32)))</f>
        <v>228.00000000000006</v>
      </c>
      <c r="AJ33" s="13">
        <f>AI33*VLOOKUP('Données projet'!$B$10,Paramètres!$A$1:$I$89,3,0)*VLOOKUP('Données projet'!$B$10,Paramètres!$A$1:$I$89,5,0)</f>
        <v>199.18080000000009</v>
      </c>
      <c r="AK33" s="13">
        <f t="shared" si="35"/>
        <v>49.564089376413726</v>
      </c>
      <c r="AL33" s="20">
        <f t="shared" si="4"/>
        <v>433.2306823305874</v>
      </c>
      <c r="AM33" s="59">
        <f t="shared" si="5"/>
        <v>726.56401566392071</v>
      </c>
      <c r="AN33" s="59">
        <f ca="1">AVERAGE(OFFSET($AM$3,0,0,'Données projet'!$E$10+1,1))-AVERAGE(OFFSET($H$3,0,0,'Données projet'!$E$10+1,1))</f>
        <v>243.38048563215585</v>
      </c>
      <c r="AO33" s="59">
        <f t="shared" si="36"/>
        <v>372.1604147006675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88</v>
      </c>
      <c r="AR33" s="16">
        <f>IF(ISNA(VLOOKUP(A33,'Données projet'!$A$61:$I$81,5,0)),0%,VLOOKUP(A33,'Données projet'!$A$61:$I$81,5,0)*VLOOKUP('Données projet'!$B$10,Paramètres!$A$1:$I$89,7,0))</f>
        <v>8.6000000000000007E-2</v>
      </c>
      <c r="AS33" s="16">
        <f>IF(ISNA(VLOOKUP(A33,'Données projet'!$A$61:$I$81,6,0)),0%,VLOOKUP(A33,'Données projet'!$A$61:$I$81,6,0)*VLOOKUP('Données projet'!$B$10,Paramètres!$A$1:$I$89,7,0))</f>
        <v>0.17200000000000001</v>
      </c>
      <c r="AT33" s="16">
        <f>IF(ISNA(VLOOKUP(A33,'Données projet'!$A$61:$I$81,7,0)),0%,VLOOKUP(A33,'Données projet'!$A$61:$I$81,7,0))</f>
        <v>0.4</v>
      </c>
      <c r="AU33" s="21">
        <f>EXP(-LN(2)/35)*AU32+(1-EXP(-LN(2)/35))/(LN(2)/35)*AQ33*AR33*VLOOKUP('Données projet'!$B$10,Paramètres!$A$1:$I$89,3,0)*0.475*44/12</f>
        <v>7.3087121735019691</v>
      </c>
      <c r="AV33" s="21">
        <f>EXP(-LN(2)/25)*AV32+(1-EXP(-LN(2)/25))/(LN(2)/25)*Calculateur!AQ33*Calculateur!AS33*VLOOKUP('Données projet'!$B$10,Paramètres!$A$1:$I$89,3,0)*0.475*44/12</f>
        <v>19.362428534396141</v>
      </c>
      <c r="AW33" s="21">
        <f>EXP(-LN(2)/2)*AW32+(1-EXP(-LN(2)/2))/(LN(2)/2)*AQ33*AT33*VLOOKUP('Données projet'!$B$10,Paramètres!$A$1:$I$89,3,0)*0.475*44/12</f>
        <v>29.314939213162127</v>
      </c>
      <c r="AX33" s="21">
        <f t="shared" si="6"/>
        <v>55.986079921060238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321</v>
      </c>
      <c r="BB33" s="12">
        <f>VLOOKUP(A33,'Données projet'!$A$87:$I$107,9,0)</f>
        <v>22.2</v>
      </c>
      <c r="BC33" s="12">
        <f t="array" ref="BC33">INDEX(BB:BB,MIN(IF(ISNUMBER(BB33:BB229),ROW(BB33:BB229),"")))</f>
        <v>22.2</v>
      </c>
      <c r="BD33" s="12">
        <f>IF('Données projet'!$A$88&gt;35,BD32+BC33-BL32,IF(A33&lt;'Données projet'!$A$88,$BA$205^A33,IF(A33='Données projet'!$A$88,'Données projet'!$B$88,BD32+BC33-BL32)))</f>
        <v>320.99999999999989</v>
      </c>
      <c r="BE33" s="13">
        <f>BD33*VLOOKUP('Données projet'!$B$11,Paramètres!$A$1:$I$89,3,0)*VLOOKUP('Données projet'!$B$11,Paramètres!$A$1:$I$89,5,0)</f>
        <v>179.43899999999994</v>
      </c>
      <c r="BF33" s="13">
        <f t="shared" si="37"/>
        <v>45.19735133639599</v>
      </c>
      <c r="BG33" s="20">
        <f t="shared" si="7"/>
        <v>391.24164524422287</v>
      </c>
      <c r="BH33" s="59">
        <f t="shared" si="8"/>
        <v>684.57497857755618</v>
      </c>
      <c r="BI33" s="59">
        <f ca="1">AVERAGE(OFFSET($BH$3,0,0,'Données projet'!$E$11+1,1))-AVERAGE(OFFSET($H$3,0,0,'Données projet'!$E$11+1,1))</f>
        <v>326.31232746914907</v>
      </c>
      <c r="BJ33" s="59">
        <f t="shared" si="38"/>
        <v>330.17137761430297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112</v>
      </c>
      <c r="BM33" s="16">
        <f>IF(ISNA(VLOOKUP(A33,'Données projet'!$A$87:$I$107,5,0)),0%,VLOOKUP(A33,'Données projet'!$A$87:$I$107,5,0)*VLOOKUP('Données projet'!$B$11,Paramètres!$A$1:$I$89,7,0))</f>
        <v>5.5000000000000007E-2</v>
      </c>
      <c r="BN33" s="16">
        <f>IF(ISNA(VLOOKUP(A33,'Données projet'!$A$87:$I$107,6,0)),0%,VLOOKUP(A33,'Données projet'!$A$87:$I$107,6,0)*VLOOKUP('Données projet'!$B$11,Paramètres!$A$1:$I$89,7,0))</f>
        <v>0.24750000000000003</v>
      </c>
      <c r="BO33" s="16">
        <f>IF(ISNA(VLOOKUP(A33,'Données projet'!$A$87:$I$107,7,0)),0%,VLOOKUP(A33,'Données projet'!$A$87:$I$107,7,0))</f>
        <v>0.45</v>
      </c>
      <c r="BP33" s="21">
        <f>EXP(-LN(2)/35)*BP32+(1-EXP(-LN(2)/35))/(LN(2)/35)*BL33*BM33*VLOOKUP('Données projet'!$B$11,Paramètres!$A$1:$I$89,3,0)*0.475*44/12</f>
        <v>4.5679451084387308</v>
      </c>
      <c r="BQ33" s="21">
        <f>EXP(-LN(2)/25)*BQ32+(1-EXP(-LN(2)/25))/(LN(2)/25)*Calculateur!BL33*Calculateur!BN33*VLOOKUP('Données projet'!$B$11,Paramètres!$A$1:$I$89,3,0)*0.475*44/12</f>
        <v>30.172948268535706</v>
      </c>
      <c r="BR33" s="21">
        <f>EXP(-LN(2)/2)*BR32+(1-EXP(-LN(2)/2))/(LN(2)/2)*BL33*BO33*VLOOKUP('Données projet'!$B$11,Paramètres!$A$1:$I$89,3,0)*0.475*44/12</f>
        <v>32.522088370435227</v>
      </c>
      <c r="BS33" s="22">
        <f t="shared" si="9"/>
        <v>67.262981747409668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247</v>
      </c>
      <c r="BW33" s="12">
        <f>VLOOKUP(A33,'Données projet'!$A$113:$I$133,9,0)</f>
        <v>16.600000000000001</v>
      </c>
      <c r="BX33" s="12">
        <f t="array" ref="BX33">INDEX(BW:BW,MIN(IF(ISNUMBER(BW33:BW229),ROW(BW33:BW229),"")))</f>
        <v>16.600000000000001</v>
      </c>
      <c r="BY33" s="12">
        <f>IF('Données projet'!$A$114&gt;35,BY32+BX33-CG32,IF(A33&lt;'Données projet'!$A$114,$BV$205^A33,IF(A33='Données projet'!$A$114,'Données projet'!$B$114,BY32+BX33-CG32)))</f>
        <v>246.99999999999994</v>
      </c>
      <c r="BZ33" s="13">
        <f>BY33*VLOOKUP('Données projet'!$B$12,Paramètres!$A$1:$I$89,3,0)*VLOOKUP('Données projet'!$B$12,Paramètres!$A$1:$I$89,5,0)</f>
        <v>196.51319999999996</v>
      </c>
      <c r="CA33" s="13">
        <f t="shared" si="39"/>
        <v>48.977092002823696</v>
      </c>
      <c r="CB33" s="20">
        <f t="shared" si="10"/>
        <v>427.56225857158444</v>
      </c>
      <c r="CC33" s="59">
        <f t="shared" si="11"/>
        <v>720.89559190491775</v>
      </c>
      <c r="CD33" s="59">
        <f ca="1">AVERAGE(OFFSET($CC$3,0,0,'Données projet'!$E$12+1,1))-AVERAGE(OFFSET($H$3,0,0,'Données projet'!$E$12+1,1))</f>
        <v>314.94704727988847</v>
      </c>
      <c r="CE33" s="59">
        <f t="shared" si="40"/>
        <v>366.49199094166454</v>
      </c>
      <c r="CF33" s="15">
        <f>IF(ISNA(VLOOKUP(A33,'Données projet'!$A$113:$I$133,3,0)),0,VLOOKUP(A33,'Données projet'!$A$113:$I$133,3,0))</f>
        <v>3</v>
      </c>
      <c r="CG33" s="15">
        <f>IF(ISNA(VLOOKUP(A33,'Données projet'!$A$113:$I$133,4,0)),0,VLOOKUP(A33,'Données projet'!$A$113:$I$133,4,0))</f>
        <v>84</v>
      </c>
      <c r="CH33" s="16">
        <f>IF(ISNA(VLOOKUP(A33,'Données projet'!$A$113:$I$133,5,0)),0%,VLOOKUP(A33,'Données projet'!$A$113:$I$133,5,0)*VLOOKUP('Données projet'!$B$12,Paramètres!$A$1:$I$89,7,0))</f>
        <v>5.3000000000000005E-2</v>
      </c>
      <c r="CI33" s="16">
        <f>IF(ISNA(VLOOKUP(A33,'Données projet'!$A$113:$I$133,6,0)),0%,VLOOKUP(A33,'Données projet'!$A$113:$I$133,6,0)*VLOOKUP('Données projet'!$B$12,Paramètres!$A$1:$I$89,7,0))</f>
        <v>0.23850000000000002</v>
      </c>
      <c r="CJ33" s="16">
        <f>IF(ISNA(VLOOKUP(A33,'Données projet'!$A$113:$I$133,7,0)),0%,VLOOKUP(A33,'Données projet'!$A$113:$I$133,7,0))</f>
        <v>0.45</v>
      </c>
      <c r="CK33" s="21">
        <f>EXP(-LN(2)/35)*CK32+(1-EXP(-LN(2)/35))/(LN(2)/35)*CG33*CH33*VLOOKUP('Données projet'!$B$12,Paramètres!$A$1:$I$89,3,0)*0.475*44/12</f>
        <v>3.9155884655739612</v>
      </c>
      <c r="CL33" s="21">
        <f>EXP(-LN(2)/25)*CL32+(1-EXP(-LN(2)/25))/(LN(2)/25)*Calculateur!CG33*Calculateur!CI33*VLOOKUP('Données projet'!$B$12,Paramètres!$A$1:$I$89,3,0)*0.475*44/12</f>
        <v>25.406892880265318</v>
      </c>
      <c r="CM33" s="21">
        <f>EXP(-LN(2)/2)*CM32+(1-EXP(-LN(2)/2))/(LN(2)/2)*CG33*CJ33*VLOOKUP('Données projet'!$B$12,Paramètres!$A$1:$I$89,3,0)*0.475*44/12</f>
        <v>28.869236580755118</v>
      </c>
      <c r="CN33" s="22">
        <f t="shared" si="12"/>
        <v>58.191717926594393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149</v>
      </c>
      <c r="CR33" s="12">
        <f>VLOOKUP(A33,'Données projet'!$A$139:$I$159,9,0)</f>
        <v>8.1999999999999993</v>
      </c>
      <c r="CS33" s="12">
        <f t="array" ref="CS33">INDEX(CR:CR,MIN(IF(ISNUMBER(CR33:CR229),ROW(CR33:CR229),"")))</f>
        <v>8.1999999999999993</v>
      </c>
      <c r="CT33" s="12">
        <f>IF('Données projet'!$A$140&gt;35,CT32+CS33-DB32,IF(A33&lt;'Données projet'!$A$140,$CQ$205^A33,IF(A33='Données projet'!$A$140,'Données projet'!$B$140,CT32+CS33-DB32)))</f>
        <v>149</v>
      </c>
      <c r="CU33" s="17">
        <f>CT33*VLOOKUP('Données projet'!$B$13,Paramètres!$A$1:$I$89,3,0)*VLOOKUP('Données projet'!$B$13,Paramètres!$A$1:$I$89,5,0)</f>
        <v>116.22</v>
      </c>
      <c r="CV33" s="13">
        <f t="shared" si="41"/>
        <v>30.791740821002669</v>
      </c>
      <c r="CW33" s="20">
        <f t="shared" si="13"/>
        <v>256.0454485965796</v>
      </c>
      <c r="CX33" s="59">
        <f t="shared" si="14"/>
        <v>549.37878192991298</v>
      </c>
      <c r="CY33" s="59">
        <f ca="1">AVERAGE(OFFSET($CX$3,0,0,'Données projet'!$E$13+1,1))-AVERAGE(OFFSET($H$3,0,0,'Données projet'!$E$13+1,1))</f>
        <v>261.59434871103355</v>
      </c>
      <c r="CZ33" s="59">
        <f t="shared" si="42"/>
        <v>194.97518096665976</v>
      </c>
      <c r="DA33" s="15">
        <f>IF(ISNA(VLOOKUP(A33,'Données projet'!$A$139:$I$159,3,0)),0,VLOOKUP(A33,'Données projet'!$A$139:$I$159,3,0))</f>
        <v>2</v>
      </c>
      <c r="DB33" s="15">
        <f>IF(ISNA(VLOOKUP(A33,'Données projet'!$A$139:$I$159,4,0)),0,VLOOKUP(A33,'Données projet'!$A$139:$I$159,4,0))</f>
        <v>56</v>
      </c>
      <c r="DC33" s="16">
        <f>IF(ISNA(VLOOKUP(A33,'Données projet'!$A$139:$I$159,5,0)),0%,VLOOKUP(A33,'Données projet'!$A$139:$I$159,5,0)*VLOOKUP('Données projet'!$B$13,Paramètres!$A$1:$I$89,7,0))</f>
        <v>4.3000000000000003E-2</v>
      </c>
      <c r="DD33" s="16">
        <f>IF(ISNA(VLOOKUP(A33,'Données projet'!$A$139:$I$159,6,0)),0%,VLOOKUP(A33,'Données projet'!$A$139:$I$159,6,0)*VLOOKUP('Données projet'!$B$13,Paramètres!$A$1:$I$89,7,0))</f>
        <v>0.19350000000000001</v>
      </c>
      <c r="DE33" s="16">
        <f>IF(ISNA(VLOOKUP(A33,'Données projet'!$A$139:$I$159,7,0)),0%,VLOOKUP(A33,'Données projet'!$A$139:$I$159,7,0))</f>
        <v>0.45</v>
      </c>
      <c r="DF33" s="21">
        <f>EXP(-LN(2)/35)*DF32+(1-EXP(-LN(2)/35))/(LN(2)/35)*DB33*DC33*VLOOKUP('Données projet'!$B$13,Paramètres!$A$1:$I$89,3,0)*0.475*44/12</f>
        <v>2.0763386856539685</v>
      </c>
      <c r="DG33" s="21">
        <f>EXP(-LN(2)/25)*DG32+(1-EXP(-LN(2)/25))/(LN(2)/25)*Calculateur!DB33*Calculateur!DD33*VLOOKUP('Données projet'!$B$13,Paramètres!$A$1:$I$89,3,0)*0.475*44/12</f>
        <v>11.685785993198053</v>
      </c>
      <c r="DH33" s="21">
        <f>EXP(-LN(2)/2)*DH32+(1-EXP(-LN(2)/2))/(LN(2)/2)*DB33*DE33*VLOOKUP('Données projet'!$B$13,Paramètres!$A$1:$I$89,3,0)*0.475*44/12</f>
        <v>18.741452016103317</v>
      </c>
      <c r="DI33" s="22">
        <f t="shared" si="15"/>
        <v>32.503576694955342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8.1999999999999993</v>
      </c>
      <c r="N34" s="13">
        <f>IF('Données projet'!$A$36&gt;35,N33+M34-V33,IF(A34&lt;'Données projet'!$A$36,$K$205^A34,IF(A34='Données projet'!$A$36,'Données projet'!$B$36,N33+M34-V33)))</f>
        <v>84.199999999999974</v>
      </c>
      <c r="O34" s="13">
        <f>N34*VLOOKUP('Données projet'!$B$9,Paramètres!$A$1:$I$89,3,0)*VLOOKUP('Données projet'!$B$9,Paramètres!$A$1:$I$89,5,0)</f>
        <v>76.184159999999977</v>
      </c>
      <c r="P34" s="13">
        <f t="shared" si="33"/>
        <v>21.201554232857205</v>
      </c>
      <c r="Q34" s="20">
        <f t="shared" si="2"/>
        <v>169.61345228889294</v>
      </c>
      <c r="R34" s="59">
        <f t="shared" si="0"/>
        <v>462.94678562222623</v>
      </c>
      <c r="S34" s="59">
        <f ca="1">AVERAGE(OFFSET($R$3,0,0,'Données projet'!$E$9+1,1))-AVERAGE(OFFSET($H$3,0,0,'Données projet'!$E$9+1,1))</f>
        <v>237.22177246688199</v>
      </c>
      <c r="T34" s="59">
        <f t="shared" si="34"/>
        <v>149.27472147904302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3.0210061298289821</v>
      </c>
      <c r="AB34" s="21">
        <f>EXP(-LN(2)/2)*AB33+(1-EXP(-LN(2)/2))/(LN(2)/2)*V34*Y34*VLOOKUP('Données projet'!$B$9,Paramètres!$A$1:$I$89,3,0)*0.475*44/12</f>
        <v>4.3765298389887484</v>
      </c>
      <c r="AC34" s="22">
        <f t="shared" si="3"/>
        <v>7.3975359688177305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11.5</v>
      </c>
      <c r="AI34" s="13">
        <f>IF('Données projet'!$A$62&gt;35,AI33+AH34-AQ33,IF(A34&lt;'Données projet'!$A$62,$AF$205^A34,IF(A34='Données projet'!$A$62,'Données projet'!$B$62,AI33+AH34-AQ33)))</f>
        <v>151.50000000000006</v>
      </c>
      <c r="AJ34" s="13">
        <f>AI34*VLOOKUP('Données projet'!$B$10,Paramètres!$A$1:$I$89,3,0)*VLOOKUP('Données projet'!$B$10,Paramètres!$A$1:$I$89,5,0)</f>
        <v>132.35040000000006</v>
      </c>
      <c r="AK34" s="13">
        <f t="shared" si="35"/>
        <v>34.538900082505862</v>
      </c>
      <c r="AL34" s="20">
        <f t="shared" si="4"/>
        <v>290.66553097703115</v>
      </c>
      <c r="AM34" s="59">
        <f t="shared" si="5"/>
        <v>583.99886431036452</v>
      </c>
      <c r="AN34" s="59">
        <f ca="1">AVERAGE(OFFSET($AM$3,0,0,'Données projet'!$E$10+1,1))-AVERAGE(OFFSET($H$3,0,0,'Données projet'!$E$10+1,1))</f>
        <v>243.38048563215585</v>
      </c>
      <c r="AO34" s="59">
        <f t="shared" si="36"/>
        <v>372.1604147006675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7.1653927856538431</v>
      </c>
      <c r="AV34" s="21">
        <f>EXP(-LN(2)/25)*AV33+(1-EXP(-LN(2)/25))/(LN(2)/25)*Calculateur!AQ34*Calculateur!AS34*VLOOKUP('Données projet'!$B$10,Paramètres!$A$1:$I$89,3,0)*0.475*44/12</f>
        <v>18.832961907897214</v>
      </c>
      <c r="AW34" s="21">
        <f>EXP(-LN(2)/2)*AW33+(1-EXP(-LN(2)/2))/(LN(2)/2)*AQ34*AT34*VLOOKUP('Données projet'!$B$10,Paramètres!$A$1:$I$89,3,0)*0.475*44/12</f>
        <v>20.728792307698374</v>
      </c>
      <c r="AX34" s="21">
        <f t="shared" si="6"/>
        <v>46.727147001249435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22</v>
      </c>
      <c r="BD34" s="12">
        <f>IF('Données projet'!$A$88&gt;35,BD33+BC34-BL33,IF(A34&lt;'Données projet'!$A$88,$BA$205^A34,IF(A34='Données projet'!$A$88,'Données projet'!$B$88,BD33+BC34-BL33)))</f>
        <v>230.99999999999989</v>
      </c>
      <c r="BE34" s="13">
        <f>BD34*VLOOKUP('Données projet'!$B$11,Paramètres!$A$1:$I$89,3,0)*VLOOKUP('Données projet'!$B$11,Paramètres!$A$1:$I$89,5,0)</f>
        <v>129.12899999999993</v>
      </c>
      <c r="BF34" s="13">
        <f t="shared" si="37"/>
        <v>33.795018128858409</v>
      </c>
      <c r="BG34" s="20">
        <f t="shared" si="7"/>
        <v>283.75933157442824</v>
      </c>
      <c r="BH34" s="59">
        <f t="shared" si="8"/>
        <v>577.09266490776156</v>
      </c>
      <c r="BI34" s="59">
        <f ca="1">AVERAGE(OFFSET($BH$3,0,0,'Données projet'!$E$11+1,1))-AVERAGE(OFFSET($H$3,0,0,'Données projet'!$E$11+1,1))</f>
        <v>326.31232746914907</v>
      </c>
      <c r="BJ34" s="59">
        <f t="shared" si="38"/>
        <v>330.17137761430297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4.4783704910336519</v>
      </c>
      <c r="BQ34" s="21">
        <f>EXP(-LN(2)/25)*BQ33+(1-EXP(-LN(2)/25))/(LN(2)/25)*Calculateur!BL34*Calculateur!BN34*VLOOKUP('Données projet'!$B$11,Paramètres!$A$1:$I$89,3,0)*0.475*44/12</f>
        <v>29.347867411406209</v>
      </c>
      <c r="BR34" s="21">
        <f>EXP(-LN(2)/2)*BR33+(1-EXP(-LN(2)/2))/(LN(2)/2)*BL34*BO34*VLOOKUP('Données projet'!$B$11,Paramètres!$A$1:$I$89,3,0)*0.475*44/12</f>
        <v>22.996589225082907</v>
      </c>
      <c r="BS34" s="22">
        <f t="shared" si="9"/>
        <v>56.822827127522771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14.2</v>
      </c>
      <c r="BY34" s="12">
        <f>IF('Données projet'!$A$114&gt;35,BY33+BX34-CG33,IF(A34&lt;'Données projet'!$A$114,$BV$205^A34,IF(A34='Données projet'!$A$114,'Données projet'!$B$114,BY33+BX34-CG33)))</f>
        <v>177.19999999999993</v>
      </c>
      <c r="BZ34" s="13">
        <f>BY34*VLOOKUP('Données projet'!$B$12,Paramètres!$A$1:$I$89,3,0)*VLOOKUP('Données projet'!$B$12,Paramètres!$A$1:$I$89,5,0)</f>
        <v>140.98031999999995</v>
      </c>
      <c r="CA34" s="13">
        <f t="shared" si="39"/>
        <v>36.521491755743504</v>
      </c>
      <c r="CB34" s="20">
        <f t="shared" si="10"/>
        <v>309.14898880791981</v>
      </c>
      <c r="CC34" s="59">
        <f t="shared" si="11"/>
        <v>602.48232214125312</v>
      </c>
      <c r="CD34" s="59">
        <f ca="1">AVERAGE(OFFSET($CC$3,0,0,'Données projet'!$E$12+1,1))-AVERAGE(OFFSET($H$3,0,0,'Données projet'!$E$12+1,1))</f>
        <v>314.94704727988847</v>
      </c>
      <c r="CE34" s="59">
        <f t="shared" si="40"/>
        <v>366.49199094166454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3.8388061640371975</v>
      </c>
      <c r="CL34" s="21">
        <f>EXP(-LN(2)/25)*CL33+(1-EXP(-LN(2)/25))/(LN(2)/25)*Calculateur!CG34*Calculateur!CI34*VLOOKUP('Données projet'!$B$12,Paramètres!$A$1:$I$89,3,0)*0.475*44/12</f>
        <v>24.712140058364035</v>
      </c>
      <c r="CM34" s="21">
        <f>EXP(-LN(2)/2)*CM33+(1-EXP(-LN(2)/2))/(LN(2)/2)*CG34*CJ34*VLOOKUP('Données projet'!$B$12,Paramètres!$A$1:$I$89,3,0)*0.475*44/12</f>
        <v>20.413632953930684</v>
      </c>
      <c r="CN34" s="22">
        <f t="shared" si="12"/>
        <v>48.964579176331917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11</v>
      </c>
      <c r="CT34" s="12">
        <f>IF('Données projet'!$A$140&gt;35,CT33+CS34-DB33,IF(A34&lt;'Données projet'!$A$140,$CQ$205^A34,IF(A34='Données projet'!$A$140,'Données projet'!$B$140,CT33+CS34-DB33)))</f>
        <v>104</v>
      </c>
      <c r="CU34" s="17">
        <f>CT34*VLOOKUP('Données projet'!$B$13,Paramètres!$A$1:$I$89,3,0)*VLOOKUP('Données projet'!$B$13,Paramètres!$A$1:$I$89,5,0)</f>
        <v>81.12</v>
      </c>
      <c r="CV34" s="13">
        <f t="shared" si="41"/>
        <v>22.410807975569174</v>
      </c>
      <c r="CW34" s="20">
        <f t="shared" si="13"/>
        <v>180.31615722411632</v>
      </c>
      <c r="CX34" s="59">
        <f t="shared" si="14"/>
        <v>473.64949055744967</v>
      </c>
      <c r="CY34" s="59">
        <f ca="1">AVERAGE(OFFSET($CX$3,0,0,'Données projet'!$E$13+1,1))-AVERAGE(OFFSET($H$3,0,0,'Données projet'!$E$13+1,1))</f>
        <v>261.59434871103355</v>
      </c>
      <c r="CZ34" s="59">
        <f t="shared" si="42"/>
        <v>194.97518096665976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2.0356229504698415</v>
      </c>
      <c r="DG34" s="21">
        <f>EXP(-LN(2)/25)*DG33+(1-EXP(-LN(2)/25))/(LN(2)/25)*Calculateur!DB34*Calculateur!DD34*VLOOKUP('Données projet'!$B$13,Paramètres!$A$1:$I$89,3,0)*0.475*44/12</f>
        <v>11.366237560685274</v>
      </c>
      <c r="DH34" s="21">
        <f>EXP(-LN(2)/2)*DH33+(1-EXP(-LN(2)/2))/(LN(2)/2)*DB34*DE34*VLOOKUP('Données projet'!$B$13,Paramètres!$A$1:$I$89,3,0)*0.475*44/12</f>
        <v>13.252207809868949</v>
      </c>
      <c r="DI34" s="22">
        <f t="shared" si="15"/>
        <v>26.654068321024063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8.1999999999999993</v>
      </c>
      <c r="N35" s="13">
        <f>IF('Données projet'!$A$36&gt;35,N34+M35-V34,IF(A35&lt;'Données projet'!$A$36,$K$205^A35,IF(A35='Données projet'!$A$36,'Données projet'!$B$36,N34+M35-V34)))</f>
        <v>92.399999999999977</v>
      </c>
      <c r="O35" s="13">
        <f>N35*VLOOKUP('Données projet'!$B$9,Paramètres!$A$1:$I$89,3,0)*VLOOKUP('Données projet'!$B$9,Paramètres!$A$1:$I$89,5,0)</f>
        <v>83.603519999999975</v>
      </c>
      <c r="P35" s="13">
        <f t="shared" si="33"/>
        <v>23.015991519299678</v>
      </c>
      <c r="Q35" s="20">
        <f t="shared" ref="Q35:Q66" si="53">(O35+P35)*0.475*44/12</f>
        <v>185.69564922944687</v>
      </c>
      <c r="R35" s="59">
        <f t="shared" si="0"/>
        <v>479.02898256278019</v>
      </c>
      <c r="S35" s="59">
        <f ca="1">AVERAGE(OFFSET($R$3,0,0,'Données projet'!$E$9+1,1))-AVERAGE(OFFSET($H$3,0,0,'Données projet'!$E$9+1,1))</f>
        <v>237.22177246688199</v>
      </c>
      <c r="T35" s="59">
        <f t="shared" si="34"/>
        <v>149.27472147904302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2.938396558341001</v>
      </c>
      <c r="AB35" s="21">
        <f>EXP(-LN(2)/2)*AB34+(1-EXP(-LN(2)/2))/(LN(2)/2)*V35*Y35*VLOOKUP('Données projet'!$B$9,Paramètres!$A$1:$I$89,3,0)*0.475*44/12</f>
        <v>3.0946739272142132</v>
      </c>
      <c r="AC35" s="22">
        <f t="shared" si="3"/>
        <v>6.0330704855552142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11.5</v>
      </c>
      <c r="AI35" s="13">
        <f>IF('Données projet'!$A$62&gt;35,AI34+AH35-AQ34,IF(A35&lt;'Données projet'!$A$62,$AF$205^A35,IF(A35='Données projet'!$A$62,'Données projet'!$B$62,AI34+AH35-AQ34)))</f>
        <v>163.00000000000006</v>
      </c>
      <c r="AJ35" s="13">
        <f>AI35*VLOOKUP('Données projet'!$B$10,Paramètres!$A$1:$I$89,3,0)*VLOOKUP('Données projet'!$B$10,Paramètres!$A$1:$I$89,5,0)</f>
        <v>142.39680000000007</v>
      </c>
      <c r="AK35" s="13">
        <f t="shared" si="35"/>
        <v>36.845535084476985</v>
      </c>
      <c r="AL35" s="20">
        <f t="shared" si="4"/>
        <v>312.18040027213084</v>
      </c>
      <c r="AM35" s="59">
        <f t="shared" si="5"/>
        <v>605.51373360546415</v>
      </c>
      <c r="AN35" s="59">
        <f ca="1">AVERAGE(OFFSET($AM$3,0,0,'Données projet'!$E$10+1,1))-AVERAGE(OFFSET($H$3,0,0,'Données projet'!$E$10+1,1))</f>
        <v>243.38048563215585</v>
      </c>
      <c r="AO35" s="59">
        <f t="shared" si="36"/>
        <v>372.1604147006675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7.0248838035852232</v>
      </c>
      <c r="AV35" s="21">
        <f>EXP(-LN(2)/25)*AV34+(1-EXP(-LN(2)/25))/(LN(2)/25)*Calculateur!AQ35*Calculateur!AS35*VLOOKUP('Données projet'!$B$10,Paramètres!$A$1:$I$89,3,0)*0.475*44/12</f>
        <v>18.317973574143341</v>
      </c>
      <c r="AW35" s="21">
        <f>EXP(-LN(2)/2)*AW34+(1-EXP(-LN(2)/2))/(LN(2)/2)*AQ35*AT35*VLOOKUP('Données projet'!$B$10,Paramètres!$A$1:$I$89,3,0)*0.475*44/12</f>
        <v>14.657469606581065</v>
      </c>
      <c r="AX35" s="21">
        <f t="shared" si="6"/>
        <v>40.000326984309631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22</v>
      </c>
      <c r="BD35" s="12">
        <f>IF('Données projet'!$A$88&gt;35,BD34+BC35-BL34,IF(A35&lt;'Données projet'!$A$88,$BA$205^A35,IF(A35='Données projet'!$A$88,'Données projet'!$B$88,BD34+BC35-BL34)))</f>
        <v>252.99999999999989</v>
      </c>
      <c r="BE35" s="13">
        <f>BD35*VLOOKUP('Données projet'!$B$11,Paramètres!$A$1:$I$89,3,0)*VLOOKUP('Données projet'!$B$11,Paramètres!$A$1:$I$89,5,0)</f>
        <v>141.42699999999994</v>
      </c>
      <c r="BF35" s="13">
        <f t="shared" si="37"/>
        <v>36.62371795968599</v>
      </c>
      <c r="BG35" s="20">
        <f t="shared" si="7"/>
        <v>310.10500044645295</v>
      </c>
      <c r="BH35" s="59">
        <f t="shared" si="8"/>
        <v>603.43833377978626</v>
      </c>
      <c r="BI35" s="59">
        <f ca="1">AVERAGE(OFFSET($BH$3,0,0,'Données projet'!$E$11+1,1))-AVERAGE(OFFSET($H$3,0,0,'Données projet'!$E$11+1,1))</f>
        <v>326.31232746914907</v>
      </c>
      <c r="BJ35" s="59">
        <f t="shared" si="38"/>
        <v>330.17137761430297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4.3905523772407644</v>
      </c>
      <c r="BQ35" s="21">
        <f>EXP(-LN(2)/25)*BQ34+(1-EXP(-LN(2)/25))/(LN(2)/25)*Calculateur!BL35*Calculateur!BN35*VLOOKUP('Données projet'!$B$11,Paramètres!$A$1:$I$89,3,0)*0.475*44/12</f>
        <v>28.545348433704035</v>
      </c>
      <c r="BR35" s="21">
        <f>EXP(-LN(2)/2)*BR34+(1-EXP(-LN(2)/2))/(LN(2)/2)*BL35*BO35*VLOOKUP('Données projet'!$B$11,Paramètres!$A$1:$I$89,3,0)*0.475*44/12</f>
        <v>16.261044185217617</v>
      </c>
      <c r="BS35" s="22">
        <f t="shared" si="9"/>
        <v>49.196944996162415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14.2</v>
      </c>
      <c r="BY35" s="12">
        <f>IF('Données projet'!$A$114&gt;35,BY34+BX35-CG34,IF(A35&lt;'Données projet'!$A$114,$BV$205^A35,IF(A35='Données projet'!$A$114,'Données projet'!$B$114,BY34+BX35-CG34)))</f>
        <v>191.39999999999992</v>
      </c>
      <c r="BZ35" s="13">
        <f>BY35*VLOOKUP('Données projet'!$B$12,Paramètres!$A$1:$I$89,3,0)*VLOOKUP('Données projet'!$B$12,Paramètres!$A$1:$I$89,5,0)</f>
        <v>152.27783999999994</v>
      </c>
      <c r="CA35" s="13">
        <f t="shared" si="39"/>
        <v>39.095778001655354</v>
      </c>
      <c r="CB35" s="20">
        <f t="shared" si="10"/>
        <v>333.30905135288299</v>
      </c>
      <c r="CC35" s="59">
        <f t="shared" si="11"/>
        <v>626.64238468621625</v>
      </c>
      <c r="CD35" s="59">
        <f ca="1">AVERAGE(OFFSET($CC$3,0,0,'Données projet'!$E$12+1,1))-AVERAGE(OFFSET($H$3,0,0,'Données projet'!$E$12+1,1))</f>
        <v>314.94704727988847</v>
      </c>
      <c r="CE35" s="59">
        <f t="shared" si="40"/>
        <v>366.49199094166454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3.7635295166009901</v>
      </c>
      <c r="CL35" s="21">
        <f>EXP(-LN(2)/25)*CL34+(1-EXP(-LN(2)/25))/(LN(2)/25)*Calculateur!CG35*Calculateur!CI35*VLOOKUP('Données projet'!$B$12,Paramètres!$A$1:$I$89,3,0)*0.475*44/12</f>
        <v>24.036385288913106</v>
      </c>
      <c r="CM35" s="21">
        <f>EXP(-LN(2)/2)*CM34+(1-EXP(-LN(2)/2))/(LN(2)/2)*CG35*CJ35*VLOOKUP('Données projet'!$B$12,Paramètres!$A$1:$I$89,3,0)*0.475*44/12</f>
        <v>14.434618290377561</v>
      </c>
      <c r="CN35" s="22">
        <f t="shared" si="12"/>
        <v>42.234533095891656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11</v>
      </c>
      <c r="CT35" s="12">
        <f>IF('Données projet'!$A$140&gt;35,CT34+CS35-DB34,IF(A35&lt;'Données projet'!$A$140,$CQ$205^A35,IF(A35='Données projet'!$A$140,'Données projet'!$B$140,CT34+CS35-DB34)))</f>
        <v>115</v>
      </c>
      <c r="CU35" s="17">
        <f>CT35*VLOOKUP('Données projet'!$B$13,Paramètres!$A$1:$I$89,3,0)*VLOOKUP('Données projet'!$B$13,Paramètres!$A$1:$I$89,5,0)</f>
        <v>89.7</v>
      </c>
      <c r="CV35" s="13">
        <f t="shared" si="41"/>
        <v>24.492858164013299</v>
      </c>
      <c r="CW35" s="20">
        <f t="shared" si="13"/>
        <v>198.88589463565651</v>
      </c>
      <c r="CX35" s="59">
        <f t="shared" si="14"/>
        <v>492.2192279689898</v>
      </c>
      <c r="CY35" s="59">
        <f ca="1">AVERAGE(OFFSET($CX$3,0,0,'Données projet'!$E$13+1,1))-AVERAGE(OFFSET($H$3,0,0,'Données projet'!$E$13+1,1))</f>
        <v>261.59434871103355</v>
      </c>
      <c r="CZ35" s="59">
        <f t="shared" si="42"/>
        <v>194.97518096665976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1.9957056260185291</v>
      </c>
      <c r="DG35" s="21">
        <f>EXP(-LN(2)/25)*DG34+(1-EXP(-LN(2)/25))/(LN(2)/25)*Calculateur!DB35*Calculateur!DD35*VLOOKUP('Données projet'!$B$13,Paramètres!$A$1:$I$89,3,0)*0.475*44/12</f>
        <v>11.05542719686388</v>
      </c>
      <c r="DH35" s="21">
        <f>EXP(-LN(2)/2)*DH34+(1-EXP(-LN(2)/2))/(LN(2)/2)*DB35*DE35*VLOOKUP('Données projet'!$B$13,Paramètres!$A$1:$I$89,3,0)*0.475*44/12</f>
        <v>9.3707260080516601</v>
      </c>
      <c r="DI35" s="22">
        <f t="shared" si="15"/>
        <v>22.42185883093407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8.1999999999999993</v>
      </c>
      <c r="N36" s="13">
        <f>IF('Données projet'!$A$36&gt;35,N35+M36-V35,IF(A36&lt;'Données projet'!$A$36,$K$205^A36,IF(A36='Données projet'!$A$36,'Données projet'!$B$36,N35+M36-V35)))</f>
        <v>100.59999999999998</v>
      </c>
      <c r="O36" s="13">
        <f>N36*VLOOKUP('Données projet'!$B$9,Paramètres!$A$1:$I$89,3,0)*VLOOKUP('Données projet'!$B$9,Paramètres!$A$1:$I$89,5,0)</f>
        <v>91.022879999999972</v>
      </c>
      <c r="P36" s="13">
        <f t="shared" si="33"/>
        <v>24.811756526220293</v>
      </c>
      <c r="Q36" s="20">
        <f t="shared" si="53"/>
        <v>201.74532528316695</v>
      </c>
      <c r="R36" s="59">
        <f t="shared" si="0"/>
        <v>495.07865861650026</v>
      </c>
      <c r="S36" s="59">
        <f ca="1">AVERAGE(OFFSET($R$3,0,0,'Données projet'!$E$9+1,1))-AVERAGE(OFFSET($H$3,0,0,'Données projet'!$E$9+1,1))</f>
        <v>237.22177246688199</v>
      </c>
      <c r="T36" s="59">
        <f t="shared" si="34"/>
        <v>149.27472147904302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2.8580459499296071</v>
      </c>
      <c r="AB36" s="21">
        <f>EXP(-LN(2)/2)*AB35+(1-EXP(-LN(2)/2))/(LN(2)/2)*V36*Y36*VLOOKUP('Données projet'!$B$9,Paramètres!$A$1:$I$89,3,0)*0.475*44/12</f>
        <v>2.1882649194943746</v>
      </c>
      <c r="AC36" s="22">
        <f t="shared" si="3"/>
        <v>5.0463108694239818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11.5</v>
      </c>
      <c r="AI36" s="13">
        <f>IF('Données projet'!$A$62&gt;35,AI35+AH36-AQ35,IF(A36&lt;'Données projet'!$A$62,$AF$205^A36,IF(A36='Données projet'!$A$62,'Données projet'!$B$62,AI35+AH36-AQ35)))</f>
        <v>174.50000000000006</v>
      </c>
      <c r="AJ36" s="13">
        <f>AI36*VLOOKUP('Données projet'!$B$10,Paramètres!$A$1:$I$89,3,0)*VLOOKUP('Données projet'!$B$10,Paramètres!$A$1:$I$89,5,0)</f>
        <v>152.44320000000008</v>
      </c>
      <c r="AK36" s="13">
        <f t="shared" si="35"/>
        <v>39.133288418096313</v>
      </c>
      <c r="AL36" s="20">
        <f t="shared" si="4"/>
        <v>333.66238399485127</v>
      </c>
      <c r="AM36" s="59">
        <f t="shared" si="5"/>
        <v>626.99571732818458</v>
      </c>
      <c r="AN36" s="59">
        <f ca="1">AVERAGE(OFFSET($AM$3,0,0,'Données projet'!$E$10+1,1))-AVERAGE(OFFSET($H$3,0,0,'Données projet'!$E$10+1,1))</f>
        <v>243.38048563215585</v>
      </c>
      <c r="AO36" s="59">
        <f t="shared" si="36"/>
        <v>372.1604147006675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6.8871301169529531</v>
      </c>
      <c r="AV36" s="21">
        <f>EXP(-LN(2)/25)*AV35+(1-EXP(-LN(2)/25))/(LN(2)/25)*Calculateur!AQ36*Calculateur!AS36*VLOOKUP('Données projet'!$B$10,Paramètres!$A$1:$I$89,3,0)*0.475*44/12</f>
        <v>17.817067623458026</v>
      </c>
      <c r="AW36" s="21">
        <f>EXP(-LN(2)/2)*AW35+(1-EXP(-LN(2)/2))/(LN(2)/2)*AQ36*AT36*VLOOKUP('Données projet'!$B$10,Paramètres!$A$1:$I$89,3,0)*0.475*44/12</f>
        <v>10.364396153849189</v>
      </c>
      <c r="AX36" s="21">
        <f t="shared" si="6"/>
        <v>35.068593894260168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22</v>
      </c>
      <c r="BD36" s="12">
        <f>IF('Données projet'!$A$88&gt;35,BD35+BC36-BL35,IF(A36&lt;'Données projet'!$A$88,$BA$205^A36,IF(A36='Données projet'!$A$88,'Données projet'!$B$88,BD35+BC36-BL35)))</f>
        <v>274.99999999999989</v>
      </c>
      <c r="BE36" s="13">
        <f>BD36*VLOOKUP('Données projet'!$B$11,Paramètres!$A$1:$I$89,3,0)*VLOOKUP('Données projet'!$B$11,Paramètres!$A$1:$I$89,5,0)</f>
        <v>153.72499999999994</v>
      </c>
      <c r="BF36" s="13">
        <f t="shared" si="37"/>
        <v>39.423892922919691</v>
      </c>
      <c r="BG36" s="20">
        <f t="shared" si="7"/>
        <v>336.40098850741833</v>
      </c>
      <c r="BH36" s="59">
        <f t="shared" si="8"/>
        <v>629.73432184075159</v>
      </c>
      <c r="BI36" s="59">
        <f ca="1">AVERAGE(OFFSET($BH$3,0,0,'Données projet'!$E$11+1,1))-AVERAGE(OFFSET($H$3,0,0,'Données projet'!$E$11+1,1))</f>
        <v>326.31232746914907</v>
      </c>
      <c r="BJ36" s="59">
        <f t="shared" si="38"/>
        <v>330.17137761430297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4.3044563230955957</v>
      </c>
      <c r="BQ36" s="21">
        <f>EXP(-LN(2)/25)*BQ35+(1-EXP(-LN(2)/25))/(LN(2)/25)*Calculateur!BL36*Calculateur!BN36*VLOOKUP('Données projet'!$B$11,Paramètres!$A$1:$I$89,3,0)*0.475*44/12</f>
        <v>27.764774379649765</v>
      </c>
      <c r="BR36" s="21">
        <f>EXP(-LN(2)/2)*BR35+(1-EXP(-LN(2)/2))/(LN(2)/2)*BL36*BO36*VLOOKUP('Données projet'!$B$11,Paramètres!$A$1:$I$89,3,0)*0.475*44/12</f>
        <v>11.498294612541455</v>
      </c>
      <c r="BS36" s="22">
        <f t="shared" si="9"/>
        <v>43.567525315286815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14.2</v>
      </c>
      <c r="BY36" s="12">
        <f>IF('Données projet'!$A$114&gt;35,BY35+BX36-CG35,IF(A36&lt;'Données projet'!$A$114,$BV$205^A36,IF(A36='Données projet'!$A$114,'Données projet'!$B$114,BY35+BX36-CG35)))</f>
        <v>205.59999999999991</v>
      </c>
      <c r="BZ36" s="13">
        <f>BY36*VLOOKUP('Données projet'!$B$12,Paramètres!$A$1:$I$89,3,0)*VLOOKUP('Données projet'!$B$12,Paramètres!$A$1:$I$89,5,0)</f>
        <v>163.57535999999993</v>
      </c>
      <c r="CA36" s="13">
        <f t="shared" si="39"/>
        <v>41.647907659103069</v>
      </c>
      <c r="CB36" s="20">
        <f t="shared" si="10"/>
        <v>357.43052450627101</v>
      </c>
      <c r="CC36" s="59">
        <f t="shared" si="11"/>
        <v>650.76385783960427</v>
      </c>
      <c r="CD36" s="59">
        <f ca="1">AVERAGE(OFFSET($CC$3,0,0,'Données projet'!$E$12+1,1))-AVERAGE(OFFSET($H$3,0,0,'Données projet'!$E$12+1,1))</f>
        <v>314.94704727988847</v>
      </c>
      <c r="CE36" s="59">
        <f t="shared" si="40"/>
        <v>366.49199094166454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3.6897289983067854</v>
      </c>
      <c r="CL36" s="21">
        <f>EXP(-LN(2)/25)*CL35+(1-EXP(-LN(2)/25))/(LN(2)/25)*Calculateur!CG36*Calculateur!CI36*VLOOKUP('Données projet'!$B$12,Paramètres!$A$1:$I$89,3,0)*0.475*44/12</f>
        <v>23.37910906916921</v>
      </c>
      <c r="CM36" s="21">
        <f>EXP(-LN(2)/2)*CM35+(1-EXP(-LN(2)/2))/(LN(2)/2)*CG36*CJ36*VLOOKUP('Données projet'!$B$12,Paramètres!$A$1:$I$89,3,0)*0.475*44/12</f>
        <v>10.206816476965344</v>
      </c>
      <c r="CN36" s="22">
        <f t="shared" si="12"/>
        <v>37.275654544441338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11</v>
      </c>
      <c r="CT36" s="12">
        <f>IF('Données projet'!$A$140&gt;35,CT35+CS36-DB35,IF(A36&lt;'Données projet'!$A$140,$CQ$205^A36,IF(A36='Données projet'!$A$140,'Données projet'!$B$140,CT35+CS36-DB35)))</f>
        <v>126</v>
      </c>
      <c r="CU36" s="17">
        <f>CT36*VLOOKUP('Données projet'!$B$13,Paramètres!$A$1:$I$89,3,0)*VLOOKUP('Données projet'!$B$13,Paramètres!$A$1:$I$89,5,0)</f>
        <v>98.28</v>
      </c>
      <c r="CV36" s="13">
        <f t="shared" si="41"/>
        <v>26.551818424463473</v>
      </c>
      <c r="CW36" s="20">
        <f t="shared" si="13"/>
        <v>217.41541708927389</v>
      </c>
      <c r="CX36" s="59">
        <f t="shared" si="14"/>
        <v>510.7487504226072</v>
      </c>
      <c r="CY36" s="59">
        <f ca="1">AVERAGE(OFFSET($CX$3,0,0,'Données projet'!$E$13+1,1))-AVERAGE(OFFSET($H$3,0,0,'Données projet'!$E$13+1,1))</f>
        <v>261.59434871103355</v>
      </c>
      <c r="CZ36" s="59">
        <f t="shared" si="42"/>
        <v>194.97518096665976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1.9565710559525431</v>
      </c>
      <c r="DG36" s="21">
        <f>EXP(-LN(2)/25)*DG35+(1-EXP(-LN(2)/25))/(LN(2)/25)*Calculateur!DB36*Calculateur!DD36*VLOOKUP('Données projet'!$B$13,Paramètres!$A$1:$I$89,3,0)*0.475*44/12</f>
        <v>10.753115958785989</v>
      </c>
      <c r="DH36" s="21">
        <f>EXP(-LN(2)/2)*DH35+(1-EXP(-LN(2)/2))/(LN(2)/2)*DB36*DE36*VLOOKUP('Données projet'!$B$13,Paramètres!$A$1:$I$89,3,0)*0.475*44/12</f>
        <v>6.6261039049344754</v>
      </c>
      <c r="DI36" s="22">
        <f t="shared" si="15"/>
        <v>19.335790919673006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8.1999999999999993</v>
      </c>
      <c r="N37" s="13">
        <f>IF('Données projet'!$A$36&gt;35,N36+M37-V36,IF(A37&lt;'Données projet'!$A$36,$K$205^A37,IF(A37='Données projet'!$A$36,'Données projet'!$B$36,N36+M37-V36)))</f>
        <v>108.79999999999998</v>
      </c>
      <c r="O37" s="13">
        <f>N37*VLOOKUP('Données projet'!$B$9,Paramètres!$A$1:$I$89,3,0)*VLOOKUP('Données projet'!$B$9,Paramètres!$A$1:$I$89,5,0)</f>
        <v>98.442239999999984</v>
      </c>
      <c r="P37" s="13">
        <f t="shared" si="33"/>
        <v>26.590544283900247</v>
      </c>
      <c r="Q37" s="20">
        <f t="shared" si="53"/>
        <v>217.76543262779288</v>
      </c>
      <c r="R37" s="59">
        <f t="shared" si="0"/>
        <v>511.09876596112622</v>
      </c>
      <c r="S37" s="59">
        <f ca="1">AVERAGE(OFFSET($R$3,0,0,'Données projet'!$E$9+1,1))-AVERAGE(OFFSET($H$3,0,0,'Données projet'!$E$9+1,1))</f>
        <v>237.22177246688199</v>
      </c>
      <c r="T37" s="59">
        <f t="shared" si="34"/>
        <v>149.27472147904302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2.7798925331306776</v>
      </c>
      <c r="AB37" s="21">
        <f>EXP(-LN(2)/2)*AB36+(1-EXP(-LN(2)/2))/(LN(2)/2)*V37*Y37*VLOOKUP('Données projet'!$B$9,Paramètres!$A$1:$I$89,3,0)*0.475*44/12</f>
        <v>1.5473369636071068</v>
      </c>
      <c r="AC37" s="22">
        <f t="shared" si="3"/>
        <v>4.3272294967377842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11.5</v>
      </c>
      <c r="AI37" s="13">
        <f>IF('Données projet'!$A$62&gt;35,AI36+AH37-AQ36,IF(A37&lt;'Données projet'!$A$62,$AF$205^A37,IF(A37='Données projet'!$A$62,'Données projet'!$B$62,AI36+AH37-AQ36)))</f>
        <v>186.00000000000006</v>
      </c>
      <c r="AJ37" s="13">
        <f>AI37*VLOOKUP('Données projet'!$B$10,Paramètres!$A$1:$I$89,3,0)*VLOOKUP('Données projet'!$B$10,Paramètres!$A$1:$I$89,5,0)</f>
        <v>162.48960000000005</v>
      </c>
      <c r="AK37" s="13">
        <f t="shared" si="35"/>
        <v>41.403546033820696</v>
      </c>
      <c r="AL37" s="20">
        <f t="shared" si="4"/>
        <v>355.11389600890448</v>
      </c>
      <c r="AM37" s="59">
        <f t="shared" si="5"/>
        <v>648.44722934223773</v>
      </c>
      <c r="AN37" s="59">
        <f ca="1">AVERAGE(OFFSET($AM$3,0,0,'Données projet'!$E$10+1,1))-AVERAGE(OFFSET($H$3,0,0,'Données projet'!$E$10+1,1))</f>
        <v>243.38048563215585</v>
      </c>
      <c r="AO37" s="59">
        <f t="shared" si="36"/>
        <v>372.1604147006675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6.7520776960940889</v>
      </c>
      <c r="AV37" s="21">
        <f>EXP(-LN(2)/25)*AV36+(1-EXP(-LN(2)/25))/(LN(2)/25)*Calculateur!AQ37*Calculateur!AS37*VLOOKUP('Données projet'!$B$10,Paramètres!$A$1:$I$89,3,0)*0.475*44/12</f>
        <v>17.329858972335703</v>
      </c>
      <c r="AW37" s="21">
        <f>EXP(-LN(2)/2)*AW36+(1-EXP(-LN(2)/2))/(LN(2)/2)*AQ37*AT37*VLOOKUP('Données projet'!$B$10,Paramètres!$A$1:$I$89,3,0)*0.475*44/12</f>
        <v>7.3287348032905335</v>
      </c>
      <c r="AX37" s="21">
        <f t="shared" si="6"/>
        <v>31.410671471720324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22</v>
      </c>
      <c r="BD37" s="12">
        <f>IF('Données projet'!$A$88&gt;35,BD36+BC37-BL36,IF(A37&lt;'Données projet'!$A$88,$BA$205^A37,IF(A37='Données projet'!$A$88,'Données projet'!$B$88,BD36+BC37-BL36)))</f>
        <v>296.99999999999989</v>
      </c>
      <c r="BE37" s="13">
        <f>BD37*VLOOKUP('Données projet'!$B$11,Paramètres!$A$1:$I$89,3,0)*VLOOKUP('Données projet'!$B$11,Paramètres!$A$1:$I$89,5,0)</f>
        <v>166.02299999999994</v>
      </c>
      <c r="BF37" s="13">
        <f t="shared" si="37"/>
        <v>42.198084449395701</v>
      </c>
      <c r="BG37" s="20">
        <f t="shared" si="7"/>
        <v>362.6517220826974</v>
      </c>
      <c r="BH37" s="59">
        <f t="shared" si="8"/>
        <v>655.98505541603072</v>
      </c>
      <c r="BI37" s="59">
        <f ca="1">AVERAGE(OFFSET($BH$3,0,0,'Données projet'!$E$11+1,1))-AVERAGE(OFFSET($H$3,0,0,'Données projet'!$E$11+1,1))</f>
        <v>326.31232746914907</v>
      </c>
      <c r="BJ37" s="59">
        <f t="shared" si="38"/>
        <v>330.17137761430297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4.2200485600588058</v>
      </c>
      <c r="BQ37" s="21">
        <f>EXP(-LN(2)/25)*BQ36+(1-EXP(-LN(2)/25))/(LN(2)/25)*Calculateur!BL37*Calculateur!BN37*VLOOKUP('Données projet'!$B$11,Paramètres!$A$1:$I$89,3,0)*0.475*44/12</f>
        <v>27.005545164152213</v>
      </c>
      <c r="BR37" s="21">
        <f>EXP(-LN(2)/2)*BR36+(1-EXP(-LN(2)/2))/(LN(2)/2)*BL37*BO37*VLOOKUP('Données projet'!$B$11,Paramètres!$A$1:$I$89,3,0)*0.475*44/12</f>
        <v>8.1305220926088104</v>
      </c>
      <c r="BS37" s="22">
        <f t="shared" si="9"/>
        <v>39.35611581681983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14.2</v>
      </c>
      <c r="BY37" s="12">
        <f>IF('Données projet'!$A$114&gt;35,BY36+BX37-CG36,IF(A37&lt;'Données projet'!$A$114,$BV$205^A37,IF(A37='Données projet'!$A$114,'Données projet'!$B$114,BY36+BX37-CG36)))</f>
        <v>219.7999999999999</v>
      </c>
      <c r="BZ37" s="13">
        <f>BY37*VLOOKUP('Données projet'!$B$12,Paramètres!$A$1:$I$89,3,0)*VLOOKUP('Données projet'!$B$12,Paramètres!$A$1:$I$89,5,0)</f>
        <v>174.87287999999992</v>
      </c>
      <c r="CA37" s="13">
        <f t="shared" si="39"/>
        <v>44.179585076423599</v>
      </c>
      <c r="CB37" s="20">
        <f t="shared" si="10"/>
        <v>381.51637667477098</v>
      </c>
      <c r="CC37" s="59">
        <f t="shared" si="11"/>
        <v>674.84971000810424</v>
      </c>
      <c r="CD37" s="59">
        <f ca="1">AVERAGE(OFFSET($CC$3,0,0,'Données projet'!$E$12+1,1))-AVERAGE(OFFSET($H$3,0,0,'Données projet'!$E$12+1,1))</f>
        <v>314.94704727988847</v>
      </c>
      <c r="CE37" s="59">
        <f t="shared" si="40"/>
        <v>366.49199094166454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3.6173756631624587</v>
      </c>
      <c r="CL37" s="21">
        <f>EXP(-LN(2)/25)*CL36+(1-EXP(-LN(2)/25))/(LN(2)/25)*Calculateur!CG37*Calculateur!CI37*VLOOKUP('Données projet'!$B$12,Paramètres!$A$1:$I$89,3,0)*0.475*44/12</f>
        <v>22.739806102218868</v>
      </c>
      <c r="CM37" s="21">
        <f>EXP(-LN(2)/2)*CM36+(1-EXP(-LN(2)/2))/(LN(2)/2)*CG37*CJ37*VLOOKUP('Données projet'!$B$12,Paramètres!$A$1:$I$89,3,0)*0.475*44/12</f>
        <v>7.2173091451887812</v>
      </c>
      <c r="CN37" s="22">
        <f t="shared" si="12"/>
        <v>33.574490910570105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11</v>
      </c>
      <c r="CT37" s="12">
        <f>IF('Données projet'!$A$140&gt;35,CT36+CS37-DB36,IF(A37&lt;'Données projet'!$A$140,$CQ$205^A37,IF(A37='Données projet'!$A$140,'Données projet'!$B$140,CT36+CS37-DB36)))</f>
        <v>137</v>
      </c>
      <c r="CU37" s="17">
        <f>CT37*VLOOKUP('Données projet'!$B$13,Paramètres!$A$1:$I$89,3,0)*VLOOKUP('Données projet'!$B$13,Paramètres!$A$1:$I$89,5,0)</f>
        <v>106.86</v>
      </c>
      <c r="CV37" s="13">
        <f t="shared" si="41"/>
        <v>28.58993374707903</v>
      </c>
      <c r="CW37" s="20">
        <f t="shared" si="13"/>
        <v>235.90863460949595</v>
      </c>
      <c r="CX37" s="59">
        <f t="shared" si="14"/>
        <v>529.24196794282921</v>
      </c>
      <c r="CY37" s="59">
        <f ca="1">AVERAGE(OFFSET($CX$3,0,0,'Données projet'!$E$13+1,1))-AVERAGE(OFFSET($H$3,0,0,'Données projet'!$E$13+1,1))</f>
        <v>261.59434871103355</v>
      </c>
      <c r="CZ37" s="59">
        <f t="shared" si="42"/>
        <v>194.97518096665976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1.9182038909358203</v>
      </c>
      <c r="DG37" s="21">
        <f>EXP(-LN(2)/25)*DG36+(1-EXP(-LN(2)/25))/(LN(2)/25)*Calculateur!DB37*Calculateur!DD37*VLOOKUP('Données projet'!$B$13,Paramètres!$A$1:$I$89,3,0)*0.475*44/12</f>
        <v>10.459071437411193</v>
      </c>
      <c r="DH37" s="21">
        <f>EXP(-LN(2)/2)*DH36+(1-EXP(-LN(2)/2))/(LN(2)/2)*DB37*DE37*VLOOKUP('Données projet'!$B$13,Paramètres!$A$1:$I$89,3,0)*0.475*44/12</f>
        <v>4.6853630040258309</v>
      </c>
      <c r="DI37" s="22">
        <f t="shared" si="15"/>
        <v>17.062638332372845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8.1999999999999993</v>
      </c>
      <c r="N38" s="13">
        <f>IF('Données projet'!$A$36&gt;35,N37+M38-V37,IF(A38&lt;'Données projet'!$A$36,$K$205^A38,IF(A38='Données projet'!$A$36,'Données projet'!$B$36,N37+M38-V37)))</f>
        <v>116.99999999999999</v>
      </c>
      <c r="O38" s="13">
        <f>N38*VLOOKUP('Données projet'!$B$9,Paramètres!$A$1:$I$89,3,0)*VLOOKUP('Données projet'!$B$9,Paramètres!$A$1:$I$89,5,0)</f>
        <v>105.86159999999998</v>
      </c>
      <c r="P38" s="13">
        <f t="shared" si="33"/>
        <v>28.353779818951288</v>
      </c>
      <c r="Q38" s="20">
        <f t="shared" si="53"/>
        <v>233.75845318467347</v>
      </c>
      <c r="R38" s="59">
        <f t="shared" si="0"/>
        <v>527.09178651800676</v>
      </c>
      <c r="S38" s="59">
        <f ca="1">AVERAGE(OFFSET($R$3,0,0,'Données projet'!$E$9+1,1))-AVERAGE(OFFSET($H$3,0,0,'Données projet'!$E$9+1,1))</f>
        <v>237.22177246688199</v>
      </c>
      <c r="T38" s="59">
        <f t="shared" si="34"/>
        <v>149.27472147904302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2.7038762256240245</v>
      </c>
      <c r="AB38" s="21">
        <f>EXP(-LN(2)/2)*AB37+(1-EXP(-LN(2)/2))/(LN(2)/2)*V38*Y38*VLOOKUP('Données projet'!$B$9,Paramètres!$A$1:$I$89,3,0)*0.475*44/12</f>
        <v>1.0941324597471873</v>
      </c>
      <c r="AC38" s="22">
        <f t="shared" si="3"/>
        <v>3.7980086853712116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11.5</v>
      </c>
      <c r="AI38" s="13">
        <f>IF('Données projet'!$A$62&gt;35,AI37+AH38-AQ37,IF(A38&lt;'Données projet'!$A$62,$AF$205^A38,IF(A38='Données projet'!$A$62,'Données projet'!$B$62,AI37+AH38-AQ37)))</f>
        <v>197.50000000000006</v>
      </c>
      <c r="AJ38" s="13">
        <f>AI38*VLOOKUP('Données projet'!$B$10,Paramètres!$A$1:$I$89,3,0)*VLOOKUP('Données projet'!$B$10,Paramètres!$A$1:$I$89,5,0)</f>
        <v>172.53600000000006</v>
      </c>
      <c r="AK38" s="13">
        <f t="shared" si="35"/>
        <v>43.657512815796977</v>
      </c>
      <c r="AL38" s="20">
        <f t="shared" si="4"/>
        <v>376.53703482084643</v>
      </c>
      <c r="AM38" s="59">
        <f t="shared" si="5"/>
        <v>669.87036815417969</v>
      </c>
      <c r="AN38" s="59">
        <f ca="1">AVERAGE(OFFSET($AM$3,0,0,'Données projet'!$E$10+1,1))-AVERAGE(OFFSET($H$3,0,0,'Données projet'!$E$10+1,1))</f>
        <v>243.38048563215585</v>
      </c>
      <c r="AO38" s="59">
        <f t="shared" si="36"/>
        <v>372.1604147006675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6.6196735708344239</v>
      </c>
      <c r="AV38" s="21">
        <f>EXP(-LN(2)/25)*AV37+(1-EXP(-LN(2)/25))/(LN(2)/25)*Calculateur!AQ38*Calculateur!AS38*VLOOKUP('Données projet'!$B$10,Paramètres!$A$1:$I$89,3,0)*0.475*44/12</f>
        <v>16.855973067399507</v>
      </c>
      <c r="AW38" s="21">
        <f>EXP(-LN(2)/2)*AW37+(1-EXP(-LN(2)/2))/(LN(2)/2)*AQ38*AT38*VLOOKUP('Données projet'!$B$10,Paramètres!$A$1:$I$89,3,0)*0.475*44/12</f>
        <v>5.1821980769245952</v>
      </c>
      <c r="AX38" s="21">
        <f t="shared" si="6"/>
        <v>28.657844715158529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22</v>
      </c>
      <c r="BD38" s="12">
        <f>IF('Données projet'!$A$88&gt;35,BD37+BC38-BL37,IF(A38&lt;'Données projet'!$A$88,$BA$205^A38,IF(A38='Données projet'!$A$88,'Données projet'!$B$88,BD37+BC38-BL37)))</f>
        <v>318.99999999999989</v>
      </c>
      <c r="BE38" s="13">
        <f>BD38*VLOOKUP('Données projet'!$B$11,Paramètres!$A$1:$I$89,3,0)*VLOOKUP('Données projet'!$B$11,Paramètres!$A$1:$I$89,5,0)</f>
        <v>178.32099999999994</v>
      </c>
      <c r="BF38" s="13">
        <f t="shared" si="37"/>
        <v>44.948436103175418</v>
      </c>
      <c r="BG38" s="20">
        <f t="shared" si="7"/>
        <v>388.86093454636375</v>
      </c>
      <c r="BH38" s="59">
        <f t="shared" si="8"/>
        <v>682.19426787969701</v>
      </c>
      <c r="BI38" s="59">
        <f ca="1">AVERAGE(OFFSET($BH$3,0,0,'Données projet'!$E$11+1,1))-AVERAGE(OFFSET($H$3,0,0,'Données projet'!$E$11+1,1))</f>
        <v>326.31232746914907</v>
      </c>
      <c r="BJ38" s="59">
        <f t="shared" si="38"/>
        <v>330.17137761430297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4.1372959817715156</v>
      </c>
      <c r="BQ38" s="21">
        <f>EXP(-LN(2)/25)*BQ37+(1-EXP(-LN(2)/25))/(LN(2)/25)*Calculateur!BL38*Calculateur!BN38*VLOOKUP('Données projet'!$B$11,Paramètres!$A$1:$I$89,3,0)*0.475*44/12</f>
        <v>26.267077111478574</v>
      </c>
      <c r="BR38" s="21">
        <f>EXP(-LN(2)/2)*BR37+(1-EXP(-LN(2)/2))/(LN(2)/2)*BL38*BO38*VLOOKUP('Données projet'!$B$11,Paramètres!$A$1:$I$89,3,0)*0.475*44/12</f>
        <v>5.7491473062707286</v>
      </c>
      <c r="BS38" s="22">
        <f t="shared" si="9"/>
        <v>36.153520399520815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14.2</v>
      </c>
      <c r="BY38" s="12">
        <f>IF('Données projet'!$A$114&gt;35,BY37+BX38-CG37,IF(A38&lt;'Données projet'!$A$114,$BV$205^A38,IF(A38='Données projet'!$A$114,'Données projet'!$B$114,BY37+BX38-CG37)))</f>
        <v>233.99999999999989</v>
      </c>
      <c r="BZ38" s="13">
        <f>BY38*VLOOKUP('Données projet'!$B$12,Paramètres!$A$1:$I$89,3,0)*VLOOKUP('Données projet'!$B$12,Paramètres!$A$1:$I$89,5,0)</f>
        <v>186.17039999999992</v>
      </c>
      <c r="CA38" s="13">
        <f t="shared" si="39"/>
        <v>46.692281933796018</v>
      </c>
      <c r="CB38" s="20">
        <f t="shared" si="10"/>
        <v>405.56917103469459</v>
      </c>
      <c r="CC38" s="59">
        <f t="shared" si="11"/>
        <v>698.90250436802785</v>
      </c>
      <c r="CD38" s="59">
        <f ca="1">AVERAGE(OFFSET($CC$3,0,0,'Données projet'!$E$12+1,1))-AVERAGE(OFFSET($H$3,0,0,'Données projet'!$E$12+1,1))</f>
        <v>314.94704727988847</v>
      </c>
      <c r="CE38" s="59">
        <f t="shared" si="40"/>
        <v>366.49199094166454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3.5464411327891354</v>
      </c>
      <c r="CL38" s="21">
        <f>EXP(-LN(2)/25)*CL37+(1-EXP(-LN(2)/25))/(LN(2)/25)*Calculateur!CG38*Calculateur!CI38*VLOOKUP('Données projet'!$B$12,Paramètres!$A$1:$I$89,3,0)*0.475*44/12</f>
        <v>22.117984908519261</v>
      </c>
      <c r="CM38" s="21">
        <f>EXP(-LN(2)/2)*CM37+(1-EXP(-LN(2)/2))/(LN(2)/2)*CG38*CJ38*VLOOKUP('Données projet'!$B$12,Paramètres!$A$1:$I$89,3,0)*0.475*44/12</f>
        <v>5.1034082384826718</v>
      </c>
      <c r="CN38" s="22">
        <f t="shared" si="12"/>
        <v>30.767834279791067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11</v>
      </c>
      <c r="CT38" s="12">
        <f>IF('Données projet'!$A$140&gt;35,CT37+CS38-DB37,IF(A38&lt;'Données projet'!$A$140,$CQ$205^A38,IF(A38='Données projet'!$A$140,'Données projet'!$B$140,CT37+CS38-DB37)))</f>
        <v>148</v>
      </c>
      <c r="CU38" s="17">
        <f>CT38*VLOOKUP('Données projet'!$B$13,Paramètres!$A$1:$I$89,3,0)*VLOOKUP('Données projet'!$B$13,Paramètres!$A$1:$I$89,5,0)</f>
        <v>115.44</v>
      </c>
      <c r="CV38" s="13">
        <f t="shared" si="41"/>
        <v>30.60906809471021</v>
      </c>
      <c r="CW38" s="20">
        <f t="shared" si="13"/>
        <v>254.36879359828689</v>
      </c>
      <c r="CX38" s="59">
        <f t="shared" si="14"/>
        <v>547.70212693162023</v>
      </c>
      <c r="CY38" s="59">
        <f ca="1">AVERAGE(OFFSET($CX$3,0,0,'Données projet'!$E$13+1,1))-AVERAGE(OFFSET($H$3,0,0,'Données projet'!$E$13+1,1))</f>
        <v>261.59434871103355</v>
      </c>
      <c r="CZ38" s="59">
        <f t="shared" si="42"/>
        <v>194.97518096665976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1.8805890826234155</v>
      </c>
      <c r="DG38" s="21">
        <f>EXP(-LN(2)/25)*DG37+(1-EXP(-LN(2)/25))/(LN(2)/25)*Calculateur!DB38*Calculateur!DD38*VLOOKUP('Données projet'!$B$13,Paramètres!$A$1:$I$89,3,0)*0.475*44/12</f>
        <v>10.173067578936521</v>
      </c>
      <c r="DH38" s="21">
        <f>EXP(-LN(2)/2)*DH37+(1-EXP(-LN(2)/2))/(LN(2)/2)*DB38*DE38*VLOOKUP('Données projet'!$B$13,Paramètres!$A$1:$I$89,3,0)*0.475*44/12</f>
        <v>3.3130519524672386</v>
      </c>
      <c r="DI38" s="22">
        <f t="shared" si="15"/>
        <v>15.366708614027177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8.1999999999999993</v>
      </c>
      <c r="N39" s="13">
        <f>IF('Données projet'!$A$36&gt;35,N38+M39-V38,IF(A39&lt;'Données projet'!$A$36,$K$205^A39,IF(A39='Données projet'!$A$36,'Données projet'!$B$36,N38+M39-V38)))</f>
        <v>125.19999999999999</v>
      </c>
      <c r="O39" s="13">
        <f>N39*VLOOKUP('Données projet'!$B$9,Paramètres!$A$1:$I$89,3,0)*VLOOKUP('Données projet'!$B$9,Paramètres!$A$1:$I$89,5,0)</f>
        <v>113.28095999999998</v>
      </c>
      <c r="P39" s="13">
        <f t="shared" si="33"/>
        <v>30.102677097724456</v>
      </c>
      <c r="Q39" s="20">
        <f t="shared" si="53"/>
        <v>249.72650127853672</v>
      </c>
      <c r="R39" s="59">
        <f t="shared" si="0"/>
        <v>543.05983461186997</v>
      </c>
      <c r="S39" s="59">
        <f ca="1">AVERAGE(OFFSET($R$3,0,0,'Données projet'!$E$9+1,1))-AVERAGE(OFFSET($H$3,0,0,'Données projet'!$E$9+1,1))</f>
        <v>237.22177246688199</v>
      </c>
      <c r="T39" s="59">
        <f t="shared" si="34"/>
        <v>149.27472147904302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2.6299385880436645</v>
      </c>
      <c r="AB39" s="21">
        <f>EXP(-LN(2)/2)*AB38+(1-EXP(-LN(2)/2))/(LN(2)/2)*V39*Y39*VLOOKUP('Données projet'!$B$9,Paramètres!$A$1:$I$89,3,0)*0.475*44/12</f>
        <v>0.77366848180355341</v>
      </c>
      <c r="AC39" s="22">
        <f t="shared" si="3"/>
        <v>3.4036070698472178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11.5</v>
      </c>
      <c r="AI39" s="13">
        <f>IF('Données projet'!$A$62&gt;35,AI38+AH39-AQ38,IF(A39&lt;'Données projet'!$A$62,$AF$205^A39,IF(A39='Données projet'!$A$62,'Données projet'!$B$62,AI38+AH39-AQ38)))</f>
        <v>209.00000000000006</v>
      </c>
      <c r="AJ39" s="13">
        <f>AI39*VLOOKUP('Données projet'!$B$10,Paramètres!$A$1:$I$89,3,0)*VLOOKUP('Données projet'!$B$10,Paramètres!$A$1:$I$89,5,0)</f>
        <v>182.58240000000009</v>
      </c>
      <c r="AK39" s="13">
        <f t="shared" si="35"/>
        <v>45.896245406460288</v>
      </c>
      <c r="AL39" s="20">
        <f t="shared" si="4"/>
        <v>397.93364074958509</v>
      </c>
      <c r="AM39" s="59">
        <f t="shared" si="5"/>
        <v>691.26697408291841</v>
      </c>
      <c r="AN39" s="59">
        <f ca="1">AVERAGE(OFFSET($AM$3,0,0,'Données projet'!$E$10+1,1))-AVERAGE(OFFSET($H$3,0,0,'Données projet'!$E$10+1,1))</f>
        <v>243.38048563215585</v>
      </c>
      <c r="AO39" s="59">
        <f t="shared" si="36"/>
        <v>372.1604147006675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6.4898658097125592</v>
      </c>
      <c r="AV39" s="21">
        <f>EXP(-LN(2)/25)*AV38+(1-EXP(-LN(2)/25))/(LN(2)/25)*Calculateur!AQ39*Calculateur!AS39*VLOOKUP('Données projet'!$B$10,Paramètres!$A$1:$I$89,3,0)*0.475*44/12</f>
        <v>16.39504559745437</v>
      </c>
      <c r="AW39" s="21">
        <f>EXP(-LN(2)/2)*AW38+(1-EXP(-LN(2)/2))/(LN(2)/2)*AQ39*AT39*VLOOKUP('Données projet'!$B$10,Paramètres!$A$1:$I$89,3,0)*0.475*44/12</f>
        <v>3.6643674016452672</v>
      </c>
      <c r="AX39" s="21">
        <f t="shared" si="6"/>
        <v>26.549278808812197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22</v>
      </c>
      <c r="BD39" s="12">
        <f>IF('Données projet'!$A$88&gt;35,BD38+BC39-BL38,IF(A39&lt;'Données projet'!$A$88,$BA$205^A39,IF(A39='Données projet'!$A$88,'Données projet'!$B$88,BD38+BC39-BL38)))</f>
        <v>340.99999999999989</v>
      </c>
      <c r="BE39" s="13">
        <f>BD39*VLOOKUP('Données projet'!$B$11,Paramètres!$A$1:$I$89,3,0)*VLOOKUP('Données projet'!$B$11,Paramètres!$A$1:$I$89,5,0)</f>
        <v>190.61899999999991</v>
      </c>
      <c r="BF39" s="13">
        <f t="shared" si="37"/>
        <v>47.676779045481801</v>
      </c>
      <c r="BG39" s="20">
        <f t="shared" si="7"/>
        <v>415.03181517088063</v>
      </c>
      <c r="BH39" s="59">
        <f t="shared" si="8"/>
        <v>708.36514850421395</v>
      </c>
      <c r="BI39" s="59">
        <f ca="1">AVERAGE(OFFSET($BH$3,0,0,'Données projet'!$E$11+1,1))-AVERAGE(OFFSET($H$3,0,0,'Données projet'!$E$11+1,1))</f>
        <v>326.31232746914907</v>
      </c>
      <c r="BJ39" s="59">
        <f t="shared" si="38"/>
        <v>330.17137761430297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4.0561661310703503</v>
      </c>
      <c r="BQ39" s="21">
        <f>EXP(-LN(2)/25)*BQ38+(1-EXP(-LN(2)/25))/(LN(2)/25)*Calculateur!BL39*Calculateur!BN39*VLOOKUP('Données projet'!$B$11,Paramètres!$A$1:$I$89,3,0)*0.475*44/12</f>
        <v>25.548802506539641</v>
      </c>
      <c r="BR39" s="21">
        <f>EXP(-LN(2)/2)*BR38+(1-EXP(-LN(2)/2))/(LN(2)/2)*BL39*BO39*VLOOKUP('Données projet'!$B$11,Paramètres!$A$1:$I$89,3,0)*0.475*44/12</f>
        <v>4.0652610463044052</v>
      </c>
      <c r="BS39" s="22">
        <f t="shared" si="9"/>
        <v>33.6702296839144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14.2</v>
      </c>
      <c r="BY39" s="12">
        <f>IF('Données projet'!$A$114&gt;35,BY38+BX39-CG38,IF(A39&lt;'Données projet'!$A$114,$BV$205^A39,IF(A39='Données projet'!$A$114,'Données projet'!$B$114,BY38+BX39-CG38)))</f>
        <v>248.19999999999987</v>
      </c>
      <c r="BZ39" s="13">
        <f>BY39*VLOOKUP('Données projet'!$B$12,Paramètres!$A$1:$I$89,3,0)*VLOOKUP('Données projet'!$B$12,Paramètres!$A$1:$I$89,5,0)</f>
        <v>197.46791999999991</v>
      </c>
      <c r="CA39" s="13">
        <f t="shared" si="39"/>
        <v>49.187281204902298</v>
      </c>
      <c r="CB39" s="20">
        <f t="shared" si="10"/>
        <v>429.591142098538</v>
      </c>
      <c r="CC39" s="59">
        <f t="shared" si="11"/>
        <v>722.92447543187131</v>
      </c>
      <c r="CD39" s="59">
        <f ca="1">AVERAGE(OFFSET($CC$3,0,0,'Données projet'!$E$12+1,1))-AVERAGE(OFFSET($H$3,0,0,'Données projet'!$E$12+1,1))</f>
        <v>314.94704727988847</v>
      </c>
      <c r="CE39" s="59">
        <f t="shared" si="40"/>
        <v>366.49199094166454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3.4768975852906414</v>
      </c>
      <c r="CL39" s="21">
        <f>EXP(-LN(2)/25)*CL38+(1-EXP(-LN(2)/25))/(LN(2)/25)*Calculateur!CG39*Calculateur!CI39*VLOOKUP('Données projet'!$B$12,Paramètres!$A$1:$I$89,3,0)*0.475*44/12</f>
        <v>21.513167448061527</v>
      </c>
      <c r="CM39" s="21">
        <f>EXP(-LN(2)/2)*CM38+(1-EXP(-LN(2)/2))/(LN(2)/2)*CG39*CJ39*VLOOKUP('Données projet'!$B$12,Paramètres!$A$1:$I$89,3,0)*0.475*44/12</f>
        <v>3.6086545725943906</v>
      </c>
      <c r="CN39" s="22">
        <f t="shared" si="12"/>
        <v>28.598719605946556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11</v>
      </c>
      <c r="CT39" s="12">
        <f>IF('Données projet'!$A$140&gt;35,CT38+CS39-DB38,IF(A39&lt;'Données projet'!$A$140,$CQ$205^A39,IF(A39='Données projet'!$A$140,'Données projet'!$B$140,CT38+CS39-DB38)))</f>
        <v>159</v>
      </c>
      <c r="CU39" s="17">
        <f>CT39*VLOOKUP('Données projet'!$B$13,Paramètres!$A$1:$I$89,3,0)*VLOOKUP('Données projet'!$B$13,Paramètres!$A$1:$I$89,5,0)</f>
        <v>124.02000000000001</v>
      </c>
      <c r="CV39" s="13">
        <f t="shared" si="41"/>
        <v>32.610792634958898</v>
      </c>
      <c r="CW39" s="20">
        <f t="shared" si="13"/>
        <v>272.79863050588676</v>
      </c>
      <c r="CX39" s="59">
        <f t="shared" si="14"/>
        <v>566.13196383922013</v>
      </c>
      <c r="CY39" s="59">
        <f ca="1">AVERAGE(OFFSET($CX$3,0,0,'Données projet'!$E$13+1,1))-AVERAGE(OFFSET($H$3,0,0,'Données projet'!$E$13+1,1))</f>
        <v>261.59434871103355</v>
      </c>
      <c r="CZ39" s="59">
        <f t="shared" si="42"/>
        <v>194.97518096665976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1.8437118777592494</v>
      </c>
      <c r="DG39" s="21">
        <f>EXP(-LN(2)/25)*DG38+(1-EXP(-LN(2)/25))/(LN(2)/25)*Calculateur!DB39*Calculateur!DD39*VLOOKUP('Données projet'!$B$13,Paramètres!$A$1:$I$89,3,0)*0.475*44/12</f>
        <v>9.8948845110121297</v>
      </c>
      <c r="DH39" s="21">
        <f>EXP(-LN(2)/2)*DH38+(1-EXP(-LN(2)/2))/(LN(2)/2)*DB39*DE39*VLOOKUP('Données projet'!$B$13,Paramètres!$A$1:$I$89,3,0)*0.475*44/12</f>
        <v>2.3426815020129159</v>
      </c>
      <c r="DI39" s="22">
        <f t="shared" si="15"/>
        <v>14.081277890784294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8.1999999999999993</v>
      </c>
      <c r="N40" s="13">
        <f>IF('Données projet'!$A$36&gt;35,N39+M40-V39,IF(A40&lt;'Données projet'!$A$36,$K$205^A40,IF(A40='Données projet'!$A$36,'Données projet'!$B$36,N39+M40-V39)))</f>
        <v>133.39999999999998</v>
      </c>
      <c r="O40" s="13">
        <f>N40*VLOOKUP('Données projet'!$B$9,Paramètres!$A$1:$I$89,3,0)*VLOOKUP('Données projet'!$B$9,Paramètres!$A$1:$I$89,5,0)</f>
        <v>120.70031999999998</v>
      </c>
      <c r="P40" s="13">
        <f t="shared" si="33"/>
        <v>31.838282075030818</v>
      </c>
      <c r="Q40" s="20">
        <f t="shared" si="53"/>
        <v>265.67139861401193</v>
      </c>
      <c r="R40" s="59">
        <f t="shared" si="0"/>
        <v>559.00473194734525</v>
      </c>
      <c r="S40" s="59">
        <f ca="1">AVERAGE(OFFSET($R$3,0,0,'Données projet'!$E$9+1,1))-AVERAGE(OFFSET($H$3,0,0,'Données projet'!$E$9+1,1))</f>
        <v>237.22177246688199</v>
      </c>
      <c r="T40" s="59">
        <f t="shared" si="34"/>
        <v>149.27472147904302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2.5580227790511509</v>
      </c>
      <c r="AB40" s="21">
        <f>EXP(-LN(2)/2)*AB39+(1-EXP(-LN(2)/2))/(LN(2)/2)*V40*Y40*VLOOKUP('Données projet'!$B$9,Paramètres!$A$1:$I$89,3,0)*0.475*44/12</f>
        <v>0.54706622987359366</v>
      </c>
      <c r="AC40" s="22">
        <f t="shared" si="3"/>
        <v>3.1050890089247445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11.5</v>
      </c>
      <c r="AI40" s="13">
        <f>IF('Données projet'!$A$62&gt;35,AI39+AH40-AQ39,IF(A40&lt;'Données projet'!$A$62,$AF$205^A40,IF(A40='Données projet'!$A$62,'Données projet'!$B$62,AI39+AH40-AQ39)))</f>
        <v>220.50000000000006</v>
      </c>
      <c r="AJ40" s="13">
        <f>AI40*VLOOKUP('Données projet'!$B$10,Paramètres!$A$1:$I$89,3,0)*VLOOKUP('Données projet'!$B$10,Paramètres!$A$1:$I$89,5,0)</f>
        <v>192.62880000000007</v>
      </c>
      <c r="AK40" s="13">
        <f t="shared" si="35"/>
        <v>48.120677599655217</v>
      </c>
      <c r="AL40" s="20">
        <f t="shared" si="4"/>
        <v>419.30534015273292</v>
      </c>
      <c r="AM40" s="59">
        <f t="shared" si="5"/>
        <v>712.63867348606618</v>
      </c>
      <c r="AN40" s="59">
        <f ca="1">AVERAGE(OFFSET($AM$3,0,0,'Données projet'!$E$10+1,1))-AVERAGE(OFFSET($H$3,0,0,'Données projet'!$E$10+1,1))</f>
        <v>243.38048563215585</v>
      </c>
      <c r="AO40" s="59">
        <f t="shared" si="36"/>
        <v>372.1604147006675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6.3626034996113781</v>
      </c>
      <c r="AV40" s="21">
        <f>EXP(-LN(2)/25)*AV39+(1-EXP(-LN(2)/25))/(LN(2)/25)*Calculateur!AQ40*Calculateur!AS40*VLOOKUP('Données projet'!$B$10,Paramètres!$A$1:$I$89,3,0)*0.475*44/12</f>
        <v>15.946722213414004</v>
      </c>
      <c r="AW40" s="21">
        <f>EXP(-LN(2)/2)*AW39+(1-EXP(-LN(2)/2))/(LN(2)/2)*AQ40*AT40*VLOOKUP('Données projet'!$B$10,Paramètres!$A$1:$I$89,3,0)*0.475*44/12</f>
        <v>2.5910990384622981</v>
      </c>
      <c r="AX40" s="21">
        <f t="shared" si="6"/>
        <v>24.900424751487677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22</v>
      </c>
      <c r="BD40" s="12">
        <f>IF('Données projet'!$A$88&gt;35,BD39+BC40-BL39,IF(A40&lt;'Données projet'!$A$88,$BA$205^A40,IF(A40='Données projet'!$A$88,'Données projet'!$B$88,BD39+BC40-BL39)))</f>
        <v>362.99999999999989</v>
      </c>
      <c r="BE40" s="13">
        <f>BD40*VLOOKUP('Données projet'!$B$11,Paramètres!$A$1:$I$89,3,0)*VLOOKUP('Données projet'!$B$11,Paramètres!$A$1:$I$89,5,0)</f>
        <v>202.91699999999994</v>
      </c>
      <c r="BF40" s="13">
        <f t="shared" si="37"/>
        <v>50.384694798587844</v>
      </c>
      <c r="BG40" s="20">
        <f t="shared" si="7"/>
        <v>441.16711844087371</v>
      </c>
      <c r="BH40" s="59">
        <f t="shared" si="8"/>
        <v>734.50045177420702</v>
      </c>
      <c r="BI40" s="59">
        <f ca="1">AVERAGE(OFFSET($BH$3,0,0,'Données projet'!$E$11+1,1))-AVERAGE(OFFSET($H$3,0,0,'Données projet'!$E$11+1,1))</f>
        <v>326.31232746914907</v>
      </c>
      <c r="BJ40" s="59">
        <f t="shared" si="38"/>
        <v>330.17137761430297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3.9766271872571117</v>
      </c>
      <c r="BQ40" s="21">
        <f>EXP(-LN(2)/25)*BQ39+(1-EXP(-LN(2)/25))/(LN(2)/25)*Calculateur!BL40*Calculateur!BN40*VLOOKUP('Données projet'!$B$11,Paramètres!$A$1:$I$89,3,0)*0.475*44/12</f>
        <v>24.850169158445183</v>
      </c>
      <c r="BR40" s="21">
        <f>EXP(-LN(2)/2)*BR39+(1-EXP(-LN(2)/2))/(LN(2)/2)*BL40*BO40*VLOOKUP('Données projet'!$B$11,Paramètres!$A$1:$I$89,3,0)*0.475*44/12</f>
        <v>2.8745736531353643</v>
      </c>
      <c r="BS40" s="22">
        <f t="shared" si="9"/>
        <v>31.701369998837659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14.2</v>
      </c>
      <c r="BY40" s="12">
        <f>IF('Données projet'!$A$114&gt;35,BY39+BX40-CG39,IF(A40&lt;'Données projet'!$A$114,$BV$205^A40,IF(A40='Données projet'!$A$114,'Données projet'!$B$114,BY39+BX40-CG39)))</f>
        <v>262.39999999999986</v>
      </c>
      <c r="BZ40" s="13">
        <f>BY40*VLOOKUP('Données projet'!$B$12,Paramètres!$A$1:$I$89,3,0)*VLOOKUP('Données projet'!$B$12,Paramètres!$A$1:$I$89,5,0)</f>
        <v>208.7654399999999</v>
      </c>
      <c r="CA40" s="13">
        <f t="shared" si="39"/>
        <v>51.665710768737398</v>
      </c>
      <c r="CB40" s="20">
        <f t="shared" si="10"/>
        <v>453.58425425555083</v>
      </c>
      <c r="CC40" s="59">
        <f t="shared" si="11"/>
        <v>746.91758758888409</v>
      </c>
      <c r="CD40" s="59">
        <f ca="1">AVERAGE(OFFSET($CC$3,0,0,'Données projet'!$E$12+1,1))-AVERAGE(OFFSET($H$3,0,0,'Données projet'!$E$12+1,1))</f>
        <v>314.94704727988847</v>
      </c>
      <c r="CE40" s="59">
        <f t="shared" si="40"/>
        <v>366.49199094166454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3.4087177443412173</v>
      </c>
      <c r="CL40" s="21">
        <f>EXP(-LN(2)/25)*CL39+(1-EXP(-LN(2)/25))/(LN(2)/25)*Calculateur!CG40*Calculateur!CI40*VLOOKUP('Données projet'!$B$12,Paramètres!$A$1:$I$89,3,0)*0.475*44/12</f>
        <v>20.924888752865979</v>
      </c>
      <c r="CM40" s="21">
        <f>EXP(-LN(2)/2)*CM39+(1-EXP(-LN(2)/2))/(LN(2)/2)*CG40*CJ40*VLOOKUP('Données projet'!$B$12,Paramètres!$A$1:$I$89,3,0)*0.475*44/12</f>
        <v>2.5517041192413359</v>
      </c>
      <c r="CN40" s="22">
        <f t="shared" si="12"/>
        <v>26.885310616448532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11</v>
      </c>
      <c r="CT40" s="12">
        <f>IF('Données projet'!$A$140&gt;35,CT39+CS40-DB39,IF(A40&lt;'Données projet'!$A$140,$CQ$205^A40,IF(A40='Données projet'!$A$140,'Données projet'!$B$140,CT39+CS40-DB39)))</f>
        <v>170</v>
      </c>
      <c r="CU40" s="17">
        <f>CT40*VLOOKUP('Données projet'!$B$13,Paramètres!$A$1:$I$89,3,0)*VLOOKUP('Données projet'!$B$13,Paramètres!$A$1:$I$89,5,0)</f>
        <v>132.6</v>
      </c>
      <c r="CV40" s="13">
        <f t="shared" si="41"/>
        <v>34.59644883263644</v>
      </c>
      <c r="CW40" s="20">
        <f t="shared" si="13"/>
        <v>291.20048171684181</v>
      </c>
      <c r="CX40" s="59">
        <f t="shared" si="14"/>
        <v>584.53381505017512</v>
      </c>
      <c r="CY40" s="59">
        <f ca="1">AVERAGE(OFFSET($CX$3,0,0,'Données projet'!$E$13+1,1))-AVERAGE(OFFSET($H$3,0,0,'Données projet'!$E$13+1,1))</f>
        <v>261.59434871103355</v>
      </c>
      <c r="CZ40" s="59">
        <f t="shared" si="42"/>
        <v>194.97518096665976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1.8075578123895955</v>
      </c>
      <c r="DG40" s="21">
        <f>EXP(-LN(2)/25)*DG39+(1-EXP(-LN(2)/25))/(LN(2)/25)*Calculateur!DB40*Calculateur!DD40*VLOOKUP('Données projet'!$B$13,Paramètres!$A$1:$I$89,3,0)*0.475*44/12</f>
        <v>9.6243083737091411</v>
      </c>
      <c r="DH40" s="21">
        <f>EXP(-LN(2)/2)*DH39+(1-EXP(-LN(2)/2))/(LN(2)/2)*DB40*DE40*VLOOKUP('Données projet'!$B$13,Paramètres!$A$1:$I$89,3,0)*0.475*44/12</f>
        <v>1.6565259762336195</v>
      </c>
      <c r="DI40" s="22">
        <f t="shared" si="15"/>
        <v>13.088392162332354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8.1999999999999993</v>
      </c>
      <c r="N41" s="13">
        <f>IF('Données projet'!$A$36&gt;35,N40+M41-V40,IF(A41&lt;'Données projet'!$A$36,$K$205^A41,IF(A41='Données projet'!$A$36,'Données projet'!$B$36,N40+M41-V40)))</f>
        <v>141.59999999999997</v>
      </c>
      <c r="O41" s="13">
        <f>N41*VLOOKUP('Données projet'!$B$9,Paramètres!$A$1:$I$89,3,0)*VLOOKUP('Données projet'!$B$9,Paramètres!$A$1:$I$89,5,0)</f>
        <v>128.11967999999996</v>
      </c>
      <c r="P41" s="13">
        <f t="shared" si="33"/>
        <v>33.561504850994297</v>
      </c>
      <c r="Q41" s="20">
        <f t="shared" si="53"/>
        <v>281.5947302821483</v>
      </c>
      <c r="R41" s="59">
        <f t="shared" si="0"/>
        <v>574.92806361548162</v>
      </c>
      <c r="S41" s="59">
        <f ca="1">AVERAGE(OFFSET($R$3,0,0,'Données projet'!$E$9+1,1))-AVERAGE(OFFSET($H$3,0,0,'Données projet'!$E$9+1,1))</f>
        <v>237.22177246688199</v>
      </c>
      <c r="T41" s="59">
        <f t="shared" si="34"/>
        <v>149.27472147904302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2.4880735116374257</v>
      </c>
      <c r="AB41" s="21">
        <f>EXP(-LN(2)/2)*AB40+(1-EXP(-LN(2)/2))/(LN(2)/2)*V41*Y41*VLOOKUP('Données projet'!$B$9,Paramètres!$A$1:$I$89,3,0)*0.475*44/12</f>
        <v>0.3868342409017767</v>
      </c>
      <c r="AC41" s="22">
        <f t="shared" si="3"/>
        <v>2.8749077525392024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11.5</v>
      </c>
      <c r="AI41" s="13">
        <f>IF('Données projet'!$A$62&gt;35,AI40+AH41-AQ40,IF(A41&lt;'Données projet'!$A$62,$AF$205^A41,IF(A41='Données projet'!$A$62,'Données projet'!$B$62,AI40+AH41-AQ40)))</f>
        <v>232.00000000000006</v>
      </c>
      <c r="AJ41" s="13">
        <f>AI41*VLOOKUP('Données projet'!$B$10,Paramètres!$A$1:$I$89,3,0)*VLOOKUP('Données projet'!$B$10,Paramètres!$A$1:$I$89,5,0)</f>
        <v>202.67520000000007</v>
      </c>
      <c r="AK41" s="13">
        <f t="shared" si="35"/>
        <v>50.331640285313689</v>
      </c>
      <c r="AL41" s="20">
        <f t="shared" si="4"/>
        <v>440.65358016358806</v>
      </c>
      <c r="AM41" s="59">
        <f t="shared" si="5"/>
        <v>733.98691349692137</v>
      </c>
      <c r="AN41" s="59">
        <f ca="1">AVERAGE(OFFSET($AM$3,0,0,'Données projet'!$E$10+1,1))-AVERAGE(OFFSET($H$3,0,0,'Données projet'!$E$10+1,1))</f>
        <v>243.38048563215585</v>
      </c>
      <c r="AO41" s="59">
        <f t="shared" si="36"/>
        <v>372.1604147006675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6.2378367257889362</v>
      </c>
      <c r="AV41" s="21">
        <f>EXP(-LN(2)/25)*AV40+(1-EXP(-LN(2)/25))/(LN(2)/25)*Calculateur!AQ41*Calculateur!AS41*VLOOKUP('Données projet'!$B$10,Paramètres!$A$1:$I$89,3,0)*0.475*44/12</f>
        <v>15.510658255886524</v>
      </c>
      <c r="AW41" s="21">
        <f>EXP(-LN(2)/2)*AW40+(1-EXP(-LN(2)/2))/(LN(2)/2)*AQ41*AT41*VLOOKUP('Données projet'!$B$10,Paramètres!$A$1:$I$89,3,0)*0.475*44/12</f>
        <v>1.832183700822634</v>
      </c>
      <c r="AX41" s="21">
        <f t="shared" si="6"/>
        <v>23.580678682498093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22</v>
      </c>
      <c r="BD41" s="12">
        <f>IF('Données projet'!$A$88&gt;35,BD40+BC41-BL40,IF(A41&lt;'Données projet'!$A$88,$BA$205^A41,IF(A41='Données projet'!$A$88,'Données projet'!$B$88,BD40+BC41-BL40)))</f>
        <v>384.99999999999989</v>
      </c>
      <c r="BE41" s="13">
        <f>BD41*VLOOKUP('Données projet'!$B$11,Paramètres!$A$1:$I$89,3,0)*VLOOKUP('Données projet'!$B$11,Paramètres!$A$1:$I$89,5,0)</f>
        <v>215.21499999999995</v>
      </c>
      <c r="BF41" s="13">
        <f t="shared" si="37"/>
        <v>53.073562353518611</v>
      </c>
      <c r="BG41" s="20">
        <f t="shared" si="7"/>
        <v>467.26924609904478</v>
      </c>
      <c r="BH41" s="59">
        <f t="shared" si="8"/>
        <v>760.60257943237809</v>
      </c>
      <c r="BI41" s="59">
        <f ca="1">AVERAGE(OFFSET($BH$3,0,0,'Données projet'!$E$11+1,1))-AVERAGE(OFFSET($H$3,0,0,'Données projet'!$E$11+1,1))</f>
        <v>326.31232746914907</v>
      </c>
      <c r="BJ41" s="59">
        <f t="shared" si="38"/>
        <v>330.17137761430297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3.8986479536180854</v>
      </c>
      <c r="BQ41" s="21">
        <f>EXP(-LN(2)/25)*BQ40+(1-EXP(-LN(2)/25))/(LN(2)/25)*Calculateur!BL41*Calculateur!BN41*VLOOKUP('Données projet'!$B$11,Paramètres!$A$1:$I$89,3,0)*0.475*44/12</f>
        <v>24.1706399759939</v>
      </c>
      <c r="BR41" s="21">
        <f>EXP(-LN(2)/2)*BR40+(1-EXP(-LN(2)/2))/(LN(2)/2)*BL41*BO41*VLOOKUP('Données projet'!$B$11,Paramètres!$A$1:$I$89,3,0)*0.475*44/12</f>
        <v>2.0326305231522026</v>
      </c>
      <c r="BS41" s="22">
        <f t="shared" si="9"/>
        <v>30.101918452764188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14.2</v>
      </c>
      <c r="BY41" s="12">
        <f>IF('Données projet'!$A$114&gt;35,BY40+BX41-CG40,IF(A41&lt;'Données projet'!$A$114,$BV$205^A41,IF(A41='Données projet'!$A$114,'Données projet'!$B$114,BY40+BX41-CG40)))</f>
        <v>276.59999999999985</v>
      </c>
      <c r="BZ41" s="13">
        <f>BY41*VLOOKUP('Données projet'!$B$12,Paramètres!$A$1:$I$89,3,0)*VLOOKUP('Données projet'!$B$12,Paramètres!$A$1:$I$89,5,0)</f>
        <v>220.06295999999989</v>
      </c>
      <c r="CA41" s="13">
        <f t="shared" si="39"/>
        <v>54.128569537628671</v>
      </c>
      <c r="CB41" s="20">
        <f t="shared" si="10"/>
        <v>477.55024727803635</v>
      </c>
      <c r="CC41" s="59">
        <f t="shared" si="11"/>
        <v>770.88358061136967</v>
      </c>
      <c r="CD41" s="59">
        <f ca="1">AVERAGE(OFFSET($CC$3,0,0,'Données projet'!$E$12+1,1))-AVERAGE(OFFSET($H$3,0,0,'Données projet'!$E$12+1,1))</f>
        <v>314.94704727988847</v>
      </c>
      <c r="CE41" s="59">
        <f t="shared" si="40"/>
        <v>366.49199094166454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3.3418748684872148</v>
      </c>
      <c r="CL41" s="21">
        <f>EXP(-LN(2)/25)*CL40+(1-EXP(-LN(2)/25))/(LN(2)/25)*Calculateur!CG41*Calculateur!CI41*VLOOKUP('Données projet'!$B$12,Paramètres!$A$1:$I$89,3,0)*0.475*44/12</f>
        <v>20.352696569526785</v>
      </c>
      <c r="CM41" s="21">
        <f>EXP(-LN(2)/2)*CM40+(1-EXP(-LN(2)/2))/(LN(2)/2)*CG41*CJ41*VLOOKUP('Données projet'!$B$12,Paramètres!$A$1:$I$89,3,0)*0.475*44/12</f>
        <v>1.8043272862971953</v>
      </c>
      <c r="CN41" s="22">
        <f t="shared" si="12"/>
        <v>25.498898724311193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11</v>
      </c>
      <c r="CT41" s="12">
        <f>IF('Données projet'!$A$140&gt;35,CT40+CS41-DB40,IF(A41&lt;'Données projet'!$A$140,$CQ$205^A41,IF(A41='Données projet'!$A$140,'Données projet'!$B$140,CT40+CS41-DB40)))</f>
        <v>181</v>
      </c>
      <c r="CU41" s="17">
        <f>CT41*VLOOKUP('Données projet'!$B$13,Paramètres!$A$1:$I$89,3,0)*VLOOKUP('Données projet'!$B$13,Paramètres!$A$1:$I$89,5,0)</f>
        <v>141.18</v>
      </c>
      <c r="CV41" s="13">
        <f t="shared" si="41"/>
        <v>36.567194734731871</v>
      </c>
      <c r="CW41" s="20">
        <f t="shared" si="13"/>
        <v>309.5763641629913</v>
      </c>
      <c r="CX41" s="59">
        <f t="shared" si="14"/>
        <v>602.90969749632461</v>
      </c>
      <c r="CY41" s="59">
        <f ca="1">AVERAGE(OFFSET($CX$3,0,0,'Données projet'!$E$13+1,1))-AVERAGE(OFFSET($H$3,0,0,'Données projet'!$E$13+1,1))</f>
        <v>261.59434871103355</v>
      </c>
      <c r="CZ41" s="59">
        <f t="shared" si="42"/>
        <v>194.97518096665976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1.7721127061900381</v>
      </c>
      <c r="DG41" s="21">
        <f>EXP(-LN(2)/25)*DG40+(1-EXP(-LN(2)/25))/(LN(2)/25)*Calculateur!DB41*Calculateur!DD41*VLOOKUP('Données projet'!$B$13,Paramètres!$A$1:$I$89,3,0)*0.475*44/12</f>
        <v>9.3611311551096836</v>
      </c>
      <c r="DH41" s="21">
        <f>EXP(-LN(2)/2)*DH40+(1-EXP(-LN(2)/2))/(LN(2)/2)*DB41*DE41*VLOOKUP('Données projet'!$B$13,Paramètres!$A$1:$I$89,3,0)*0.475*44/12</f>
        <v>1.1713407510064582</v>
      </c>
      <c r="DI41" s="22">
        <f t="shared" si="15"/>
        <v>12.304584612306179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8.1999999999999993</v>
      </c>
      <c r="N42" s="13">
        <f>IF('Données projet'!$A$36&gt;35,N41+M42-V41,IF(A42&lt;'Données projet'!$A$36,$K$205^A42,IF(A42='Données projet'!$A$36,'Données projet'!$B$36,N41+M42-V41)))</f>
        <v>149.79999999999995</v>
      </c>
      <c r="O42" s="13">
        <f>N42*VLOOKUP('Données projet'!$B$9,Paramètres!$A$1:$I$89,3,0)*VLOOKUP('Données projet'!$B$9,Paramètres!$A$1:$I$89,5,0)</f>
        <v>135.53903999999997</v>
      </c>
      <c r="P42" s="13">
        <f t="shared" si="33"/>
        <v>35.273144164630104</v>
      </c>
      <c r="Q42" s="20">
        <f t="shared" si="53"/>
        <v>297.49788742006405</v>
      </c>
      <c r="R42" s="59">
        <f t="shared" si="0"/>
        <v>590.83122075339736</v>
      </c>
      <c r="S42" s="59">
        <f ca="1">AVERAGE(OFFSET($R$3,0,0,'Données projet'!$E$9+1,1))-AVERAGE(OFFSET($H$3,0,0,'Données projet'!$E$9+1,1))</f>
        <v>237.22177246688199</v>
      </c>
      <c r="T42" s="59">
        <f t="shared" si="34"/>
        <v>149.27472147904302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2.420037010619601</v>
      </c>
      <c r="AB42" s="21">
        <f>EXP(-LN(2)/2)*AB41+(1-EXP(-LN(2)/2))/(LN(2)/2)*V42*Y42*VLOOKUP('Données projet'!$B$9,Paramètres!$A$1:$I$89,3,0)*0.475*44/12</f>
        <v>0.27353311493679683</v>
      </c>
      <c r="AC42" s="22">
        <f t="shared" si="3"/>
        <v>2.693570125556398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11.5</v>
      </c>
      <c r="AI42" s="13">
        <f>IF('Données projet'!$A$62&gt;35,AI41+AH42-AQ41,IF(A42&lt;'Données projet'!$A$62,$AF$205^A42,IF(A42='Données projet'!$A$62,'Données projet'!$B$62,AI41+AH42-AQ41)))</f>
        <v>243.50000000000006</v>
      </c>
      <c r="AJ42" s="13">
        <f>AI42*VLOOKUP('Données projet'!$B$10,Paramètres!$A$1:$I$89,3,0)*VLOOKUP('Données projet'!$B$10,Paramètres!$A$1:$I$89,5,0)</f>
        <v>212.72160000000008</v>
      </c>
      <c r="AK42" s="13">
        <f t="shared" si="35"/>
        <v>52.529877327267741</v>
      </c>
      <c r="AL42" s="20">
        <f t="shared" si="4"/>
        <v>461.9796563449915</v>
      </c>
      <c r="AM42" s="59">
        <f t="shared" si="5"/>
        <v>755.31298967832481</v>
      </c>
      <c r="AN42" s="59">
        <f ca="1">AVERAGE(OFFSET($AM$3,0,0,'Données projet'!$E$10+1,1))-AVERAGE(OFFSET($H$3,0,0,'Données projet'!$E$10+1,1))</f>
        <v>243.38048563215585</v>
      </c>
      <c r="AO42" s="59">
        <f t="shared" si="36"/>
        <v>372.1604147006675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6.1155165523009343</v>
      </c>
      <c r="AV42" s="21">
        <f>EXP(-LN(2)/25)*AV41+(1-EXP(-LN(2)/25))/(LN(2)/25)*Calculateur!AQ42*Calculateur!AS42*VLOOKUP('Données projet'!$B$10,Paramètres!$A$1:$I$89,3,0)*0.475*44/12</f>
        <v>15.086518490209238</v>
      </c>
      <c r="AW42" s="21">
        <f>EXP(-LN(2)/2)*AW41+(1-EXP(-LN(2)/2))/(LN(2)/2)*AQ42*AT42*VLOOKUP('Données projet'!$B$10,Paramètres!$A$1:$I$89,3,0)*0.475*44/12</f>
        <v>1.2955495192311492</v>
      </c>
      <c r="AX42" s="21">
        <f t="shared" si="6"/>
        <v>22.49758456174132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22</v>
      </c>
      <c r="BD42" s="12">
        <f>IF('Données projet'!$A$88&gt;35,BD41+BC42-BL41,IF(A42&lt;'Données projet'!$A$88,$BA$205^A42,IF(A42='Données projet'!$A$88,'Données projet'!$B$88,BD41+BC42-BL41)))</f>
        <v>406.99999999999989</v>
      </c>
      <c r="BE42" s="13">
        <f>BD42*VLOOKUP('Données projet'!$B$11,Paramètres!$A$1:$I$89,3,0)*VLOOKUP('Données projet'!$B$11,Paramètres!$A$1:$I$89,5,0)</f>
        <v>227.51299999999995</v>
      </c>
      <c r="BF42" s="13">
        <f t="shared" si="37"/>
        <v>55.744594200664011</v>
      </c>
      <c r="BG42" s="20">
        <f t="shared" si="7"/>
        <v>493.34030989948968</v>
      </c>
      <c r="BH42" s="59">
        <f t="shared" si="8"/>
        <v>786.673643232823</v>
      </c>
      <c r="BI42" s="59">
        <f ca="1">AVERAGE(OFFSET($BH$3,0,0,'Données projet'!$E$11+1,1))-AVERAGE(OFFSET($H$3,0,0,'Données projet'!$E$11+1,1))</f>
        <v>326.31232746914907</v>
      </c>
      <c r="BJ42" s="59">
        <f t="shared" si="38"/>
        <v>330.17137761430297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3.8221978451880845</v>
      </c>
      <c r="BQ42" s="21">
        <f>EXP(-LN(2)/25)*BQ41+(1-EXP(-LN(2)/25))/(LN(2)/25)*Calculateur!BL42*Calculateur!BN42*VLOOKUP('Données projet'!$B$11,Paramètres!$A$1:$I$89,3,0)*0.475*44/12</f>
        <v>23.509692554771632</v>
      </c>
      <c r="BR42" s="21">
        <f>EXP(-LN(2)/2)*BR41+(1-EXP(-LN(2)/2))/(LN(2)/2)*BL42*BO42*VLOOKUP('Données projet'!$B$11,Paramètres!$A$1:$I$89,3,0)*0.475*44/12</f>
        <v>1.4372868265676821</v>
      </c>
      <c r="BS42" s="22">
        <f t="shared" si="9"/>
        <v>28.7691772265274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14.2</v>
      </c>
      <c r="BY42" s="12">
        <f>IF('Données projet'!$A$114&gt;35,BY41+BX42-CG41,IF(A42&lt;'Données projet'!$A$114,$BV$205^A42,IF(A42='Données projet'!$A$114,'Données projet'!$B$114,BY41+BX42-CG41)))</f>
        <v>290.79999999999984</v>
      </c>
      <c r="BZ42" s="13">
        <f>BY42*VLOOKUP('Données projet'!$B$12,Paramètres!$A$1:$I$89,3,0)*VLOOKUP('Données projet'!$B$12,Paramètres!$A$1:$I$89,5,0)</f>
        <v>231.36047999999985</v>
      </c>
      <c r="CA42" s="13">
        <f t="shared" si="39"/>
        <v>56.576748067085241</v>
      </c>
      <c r="CB42" s="20">
        <f t="shared" si="10"/>
        <v>501.49067221683981</v>
      </c>
      <c r="CC42" s="59">
        <f t="shared" si="11"/>
        <v>794.82400555017307</v>
      </c>
      <c r="CD42" s="59">
        <f ca="1">AVERAGE(OFFSET($CC$3,0,0,'Données projet'!$E$12+1,1))-AVERAGE(OFFSET($H$3,0,0,'Données projet'!$E$12+1,1))</f>
        <v>314.94704727988847</v>
      </c>
      <c r="CE42" s="59">
        <f t="shared" si="40"/>
        <v>366.49199094166454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3.2763427406585808</v>
      </c>
      <c r="CL42" s="21">
        <f>EXP(-LN(2)/25)*CL41+(1-EXP(-LN(2)/25))/(LN(2)/25)*Calculateur!CG42*Calculateur!CI42*VLOOKUP('Données projet'!$B$12,Paramètres!$A$1:$I$89,3,0)*0.475*44/12</f>
        <v>19.796151011531279</v>
      </c>
      <c r="CM42" s="21">
        <f>EXP(-LN(2)/2)*CM41+(1-EXP(-LN(2)/2))/(LN(2)/2)*CG42*CJ42*VLOOKUP('Données projet'!$B$12,Paramètres!$A$1:$I$89,3,0)*0.475*44/12</f>
        <v>1.2758520596206679</v>
      </c>
      <c r="CN42" s="22">
        <f t="shared" si="12"/>
        <v>24.348345811810528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11</v>
      </c>
      <c r="CT42" s="12">
        <f>IF('Données projet'!$A$140&gt;35,CT41+CS42-DB41,IF(A42&lt;'Données projet'!$A$140,$CQ$205^A42,IF(A42='Données projet'!$A$140,'Données projet'!$B$140,CT41+CS42-DB41)))</f>
        <v>192</v>
      </c>
      <c r="CU42" s="17">
        <f>CT42*VLOOKUP('Données projet'!$B$13,Paramètres!$A$1:$I$89,3,0)*VLOOKUP('Données projet'!$B$13,Paramètres!$A$1:$I$89,5,0)</f>
        <v>149.76</v>
      </c>
      <c r="CV42" s="13">
        <f t="shared" si="41"/>
        <v>38.524039677774802</v>
      </c>
      <c r="CW42" s="20">
        <f t="shared" si="13"/>
        <v>327.92803577212442</v>
      </c>
      <c r="CX42" s="59">
        <f t="shared" si="14"/>
        <v>621.26136910545779</v>
      </c>
      <c r="CY42" s="59">
        <f ca="1">AVERAGE(OFFSET($CX$3,0,0,'Données projet'!$E$13+1,1))-AVERAGE(OFFSET($H$3,0,0,'Données projet'!$E$13+1,1))</f>
        <v>261.59434871103355</v>
      </c>
      <c r="CZ42" s="59">
        <f t="shared" si="42"/>
        <v>194.97518096665976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1.737362656903674</v>
      </c>
      <c r="DG42" s="21">
        <f>EXP(-LN(2)/25)*DG41+(1-EXP(-LN(2)/25))/(LN(2)/25)*Calculateur!DB42*Calculateur!DD42*VLOOKUP('Données projet'!$B$13,Paramètres!$A$1:$I$89,3,0)*0.475*44/12</f>
        <v>9.1051505313927166</v>
      </c>
      <c r="DH42" s="21">
        <f>EXP(-LN(2)/2)*DH41+(1-EXP(-LN(2)/2))/(LN(2)/2)*DB42*DE42*VLOOKUP('Données projet'!$B$13,Paramètres!$A$1:$I$89,3,0)*0.475*44/12</f>
        <v>0.82826298811680987</v>
      </c>
      <c r="DI42" s="22">
        <f t="shared" si="15"/>
        <v>11.670776176413201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158</v>
      </c>
      <c r="L43" s="12">
        <f>VLOOKUP(A43,'Données projet'!$A$35:$I$55,9,0)</f>
        <v>8.1999999999999993</v>
      </c>
      <c r="M43" s="12">
        <f t="array" ref="M43">INDEX(L:L,MIN(IF(ISNUMBER(L43:L239),ROW(L43:L239),"")))</f>
        <v>8.1999999999999993</v>
      </c>
      <c r="N43" s="13">
        <f>IF('Données projet'!$A$36&gt;35,N42+M43-V42,IF(A43&lt;'Données projet'!$A$36,$K$205^A43,IF(A43='Données projet'!$A$36,'Données projet'!$B$36,N42+M43-V42)))</f>
        <v>157.99999999999994</v>
      </c>
      <c r="O43" s="13">
        <f>N43*VLOOKUP('Données projet'!$B$9,Paramètres!$A$1:$I$89,3,0)*VLOOKUP('Données projet'!$B$9,Paramètres!$A$1:$I$89,5,0)</f>
        <v>142.95839999999993</v>
      </c>
      <c r="P43" s="13">
        <f t="shared" si="33"/>
        <v>36.973906370811264</v>
      </c>
      <c r="Q43" s="20">
        <f t="shared" si="53"/>
        <v>313.38210026249618</v>
      </c>
      <c r="R43" s="59">
        <f t="shared" si="0"/>
        <v>606.7154335958295</v>
      </c>
      <c r="S43" s="59">
        <f ca="1">AVERAGE(OFFSET($R$3,0,0,'Données projet'!$E$9+1,1))-AVERAGE(OFFSET($H$3,0,0,'Données projet'!$E$9+1,1))</f>
        <v>237.22177246688199</v>
      </c>
      <c r="T43" s="59">
        <f t="shared" si="34"/>
        <v>149.27472147904302</v>
      </c>
      <c r="U43" s="15">
        <f>IF(ISNA(VLOOKUP(A43,'Données projet'!$A$35:$I$55,3,0)),0,VLOOKUP(A43,'Données projet'!$A$35:$I$55,3,0))</f>
        <v>2</v>
      </c>
      <c r="V43" s="15">
        <f>IF(ISNA(VLOOKUP(A43,'Données projet'!$A$35:$I$55,4,0)),0,VLOOKUP(A43,'Données projet'!$A$35:$I$55,4,0))</f>
        <v>42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2.3538609712999925</v>
      </c>
      <c r="AB43" s="21">
        <f>EXP(-LN(2)/2)*AB42+(1-EXP(-LN(2)/2))/(LN(2)/2)*V43*Y43*VLOOKUP('Données projet'!$B$9,Paramètres!$A$1:$I$89,3,0)*0.475*44/12</f>
        <v>0.19341712045088835</v>
      </c>
      <c r="AC43" s="22">
        <f t="shared" si="3"/>
        <v>2.547278091750881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255</v>
      </c>
      <c r="AG43" s="12">
        <f>VLOOKUP(A43,'Données projet'!$A$61:$I$81,9,0)</f>
        <v>11.5</v>
      </c>
      <c r="AH43" s="12">
        <f t="array" ref="AH43">INDEX(AG:AG,MIN(IF(ISNUMBER(AG43:AG239),ROW(AG43:AG239),"")))</f>
        <v>11.5</v>
      </c>
      <c r="AI43" s="13">
        <f>IF('Données projet'!$A$62&gt;35,AI42+AH43-AQ42,IF(A43&lt;'Données projet'!$A$62,$AF$205^A43,IF(A43='Données projet'!$A$62,'Données projet'!$B$62,AI42+AH43-AQ42)))</f>
        <v>255.00000000000006</v>
      </c>
      <c r="AJ43" s="13">
        <f>AI43*VLOOKUP('Données projet'!$B$10,Paramètres!$A$1:$I$89,3,0)*VLOOKUP('Données projet'!$B$10,Paramètres!$A$1:$I$89,5,0)</f>
        <v>222.76800000000006</v>
      </c>
      <c r="AK43" s="13">
        <f t="shared" si="35"/>
        <v>54.716058356609508</v>
      </c>
      <c r="AL43" s="20">
        <f t="shared" si="4"/>
        <v>483.28473497109502</v>
      </c>
      <c r="AM43" s="59">
        <f t="shared" si="5"/>
        <v>776.61806830442833</v>
      </c>
      <c r="AN43" s="59">
        <f ca="1">AVERAGE(OFFSET($AM$3,0,0,'Données projet'!$E$10+1,1))-AVERAGE(OFFSET($H$3,0,0,'Données projet'!$E$10+1,1))</f>
        <v>243.38048563215585</v>
      </c>
      <c r="AO43" s="59">
        <f t="shared" si="36"/>
        <v>372.1604147006675</v>
      </c>
      <c r="AP43" s="15">
        <f>IF(ISNA(VLOOKUP(A43,'Données projet'!$A$61:$I$81,3,0)),0,VLOOKUP(A43,'Données projet'!$A$61:$I$81,3,0))</f>
        <v>4</v>
      </c>
      <c r="AQ43" s="15">
        <f>IF(ISNA(VLOOKUP(A43,'Données projet'!$A$61:$I$81,4,0)),0,VLOOKUP(A43,'Données projet'!$A$61:$I$81,4,0))</f>
        <v>81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5.995595002807093</v>
      </c>
      <c r="AV43" s="21">
        <f>EXP(-LN(2)/25)*AV42+(1-EXP(-LN(2)/25))/(LN(2)/25)*Calculateur!AQ43*Calculateur!AS43*VLOOKUP('Données projet'!$B$10,Paramètres!$A$1:$I$89,3,0)*0.475*44/12</f>
        <v>14.673976848728939</v>
      </c>
      <c r="AW43" s="21">
        <f>EXP(-LN(2)/2)*AW42+(1-EXP(-LN(2)/2))/(LN(2)/2)*AQ43*AT43*VLOOKUP('Données projet'!$B$10,Paramètres!$A$1:$I$89,3,0)*0.475*44/12</f>
        <v>0.91609185041131713</v>
      </c>
      <c r="AX43" s="21">
        <f t="shared" si="6"/>
        <v>21.58566370194735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429</v>
      </c>
      <c r="BB43" s="12">
        <f>VLOOKUP(A43,'Données projet'!$A$87:$I$107,9,0)</f>
        <v>22</v>
      </c>
      <c r="BC43" s="12">
        <f t="array" ref="BC43">INDEX(BB:BB,MIN(IF(ISNUMBER(BB43:BB239),ROW(BB43:BB239),"")))</f>
        <v>22</v>
      </c>
      <c r="BD43" s="12">
        <f>IF('Données projet'!$A$88&gt;35,BD42+BC43-BL42,IF(A43&lt;'Données projet'!$A$88,$BA$205^A43,IF(A43='Données projet'!$A$88,'Données projet'!$B$88,BD42+BC43-BL42)))</f>
        <v>428.99999999999989</v>
      </c>
      <c r="BE43" s="13">
        <f>BD43*VLOOKUP('Données projet'!$B$11,Paramètres!$A$1:$I$89,3,0)*VLOOKUP('Données projet'!$B$11,Paramètres!$A$1:$I$89,5,0)</f>
        <v>239.81099999999992</v>
      </c>
      <c r="BF43" s="13">
        <f t="shared" si="37"/>
        <v>58.398864347229804</v>
      </c>
      <c r="BG43" s="20">
        <f t="shared" si="7"/>
        <v>519.3821804047584</v>
      </c>
      <c r="BH43" s="59">
        <f t="shared" si="8"/>
        <v>812.71551373809166</v>
      </c>
      <c r="BI43" s="59">
        <f ca="1">AVERAGE(OFFSET($BH$3,0,0,'Données projet'!$E$11+1,1))-AVERAGE(OFFSET($H$3,0,0,'Données projet'!$E$11+1,1))</f>
        <v>326.31232746914907</v>
      </c>
      <c r="BJ43" s="59">
        <f t="shared" si="38"/>
        <v>330.17137761430297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112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3.747246876754434</v>
      </c>
      <c r="BQ43" s="21">
        <f>EXP(-LN(2)/25)*BQ42+(1-EXP(-LN(2)/25))/(LN(2)/25)*Calculateur!BL43*Calculateur!BN43*VLOOKUP('Données projet'!$B$11,Paramètres!$A$1:$I$89,3,0)*0.475*44/12</f>
        <v>22.866818775540402</v>
      </c>
      <c r="BR43" s="21">
        <f>EXP(-LN(2)/2)*BR42+(1-EXP(-LN(2)/2))/(LN(2)/2)*BL43*BO43*VLOOKUP('Données projet'!$B$11,Paramètres!$A$1:$I$89,3,0)*0.475*44/12</f>
        <v>1.0163152615761013</v>
      </c>
      <c r="BS43" s="22">
        <f t="shared" si="9"/>
        <v>27.630380913870937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305</v>
      </c>
      <c r="BW43" s="12">
        <f>VLOOKUP(A43,'Données projet'!$A$113:$I$133,9,0)</f>
        <v>14.2</v>
      </c>
      <c r="BX43" s="12">
        <f t="array" ref="BX43">INDEX(BW:BW,MIN(IF(ISNUMBER(BW43:BW239),ROW(BW43:BW239),"")))</f>
        <v>14.2</v>
      </c>
      <c r="BY43" s="12">
        <f>IF('Données projet'!$A$114&gt;35,BY42+BX43-CG42,IF(A43&lt;'Données projet'!$A$114,$BV$205^A43,IF(A43='Données projet'!$A$114,'Données projet'!$B$114,BY42+BX43-CG42)))</f>
        <v>304.99999999999983</v>
      </c>
      <c r="BZ43" s="13">
        <f>BY43*VLOOKUP('Données projet'!$B$12,Paramètres!$A$1:$I$89,3,0)*VLOOKUP('Données projet'!$B$12,Paramètres!$A$1:$I$89,5,0)</f>
        <v>242.6579999999999</v>
      </c>
      <c r="CA43" s="13">
        <f t="shared" si="39"/>
        <v>59.011045025839607</v>
      </c>
      <c r="CB43" s="20">
        <f t="shared" si="10"/>
        <v>525.40692008667054</v>
      </c>
      <c r="CC43" s="59">
        <f t="shared" si="11"/>
        <v>818.74025342000391</v>
      </c>
      <c r="CD43" s="59">
        <f ca="1">AVERAGE(OFFSET($CC$3,0,0,'Données projet'!$E$12+1,1))-AVERAGE(OFFSET($H$3,0,0,'Données projet'!$E$12+1,1))</f>
        <v>314.94704727988847</v>
      </c>
      <c r="CE43" s="59">
        <f t="shared" si="40"/>
        <v>366.49199094166454</v>
      </c>
      <c r="CF43" s="15">
        <f>IF(ISNA(VLOOKUP(A43,'Données projet'!$A$113:$I$133,3,0)),0,VLOOKUP(A43,'Données projet'!$A$113:$I$133,3,0))</f>
        <v>4</v>
      </c>
      <c r="CG43" s="15">
        <f>IF(ISNA(VLOOKUP(A43,'Données projet'!$A$113:$I$133,4,0)),0,VLOOKUP(A43,'Données projet'!$A$113:$I$133,4,0))</f>
        <v>82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3.2120956578860151</v>
      </c>
      <c r="CL43" s="21">
        <f>EXP(-LN(2)/25)*CL42+(1-EXP(-LN(2)/25))/(LN(2)/25)*Calculateur!CG43*Calculateur!CI43*VLOOKUP('Données projet'!$B$12,Paramètres!$A$1:$I$89,3,0)*0.475*44/12</f>
        <v>19.254824221086619</v>
      </c>
      <c r="CM43" s="21">
        <f>EXP(-LN(2)/2)*CM42+(1-EXP(-LN(2)/2))/(LN(2)/2)*CG43*CJ43*VLOOKUP('Données projet'!$B$12,Paramètres!$A$1:$I$89,3,0)*0.475*44/12</f>
        <v>0.90216364314859765</v>
      </c>
      <c r="CN43" s="22">
        <f t="shared" si="12"/>
        <v>23.36908352212123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203</v>
      </c>
      <c r="CR43" s="12">
        <f>VLOOKUP(A43,'Données projet'!$A$139:$I$159,9,0)</f>
        <v>11</v>
      </c>
      <c r="CS43" s="12">
        <f t="array" ref="CS43">INDEX(CR:CR,MIN(IF(ISNUMBER(CR43:CR239),ROW(CR43:CR239),"")))</f>
        <v>11</v>
      </c>
      <c r="CT43" s="12">
        <f>IF('Données projet'!$A$140&gt;35,CT42+CS43-DB42,IF(A43&lt;'Données projet'!$A$140,$CQ$205^A43,IF(A43='Données projet'!$A$140,'Données projet'!$B$140,CT42+CS43-DB42)))</f>
        <v>203</v>
      </c>
      <c r="CU43" s="17">
        <f>CT43*VLOOKUP('Données projet'!$B$13,Paramètres!$A$1:$I$89,3,0)*VLOOKUP('Données projet'!$B$13,Paramètres!$A$1:$I$89,5,0)</f>
        <v>158.34</v>
      </c>
      <c r="CV43" s="13">
        <f t="shared" si="41"/>
        <v>40.467870812652819</v>
      </c>
      <c r="CW43" s="20">
        <f t="shared" si="13"/>
        <v>346.25704166537031</v>
      </c>
      <c r="CX43" s="59">
        <f t="shared" si="14"/>
        <v>639.59037499870362</v>
      </c>
      <c r="CY43" s="59">
        <f ca="1">AVERAGE(OFFSET($CX$3,0,0,'Données projet'!$E$13+1,1))-AVERAGE(OFFSET($H$3,0,0,'Données projet'!$E$13+1,1))</f>
        <v>261.59434871103355</v>
      </c>
      <c r="CZ43" s="59">
        <f t="shared" si="42"/>
        <v>194.97518096665976</v>
      </c>
      <c r="DA43" s="15">
        <f>IF(ISNA(VLOOKUP(A43,'Données projet'!$A$139:$I$159,3,0)),0,VLOOKUP(A43,'Données projet'!$A$139:$I$159,3,0))</f>
        <v>3</v>
      </c>
      <c r="DB43" s="15">
        <f>IF(ISNA(VLOOKUP(A43,'Données projet'!$A$139:$I$159,4,0)),0,VLOOKUP(A43,'Données projet'!$A$139:$I$159,4,0))</f>
        <v>56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1.7032940348883783</v>
      </c>
      <c r="DG43" s="21">
        <f>EXP(-LN(2)/25)*DG42+(1-EXP(-LN(2)/25))/(LN(2)/25)*Calculateur!DB43*Calculateur!DD43*VLOOKUP('Données projet'!$B$13,Paramètres!$A$1:$I$89,3,0)*0.475*44/12</f>
        <v>8.8561697112927256</v>
      </c>
      <c r="DH43" s="21">
        <f>EXP(-LN(2)/2)*DH42+(1-EXP(-LN(2)/2))/(LN(2)/2)*DB43*DE43*VLOOKUP('Données projet'!$B$13,Paramètres!$A$1:$I$89,3,0)*0.475*44/12</f>
        <v>0.58567037550322909</v>
      </c>
      <c r="DI43" s="22">
        <f t="shared" si="15"/>
        <v>11.145134121684332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8.3000000000000007</v>
      </c>
      <c r="N44" s="13">
        <f>IF('Données projet'!$A$36&gt;35,N43+M44-V43,IF(A44&lt;'Données projet'!$A$36,$K$205^A44,IF(A44='Données projet'!$A$36,'Données projet'!$B$36,N43+M44-V43)))</f>
        <v>124.29999999999995</v>
      </c>
      <c r="O44" s="13">
        <f>N44*VLOOKUP('Données projet'!$B$9,Paramètres!$A$1:$I$89,3,0)*VLOOKUP('Données projet'!$B$9,Paramètres!$A$1:$I$89,5,0)</f>
        <v>112.46663999999996</v>
      </c>
      <c r="P44" s="13">
        <f t="shared" si="33"/>
        <v>29.911391992758421</v>
      </c>
      <c r="Q44" s="20">
        <f t="shared" si="53"/>
        <v>247.97507238738748</v>
      </c>
      <c r="R44" s="59">
        <f t="shared" si="0"/>
        <v>541.30840572072077</v>
      </c>
      <c r="S44" s="59">
        <f ca="1">AVERAGE(OFFSET($R$3,0,0,'Données projet'!$E$9+1,1))-AVERAGE(OFFSET($H$3,0,0,'Données projet'!$E$9+1,1))</f>
        <v>237.22177246688199</v>
      </c>
      <c r="T44" s="59">
        <f t="shared" si="34"/>
        <v>149.27472147904302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2.2894945192556255</v>
      </c>
      <c r="AB44" s="21">
        <f>EXP(-LN(2)/2)*AB43+(1-EXP(-LN(2)/2))/(LN(2)/2)*V44*Y44*VLOOKUP('Données projet'!$B$9,Paramètres!$A$1:$I$89,3,0)*0.475*44/12</f>
        <v>0.13676655746839841</v>
      </c>
      <c r="AC44" s="22">
        <f t="shared" si="3"/>
        <v>2.4262610767240238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9.4</v>
      </c>
      <c r="AI44" s="13">
        <f>IF('Données projet'!$A$62&gt;35,AI43+AH44-AQ43,IF(A44&lt;'Données projet'!$A$62,$AF$205^A44,IF(A44='Données projet'!$A$62,'Données projet'!$B$62,AI43+AH44-AQ43)))</f>
        <v>183.40000000000003</v>
      </c>
      <c r="AJ44" s="13">
        <f>AI44*VLOOKUP('Données projet'!$B$10,Paramètres!$A$1:$I$89,3,0)*VLOOKUP('Données projet'!$B$10,Paramètres!$A$1:$I$89,5,0)</f>
        <v>160.21824000000004</v>
      </c>
      <c r="AK44" s="13">
        <f t="shared" si="35"/>
        <v>40.891736142170217</v>
      </c>
      <c r="AL44" s="20">
        <f t="shared" si="4"/>
        <v>350.26654178094645</v>
      </c>
      <c r="AM44" s="59">
        <f t="shared" si="5"/>
        <v>643.59987511427971</v>
      </c>
      <c r="AN44" s="59">
        <f ca="1">AVERAGE(OFFSET($AM$3,0,0,'Données projet'!$E$10+1,1))-AVERAGE(OFFSET($H$3,0,0,'Données projet'!$E$10+1,1))</f>
        <v>243.38048563215585</v>
      </c>
      <c r="AO44" s="59">
        <f t="shared" si="36"/>
        <v>372.1604147006675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5.8780250417539035</v>
      </c>
      <c r="AV44" s="21">
        <f>EXP(-LN(2)/25)*AV43+(1-EXP(-LN(2)/25))/(LN(2)/25)*Calculateur!AQ44*Calculateur!AS44*VLOOKUP('Données projet'!$B$10,Paramètres!$A$1:$I$89,3,0)*0.475*44/12</f>
        <v>14.272716180129542</v>
      </c>
      <c r="AW44" s="21">
        <f>EXP(-LN(2)/2)*AW43+(1-EXP(-LN(2)/2))/(LN(2)/2)*AQ44*AT44*VLOOKUP('Données projet'!$B$10,Paramètres!$A$1:$I$89,3,0)*0.475*44/12</f>
        <v>0.64777475961557474</v>
      </c>
      <c r="AX44" s="21">
        <f t="shared" si="6"/>
        <v>20.798515981499023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19.2</v>
      </c>
      <c r="BD44" s="12">
        <f>IF('Données projet'!$A$88&gt;35,BD43+BC44-BL43,IF(A44&lt;'Données projet'!$A$88,$BA$205^A44,IF(A44='Données projet'!$A$88,'Données projet'!$B$88,BD43+BC44-BL43)))</f>
        <v>336.19999999999987</v>
      </c>
      <c r="BE44" s="13">
        <f>BD44*VLOOKUP('Données projet'!$B$11,Paramètres!$A$1:$I$89,3,0)*VLOOKUP('Données projet'!$B$11,Paramètres!$A$1:$I$89,5,0)</f>
        <v>187.93579999999994</v>
      </c>
      <c r="BF44" s="13">
        <f t="shared" si="37"/>
        <v>47.083297807364765</v>
      </c>
      <c r="BG44" s="20">
        <f t="shared" si="7"/>
        <v>409.3249286811602</v>
      </c>
      <c r="BH44" s="59">
        <f t="shared" si="8"/>
        <v>702.65826201449352</v>
      </c>
      <c r="BI44" s="59">
        <f ca="1">AVERAGE(OFFSET($BH$3,0,0,'Données projet'!$E$11+1,1))-AVERAGE(OFFSET($H$3,0,0,'Données projet'!$E$11+1,1))</f>
        <v>326.31232746914907</v>
      </c>
      <c r="BJ44" s="59">
        <f t="shared" si="38"/>
        <v>330.17137761430297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3.6737656510961907</v>
      </c>
      <c r="BQ44" s="21">
        <f>EXP(-LN(2)/25)*BQ43+(1-EXP(-LN(2)/25))/(LN(2)/25)*Calculateur!BL44*Calculateur!BN44*VLOOKUP('Données projet'!$B$11,Paramètres!$A$1:$I$89,3,0)*0.475*44/12</f>
        <v>22.241524413609515</v>
      </c>
      <c r="BR44" s="21">
        <f>EXP(-LN(2)/2)*BR43+(1-EXP(-LN(2)/2))/(LN(2)/2)*BL44*BO44*VLOOKUP('Données projet'!$B$11,Paramètres!$A$1:$I$89,3,0)*0.475*44/12</f>
        <v>0.71864341328384107</v>
      </c>
      <c r="BS44" s="22">
        <f t="shared" si="9"/>
        <v>26.633933477989544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10.6</v>
      </c>
      <c r="BY44" s="12">
        <f>IF('Données projet'!$A$114&gt;35,BY43+BX44-CG43,IF(A44&lt;'Données projet'!$A$114,$BV$205^A44,IF(A44='Données projet'!$A$114,'Données projet'!$B$114,BY43+BX44-CG43)))</f>
        <v>233.59999999999985</v>
      </c>
      <c r="BZ44" s="13">
        <f>BY44*VLOOKUP('Données projet'!$B$12,Paramètres!$A$1:$I$89,3,0)*VLOOKUP('Données projet'!$B$12,Paramètres!$A$1:$I$89,5,0)</f>
        <v>185.85215999999988</v>
      </c>
      <c r="CA44" s="13">
        <f t="shared" si="39"/>
        <v>46.621749613278887</v>
      </c>
      <c r="CB44" s="20">
        <f t="shared" si="10"/>
        <v>404.89205924312722</v>
      </c>
      <c r="CC44" s="59">
        <f t="shared" si="11"/>
        <v>698.22539257646054</v>
      </c>
      <c r="CD44" s="59">
        <f ca="1">AVERAGE(OFFSET($CC$3,0,0,'Données projet'!$E$12+1,1))-AVERAGE(OFFSET($H$3,0,0,'Données projet'!$E$12+1,1))</f>
        <v>314.94704727988847</v>
      </c>
      <c r="CE44" s="59">
        <f t="shared" si="40"/>
        <v>366.49199094166454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3.1491084212197684</v>
      </c>
      <c r="CL44" s="21">
        <f>EXP(-LN(2)/25)*CL43+(1-EXP(-LN(2)/25))/(LN(2)/25)*Calculateur!CG44*Calculateur!CI44*VLOOKUP('Données projet'!$B$12,Paramètres!$A$1:$I$89,3,0)*0.475*44/12</f>
        <v>18.728300040193808</v>
      </c>
      <c r="CM44" s="21">
        <f>EXP(-LN(2)/2)*CM43+(1-EXP(-LN(2)/2))/(LN(2)/2)*CG44*CJ44*VLOOKUP('Données projet'!$B$12,Paramètres!$A$1:$I$89,3,0)*0.475*44/12</f>
        <v>0.63792602981033397</v>
      </c>
      <c r="CN44" s="22">
        <f t="shared" si="12"/>
        <v>22.515334491223911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11.2</v>
      </c>
      <c r="CT44" s="12">
        <f>IF('Données projet'!$A$140&gt;35,CT43+CS44-DB43,IF(A44&lt;'Données projet'!$A$140,$CQ$205^A44,IF(A44='Données projet'!$A$140,'Données projet'!$B$140,CT43+CS44-DB43)))</f>
        <v>158.19999999999999</v>
      </c>
      <c r="CU44" s="17">
        <f>CT44*VLOOKUP('Données projet'!$B$13,Paramètres!$A$1:$I$89,3,0)*VLOOKUP('Données projet'!$B$13,Paramètres!$A$1:$I$89,5,0)</f>
        <v>123.396</v>
      </c>
      <c r="CV44" s="13">
        <f t="shared" si="41"/>
        <v>32.465769489878191</v>
      </c>
      <c r="CW44" s="20">
        <f t="shared" si="13"/>
        <v>271.45924852820451</v>
      </c>
      <c r="CX44" s="59">
        <f t="shared" si="14"/>
        <v>564.79258186153788</v>
      </c>
      <c r="CY44" s="59">
        <f ca="1">AVERAGE(OFFSET($CX$3,0,0,'Données projet'!$E$13+1,1))-AVERAGE(OFFSET($H$3,0,0,'Données projet'!$E$13+1,1))</f>
        <v>261.59434871103355</v>
      </c>
      <c r="CZ44" s="59">
        <f t="shared" si="42"/>
        <v>194.97518096665976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1.6698934777709948</v>
      </c>
      <c r="DG44" s="21">
        <f>EXP(-LN(2)/25)*DG43+(1-EXP(-LN(2)/25))/(LN(2)/25)*Calculateur!DB44*Calculateur!DD44*VLOOKUP('Données projet'!$B$13,Paramètres!$A$1:$I$89,3,0)*0.475*44/12</f>
        <v>8.6139972848117026</v>
      </c>
      <c r="DH44" s="21">
        <f>EXP(-LN(2)/2)*DH43+(1-EXP(-LN(2)/2))/(LN(2)/2)*DB44*DE44*VLOOKUP('Données projet'!$B$13,Paramètres!$A$1:$I$89,3,0)*0.475*44/12</f>
        <v>0.41413149405840494</v>
      </c>
      <c r="DI44" s="22">
        <f t="shared" si="15"/>
        <v>10.698022256641101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8.3000000000000007</v>
      </c>
      <c r="N45" s="13">
        <f>IF('Données projet'!$A$36&gt;35,N44+M45-V44,IF(A45&lt;'Données projet'!$A$36,$K$205^A45,IF(A45='Données projet'!$A$36,'Données projet'!$B$36,N44+M45-V44)))</f>
        <v>132.59999999999997</v>
      </c>
      <c r="O45" s="13">
        <f>N45*VLOOKUP('Données projet'!$B$9,Paramètres!$A$1:$I$89,3,0)*VLOOKUP('Données projet'!$B$9,Paramètres!$A$1:$I$89,5,0)</f>
        <v>119.97647999999997</v>
      </c>
      <c r="P45" s="13">
        <f t="shared" si="33"/>
        <v>31.669513577784763</v>
      </c>
      <c r="Q45" s="20">
        <f t="shared" si="53"/>
        <v>264.11677214797504</v>
      </c>
      <c r="R45" s="59">
        <f t="shared" si="0"/>
        <v>557.45010548130836</v>
      </c>
      <c r="S45" s="59">
        <f ca="1">AVERAGE(OFFSET($R$3,0,0,'Données projet'!$E$9+1,1))-AVERAGE(OFFSET($H$3,0,0,'Données projet'!$E$9+1,1))</f>
        <v>237.22177246688199</v>
      </c>
      <c r="T45" s="59">
        <f t="shared" si="34"/>
        <v>149.27472147904302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2.2268881712272965</v>
      </c>
      <c r="AB45" s="21">
        <f>EXP(-LN(2)/2)*AB44+(1-EXP(-LN(2)/2))/(LN(2)/2)*V45*Y45*VLOOKUP('Données projet'!$B$9,Paramètres!$A$1:$I$89,3,0)*0.475*44/12</f>
        <v>9.6708560225444176E-2</v>
      </c>
      <c r="AC45" s="22">
        <f t="shared" si="3"/>
        <v>2.3235967314527408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9.4</v>
      </c>
      <c r="AI45" s="13">
        <f>IF('Données projet'!$A$62&gt;35,AI44+AH45-AQ44,IF(A45&lt;'Données projet'!$A$62,$AF$205^A45,IF(A45='Données projet'!$A$62,'Données projet'!$B$62,AI44+AH45-AQ44)))</f>
        <v>192.80000000000004</v>
      </c>
      <c r="AJ45" s="13">
        <f>AI45*VLOOKUP('Données projet'!$B$10,Paramètres!$A$1:$I$89,3,0)*VLOOKUP('Données projet'!$B$10,Paramètres!$A$1:$I$89,5,0)</f>
        <v>168.43008000000006</v>
      </c>
      <c r="AK45" s="13">
        <f t="shared" si="35"/>
        <v>42.73822409848502</v>
      </c>
      <c r="AL45" s="20">
        <f t="shared" si="4"/>
        <v>367.78479630486146</v>
      </c>
      <c r="AM45" s="59">
        <f t="shared" si="5"/>
        <v>661.11812963819477</v>
      </c>
      <c r="AN45" s="59">
        <f ca="1">AVERAGE(OFFSET($AM$3,0,0,'Données projet'!$E$10+1,1))-AVERAGE(OFFSET($H$3,0,0,'Données projet'!$E$10+1,1))</f>
        <v>243.38048563215585</v>
      </c>
      <c r="AO45" s="59">
        <f t="shared" si="36"/>
        <v>372.1604147006675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5.7627605559263717</v>
      </c>
      <c r="AV45" s="21">
        <f>EXP(-LN(2)/25)*AV44+(1-EXP(-LN(2)/25))/(LN(2)/25)*Calculateur!AQ45*Calculateur!AS45*VLOOKUP('Données projet'!$B$10,Paramètres!$A$1:$I$89,3,0)*0.475*44/12</f>
        <v>13.882428005614377</v>
      </c>
      <c r="AW45" s="21">
        <f>EXP(-LN(2)/2)*AW44+(1-EXP(-LN(2)/2))/(LN(2)/2)*AQ45*AT45*VLOOKUP('Données projet'!$B$10,Paramètres!$A$1:$I$89,3,0)*0.475*44/12</f>
        <v>0.45804592520565868</v>
      </c>
      <c r="AX45" s="21">
        <f t="shared" si="6"/>
        <v>20.103234486746409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19.2</v>
      </c>
      <c r="BD45" s="12">
        <f>IF('Données projet'!$A$88&gt;35,BD44+BC45-BL44,IF(A45&lt;'Données projet'!$A$88,$BA$205^A45,IF(A45='Données projet'!$A$88,'Données projet'!$B$88,BD44+BC45-BL44)))</f>
        <v>355.39999999999986</v>
      </c>
      <c r="BE45" s="13">
        <f>BD45*VLOOKUP('Données projet'!$B$11,Paramètres!$A$1:$I$89,3,0)*VLOOKUP('Données projet'!$B$11,Paramètres!$A$1:$I$89,5,0)</f>
        <v>198.66859999999994</v>
      </c>
      <c r="BF45" s="13">
        <f t="shared" si="37"/>
        <v>49.451452656287465</v>
      </c>
      <c r="BG45" s="20">
        <f t="shared" si="7"/>
        <v>432.14242504303388</v>
      </c>
      <c r="BH45" s="59">
        <f t="shared" si="8"/>
        <v>725.47575837636714</v>
      </c>
      <c r="BI45" s="59">
        <f ca="1">AVERAGE(OFFSET($BH$3,0,0,'Données projet'!$E$11+1,1))-AVERAGE(OFFSET($H$3,0,0,'Données projet'!$E$11+1,1))</f>
        <v>326.31232746914907</v>
      </c>
      <c r="BJ45" s="59">
        <f t="shared" si="38"/>
        <v>330.17137761430297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3.6017253474539834</v>
      </c>
      <c r="BQ45" s="21">
        <f>EXP(-LN(2)/25)*BQ44+(1-EXP(-LN(2)/25))/(LN(2)/25)*Calculateur!BL45*Calculateur!BN45*VLOOKUP('Données projet'!$B$11,Paramètres!$A$1:$I$89,3,0)*0.475*44/12</f>
        <v>21.633328758888428</v>
      </c>
      <c r="BR45" s="21">
        <f>EXP(-LN(2)/2)*BR44+(1-EXP(-LN(2)/2))/(LN(2)/2)*BL45*BO45*VLOOKUP('Données projet'!$B$11,Paramètres!$A$1:$I$89,3,0)*0.475*44/12</f>
        <v>0.50815763078805065</v>
      </c>
      <c r="BS45" s="22">
        <f t="shared" si="9"/>
        <v>25.743211737130462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10.6</v>
      </c>
      <c r="BY45" s="12">
        <f>IF('Données projet'!$A$114&gt;35,BY44+BX45-CG44,IF(A45&lt;'Données projet'!$A$114,$BV$205^A45,IF(A45='Données projet'!$A$114,'Données projet'!$B$114,BY44+BX45-CG44)))</f>
        <v>244.19999999999985</v>
      </c>
      <c r="BZ45" s="13">
        <f>BY45*VLOOKUP('Données projet'!$B$12,Paramètres!$A$1:$I$89,3,0)*VLOOKUP('Données projet'!$B$12,Paramètres!$A$1:$I$89,5,0)</f>
        <v>194.28551999999991</v>
      </c>
      <c r="CA45" s="13">
        <f t="shared" si="39"/>
        <v>48.486187031267164</v>
      </c>
      <c r="CB45" s="20">
        <f t="shared" si="10"/>
        <v>422.8273897461234</v>
      </c>
      <c r="CC45" s="59">
        <f t="shared" si="11"/>
        <v>716.16072307945672</v>
      </c>
      <c r="CD45" s="59">
        <f ca="1">AVERAGE(OFFSET($CC$3,0,0,'Données projet'!$E$12+1,1))-AVERAGE(OFFSET($H$3,0,0,'Données projet'!$E$12+1,1))</f>
        <v>314.94704727988847</v>
      </c>
      <c r="CE45" s="59">
        <f t="shared" si="40"/>
        <v>366.49199094166454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3.0873563258461258</v>
      </c>
      <c r="CL45" s="21">
        <f>EXP(-LN(2)/25)*CL44+(1-EXP(-LN(2)/25))/(LN(2)/25)*Calculateur!CG45*Calculateur!CI45*VLOOKUP('Données projet'!$B$12,Paramètres!$A$1:$I$89,3,0)*0.475*44/12</f>
        <v>18.216173690716214</v>
      </c>
      <c r="CM45" s="21">
        <f>EXP(-LN(2)/2)*CM44+(1-EXP(-LN(2)/2))/(LN(2)/2)*CG45*CJ45*VLOOKUP('Données projet'!$B$12,Paramètres!$A$1:$I$89,3,0)*0.475*44/12</f>
        <v>0.45108182157429882</v>
      </c>
      <c r="CN45" s="22">
        <f t="shared" si="12"/>
        <v>21.75461183813664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11.2</v>
      </c>
      <c r="CT45" s="12">
        <f>IF('Données projet'!$A$140&gt;35,CT44+CS45-DB44,IF(A45&lt;'Données projet'!$A$140,$CQ$205^A45,IF(A45='Données projet'!$A$140,'Données projet'!$B$140,CT44+CS45-DB44)))</f>
        <v>169.39999999999998</v>
      </c>
      <c r="CU45" s="17">
        <f>CT45*VLOOKUP('Données projet'!$B$13,Paramètres!$A$1:$I$89,3,0)*VLOOKUP('Données projet'!$B$13,Paramètres!$A$1:$I$89,5,0)</f>
        <v>132.13199999999998</v>
      </c>
      <c r="CV45" s="13">
        <f t="shared" si="41"/>
        <v>34.488534562859115</v>
      </c>
      <c r="CW45" s="20">
        <f t="shared" si="13"/>
        <v>290.19743103031288</v>
      </c>
      <c r="CX45" s="59">
        <f t="shared" si="14"/>
        <v>583.5307643636462</v>
      </c>
      <c r="CY45" s="59">
        <f ca="1">AVERAGE(OFFSET($CX$3,0,0,'Données projet'!$E$13+1,1))-AVERAGE(OFFSET($H$3,0,0,'Données projet'!$E$13+1,1))</f>
        <v>261.59434871103355</v>
      </c>
      <c r="CZ45" s="59">
        <f t="shared" si="42"/>
        <v>194.97518096665976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1.6371478852063552</v>
      </c>
      <c r="DG45" s="21">
        <f>EXP(-LN(2)/25)*DG44+(1-EXP(-LN(2)/25))/(LN(2)/25)*Calculateur!DB45*Calculateur!DD45*VLOOKUP('Données projet'!$B$13,Paramètres!$A$1:$I$89,3,0)*0.475*44/12</f>
        <v>8.3784470760680971</v>
      </c>
      <c r="DH45" s="21">
        <f>EXP(-LN(2)/2)*DH44+(1-EXP(-LN(2)/2))/(LN(2)/2)*DB45*DE45*VLOOKUP('Données projet'!$B$13,Paramètres!$A$1:$I$89,3,0)*0.475*44/12</f>
        <v>0.29283518775161455</v>
      </c>
      <c r="DI45" s="22">
        <f t="shared" si="15"/>
        <v>10.308430149026067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8.3000000000000007</v>
      </c>
      <c r="N46" s="13">
        <f>IF('Données projet'!$A$36&gt;35,N45+M46-V45,IF(A46&lt;'Données projet'!$A$36,$K$205^A46,IF(A46='Données projet'!$A$36,'Données projet'!$B$36,N45+M46-V45)))</f>
        <v>140.89999999999998</v>
      </c>
      <c r="O46" s="13">
        <f>N46*VLOOKUP('Données projet'!$B$9,Paramètres!$A$1:$I$89,3,0)*VLOOKUP('Données projet'!$B$9,Paramètres!$A$1:$I$89,5,0)</f>
        <v>127.48631999999998</v>
      </c>
      <c r="P46" s="13">
        <f t="shared" si="33"/>
        <v>33.414863287066048</v>
      </c>
      <c r="Q46" s="20">
        <f t="shared" si="53"/>
        <v>280.23622755830667</v>
      </c>
      <c r="R46" s="59">
        <f t="shared" si="0"/>
        <v>573.56956089163998</v>
      </c>
      <c r="S46" s="59">
        <f ca="1">AVERAGE(OFFSET($R$3,0,0,'Données projet'!$E$9+1,1))-AVERAGE(OFFSET($H$3,0,0,'Données projet'!$E$9+1,1))</f>
        <v>237.22177246688199</v>
      </c>
      <c r="T46" s="59">
        <f t="shared" si="34"/>
        <v>149.27472147904302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2.1659937970781269</v>
      </c>
      <c r="AB46" s="21">
        <f>EXP(-LN(2)/2)*AB45+(1-EXP(-LN(2)/2))/(LN(2)/2)*V46*Y46*VLOOKUP('Données projet'!$B$9,Paramètres!$A$1:$I$89,3,0)*0.475*44/12</f>
        <v>6.8383278734199207E-2</v>
      </c>
      <c r="AC46" s="22">
        <f t="shared" si="3"/>
        <v>2.234377075812326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9.4</v>
      </c>
      <c r="AI46" s="13">
        <f>IF('Données projet'!$A$62&gt;35,AI45+AH46-AQ45,IF(A46&lt;'Données projet'!$A$62,$AF$205^A46,IF(A46='Données projet'!$A$62,'Données projet'!$B$62,AI45+AH46-AQ45)))</f>
        <v>202.20000000000005</v>
      </c>
      <c r="AJ46" s="13">
        <f>AI46*VLOOKUP('Données projet'!$B$10,Paramètres!$A$1:$I$89,3,0)*VLOOKUP('Données projet'!$B$10,Paramètres!$A$1:$I$89,5,0)</f>
        <v>176.64192000000008</v>
      </c>
      <c r="AK46" s="13">
        <f t="shared" si="35"/>
        <v>44.574258350008236</v>
      </c>
      <c r="AL46" s="20">
        <f t="shared" si="4"/>
        <v>385.28484395959777</v>
      </c>
      <c r="AM46" s="59">
        <f t="shared" si="5"/>
        <v>678.61817729293102</v>
      </c>
      <c r="AN46" s="59">
        <f ca="1">AVERAGE(OFFSET($AM$3,0,0,'Données projet'!$E$10+1,1))-AVERAGE(OFFSET($H$3,0,0,'Données projet'!$E$10+1,1))</f>
        <v>243.38048563215585</v>
      </c>
      <c r="AO46" s="59">
        <f t="shared" si="36"/>
        <v>372.1604147006675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5.6497563363615235</v>
      </c>
      <c r="AV46" s="21">
        <f>EXP(-LN(2)/25)*AV45+(1-EXP(-LN(2)/25))/(LN(2)/25)*Calculateur!AQ46*Calculateur!AS46*VLOOKUP('Données projet'!$B$10,Paramètres!$A$1:$I$89,3,0)*0.475*44/12</f>
        <v>13.502812281755693</v>
      </c>
      <c r="AW46" s="21">
        <f>EXP(-LN(2)/2)*AW45+(1-EXP(-LN(2)/2))/(LN(2)/2)*AQ46*AT46*VLOOKUP('Données projet'!$B$10,Paramètres!$A$1:$I$89,3,0)*0.475*44/12</f>
        <v>0.32388737980778742</v>
      </c>
      <c r="AX46" s="21">
        <f t="shared" si="6"/>
        <v>19.476455997925001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19.2</v>
      </c>
      <c r="BD46" s="12">
        <f>IF('Données projet'!$A$88&gt;35,BD45+BC46-BL45,IF(A46&lt;'Données projet'!$A$88,$BA$205^A46,IF(A46='Données projet'!$A$88,'Données projet'!$B$88,BD45+BC46-BL45)))</f>
        <v>374.59999999999985</v>
      </c>
      <c r="BE46" s="13">
        <f>BD46*VLOOKUP('Données projet'!$B$11,Paramètres!$A$1:$I$89,3,0)*VLOOKUP('Données projet'!$B$11,Paramètres!$A$1:$I$89,5,0)</f>
        <v>209.40139999999994</v>
      </c>
      <c r="BF46" s="13">
        <f t="shared" si="37"/>
        <v>51.804754813749405</v>
      </c>
      <c r="BG46" s="20">
        <f t="shared" si="7"/>
        <v>454.93405296728002</v>
      </c>
      <c r="BH46" s="59">
        <f t="shared" si="8"/>
        <v>748.26738630061334</v>
      </c>
      <c r="BI46" s="59">
        <f ca="1">AVERAGE(OFFSET($BH$3,0,0,'Données projet'!$E$11+1,1))-AVERAGE(OFFSET($H$3,0,0,'Données projet'!$E$11+1,1))</f>
        <v>326.31232746914907</v>
      </c>
      <c r="BJ46" s="59">
        <f t="shared" si="38"/>
        <v>330.17137761430297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3.5310977102259531</v>
      </c>
      <c r="BQ46" s="21">
        <f>EXP(-LN(2)/25)*BQ45+(1-EXP(-LN(2)/25))/(LN(2)/25)*Calculateur!BL46*Calculateur!BN46*VLOOKUP('Données projet'!$B$11,Paramètres!$A$1:$I$89,3,0)*0.475*44/12</f>
        <v>21.041764246329308</v>
      </c>
      <c r="BR46" s="21">
        <f>EXP(-LN(2)/2)*BR45+(1-EXP(-LN(2)/2))/(LN(2)/2)*BL46*BO46*VLOOKUP('Données projet'!$B$11,Paramètres!$A$1:$I$89,3,0)*0.475*44/12</f>
        <v>0.35932170664192054</v>
      </c>
      <c r="BS46" s="22">
        <f t="shared" si="9"/>
        <v>24.932183663197183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10.6</v>
      </c>
      <c r="BY46" s="12">
        <f>IF('Données projet'!$A$114&gt;35,BY45+BX46-CG45,IF(A46&lt;'Données projet'!$A$114,$BV$205^A46,IF(A46='Données projet'!$A$114,'Données projet'!$B$114,BY45+BX46-CG45)))</f>
        <v>254.79999999999984</v>
      </c>
      <c r="BZ46" s="13">
        <f>BY46*VLOOKUP('Données projet'!$B$12,Paramètres!$A$1:$I$89,3,0)*VLOOKUP('Données projet'!$B$12,Paramètres!$A$1:$I$89,5,0)</f>
        <v>202.7188799999999</v>
      </c>
      <c r="CA46" s="13">
        <f t="shared" si="39"/>
        <v>50.341224871428082</v>
      </c>
      <c r="CB46" s="20">
        <f t="shared" si="10"/>
        <v>440.74634931773704</v>
      </c>
      <c r="CC46" s="59">
        <f t="shared" si="11"/>
        <v>734.07968265107036</v>
      </c>
      <c r="CD46" s="59">
        <f ca="1">AVERAGE(OFFSET($CC$3,0,0,'Données projet'!$E$12+1,1))-AVERAGE(OFFSET($H$3,0,0,'Données projet'!$E$12+1,1))</f>
        <v>314.94704727988847</v>
      </c>
      <c r="CE46" s="59">
        <f t="shared" si="40"/>
        <v>366.49199094166454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3.0268151513977011</v>
      </c>
      <c r="CL46" s="21">
        <f>EXP(-LN(2)/25)*CL45+(1-EXP(-LN(2)/25))/(LN(2)/25)*Calculateur!CG46*Calculateur!CI46*VLOOKUP('Données projet'!$B$12,Paramètres!$A$1:$I$89,3,0)*0.475*44/12</f>
        <v>17.718051463196637</v>
      </c>
      <c r="CM46" s="21">
        <f>EXP(-LN(2)/2)*CM45+(1-EXP(-LN(2)/2))/(LN(2)/2)*CG46*CJ46*VLOOKUP('Données projet'!$B$12,Paramètres!$A$1:$I$89,3,0)*0.475*44/12</f>
        <v>0.31896301490516699</v>
      </c>
      <c r="CN46" s="22">
        <f t="shared" si="12"/>
        <v>21.063829629499509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11.2</v>
      </c>
      <c r="CT46" s="12">
        <f>IF('Données projet'!$A$140&gt;35,CT45+CS46-DB45,IF(A46&lt;'Données projet'!$A$140,$CQ$205^A46,IF(A46='Données projet'!$A$140,'Données projet'!$B$140,CT45+CS46-DB45)))</f>
        <v>180.59999999999997</v>
      </c>
      <c r="CU46" s="17">
        <f>CT46*VLOOKUP('Données projet'!$B$13,Paramètres!$A$1:$I$89,3,0)*VLOOKUP('Données projet'!$B$13,Paramètres!$A$1:$I$89,5,0)</f>
        <v>140.86799999999997</v>
      </c>
      <c r="CV46" s="13">
        <f t="shared" si="41"/>
        <v>36.495780519346923</v>
      </c>
      <c r="CW46" s="20">
        <f t="shared" si="13"/>
        <v>308.90858440452917</v>
      </c>
      <c r="CX46" s="59">
        <f t="shared" si="14"/>
        <v>602.24191773786242</v>
      </c>
      <c r="CY46" s="59">
        <f ca="1">AVERAGE(OFFSET($CX$3,0,0,'Données projet'!$E$13+1,1))-AVERAGE(OFFSET($H$3,0,0,'Données projet'!$E$13+1,1))</f>
        <v>261.59434871103355</v>
      </c>
      <c r="CZ46" s="59">
        <f t="shared" si="42"/>
        <v>194.97518096665976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1.6050444137390689</v>
      </c>
      <c r="DG46" s="21">
        <f>EXP(-LN(2)/25)*DG45+(1-EXP(-LN(2)/25))/(LN(2)/25)*Calculateur!DB46*Calculateur!DD46*VLOOKUP('Données projet'!$B$13,Paramètres!$A$1:$I$89,3,0)*0.475*44/12</f>
        <v>8.1493380001696316</v>
      </c>
      <c r="DH46" s="21">
        <f>EXP(-LN(2)/2)*DH45+(1-EXP(-LN(2)/2))/(LN(2)/2)*DB46*DE46*VLOOKUP('Données projet'!$B$13,Paramètres!$A$1:$I$89,3,0)*0.475*44/12</f>
        <v>0.20706574702920247</v>
      </c>
      <c r="DI46" s="22">
        <f t="shared" si="15"/>
        <v>9.9614481609379038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8.3000000000000007</v>
      </c>
      <c r="N47" s="13">
        <f>IF('Données projet'!$A$36&gt;35,N46+M47-V46,IF(A47&lt;'Données projet'!$A$36,$K$205^A47,IF(A47='Données projet'!$A$36,'Données projet'!$B$36,N46+M47-V46)))</f>
        <v>149.19999999999999</v>
      </c>
      <c r="O47" s="13">
        <f>N47*VLOOKUP('Données projet'!$B$9,Paramètres!$A$1:$I$89,3,0)*VLOOKUP('Données projet'!$B$9,Paramètres!$A$1:$I$89,5,0)</f>
        <v>134.99615999999997</v>
      </c>
      <c r="P47" s="13">
        <f t="shared" si="33"/>
        <v>35.148279172043118</v>
      </c>
      <c r="Q47" s="20">
        <f t="shared" si="53"/>
        <v>296.33489822464168</v>
      </c>
      <c r="R47" s="59">
        <f t="shared" si="0"/>
        <v>589.66823155797499</v>
      </c>
      <c r="S47" s="59">
        <f ca="1">AVERAGE(OFFSET($R$3,0,0,'Données projet'!$E$9+1,1))-AVERAGE(OFFSET($H$3,0,0,'Données projet'!$E$9+1,1))</f>
        <v>237.22177246688199</v>
      </c>
      <c r="T47" s="59">
        <f t="shared" si="34"/>
        <v>149.27472147904302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2.106764582792362</v>
      </c>
      <c r="AB47" s="21">
        <f>EXP(-LN(2)/2)*AB46+(1-EXP(-LN(2)/2))/(LN(2)/2)*V47*Y47*VLOOKUP('Données projet'!$B$9,Paramètres!$A$1:$I$89,3,0)*0.475*44/12</f>
        <v>4.8354280112722088E-2</v>
      </c>
      <c r="AC47" s="22">
        <f t="shared" si="3"/>
        <v>2.1551188629050841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9.4</v>
      </c>
      <c r="AI47" s="13">
        <f>IF('Données projet'!$A$62&gt;35,AI46+AH47-AQ46,IF(A47&lt;'Données projet'!$A$62,$AF$205^A47,IF(A47='Données projet'!$A$62,'Données projet'!$B$62,AI46+AH47-AQ46)))</f>
        <v>211.60000000000005</v>
      </c>
      <c r="AJ47" s="13">
        <f>AI47*VLOOKUP('Données projet'!$B$10,Paramètres!$A$1:$I$89,3,0)*VLOOKUP('Données projet'!$B$10,Paramètres!$A$1:$I$89,5,0)</f>
        <v>184.85376000000008</v>
      </c>
      <c r="AK47" s="13">
        <f t="shared" si="35"/>
        <v>46.400380376458202</v>
      </c>
      <c r="AL47" s="20">
        <f t="shared" si="4"/>
        <v>402.76762782233146</v>
      </c>
      <c r="AM47" s="59">
        <f t="shared" si="5"/>
        <v>696.10096115566478</v>
      </c>
      <c r="AN47" s="59">
        <f ca="1">AVERAGE(OFFSET($AM$3,0,0,'Données projet'!$E$10+1,1))-AVERAGE(OFFSET($H$3,0,0,'Données projet'!$E$10+1,1))</f>
        <v>243.38048563215585</v>
      </c>
      <c r="AO47" s="59">
        <f t="shared" si="36"/>
        <v>372.1604147006675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5.5389680606165737</v>
      </c>
      <c r="AV47" s="21">
        <f>EXP(-LN(2)/25)*AV46+(1-EXP(-LN(2)/25))/(LN(2)/25)*Calculateur!AQ47*Calculateur!AS47*VLOOKUP('Données projet'!$B$10,Paramètres!$A$1:$I$89,3,0)*0.475*44/12</f>
        <v>13.133577169829048</v>
      </c>
      <c r="AW47" s="21">
        <f>EXP(-LN(2)/2)*AW46+(1-EXP(-LN(2)/2))/(LN(2)/2)*AQ47*AT47*VLOOKUP('Données projet'!$B$10,Paramètres!$A$1:$I$89,3,0)*0.475*44/12</f>
        <v>0.22902296260282937</v>
      </c>
      <c r="AX47" s="21">
        <f t="shared" si="6"/>
        <v>18.901568193048451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19.2</v>
      </c>
      <c r="BD47" s="12">
        <f>IF('Données projet'!$A$88&gt;35,BD46+BC47-BL46,IF(A47&lt;'Données projet'!$A$88,$BA$205^A47,IF(A47='Données projet'!$A$88,'Données projet'!$B$88,BD46+BC47-BL46)))</f>
        <v>393.79999999999984</v>
      </c>
      <c r="BE47" s="13">
        <f>BD47*VLOOKUP('Données projet'!$B$11,Paramètres!$A$1:$I$89,3,0)*VLOOKUP('Données projet'!$B$11,Paramètres!$A$1:$I$89,5,0)</f>
        <v>220.13419999999991</v>
      </c>
      <c r="BF47" s="13">
        <f t="shared" si="37"/>
        <v>54.144052392262886</v>
      </c>
      <c r="BG47" s="20">
        <f t="shared" si="7"/>
        <v>477.701289583191</v>
      </c>
      <c r="BH47" s="59">
        <f t="shared" si="8"/>
        <v>771.03462291652431</v>
      </c>
      <c r="BI47" s="59">
        <f ca="1">AVERAGE(OFFSET($BH$3,0,0,'Données projet'!$E$11+1,1))-AVERAGE(OFFSET($H$3,0,0,'Données projet'!$E$11+1,1))</f>
        <v>326.31232746914907</v>
      </c>
      <c r="BJ47" s="59">
        <f t="shared" si="38"/>
        <v>330.17137761430297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3.4618550378853596</v>
      </c>
      <c r="BQ47" s="21">
        <f>EXP(-LN(2)/25)*BQ46+(1-EXP(-LN(2)/25))/(LN(2)/25)*Calculateur!BL47*Calculateur!BN47*VLOOKUP('Données projet'!$B$11,Paramètres!$A$1:$I$89,3,0)*0.475*44/12</f>
        <v>20.466376096475141</v>
      </c>
      <c r="BR47" s="21">
        <f>EXP(-LN(2)/2)*BR46+(1-EXP(-LN(2)/2))/(LN(2)/2)*BL47*BO47*VLOOKUP('Données projet'!$B$11,Paramètres!$A$1:$I$89,3,0)*0.475*44/12</f>
        <v>0.25407881539402533</v>
      </c>
      <c r="BS47" s="22">
        <f t="shared" si="9"/>
        <v>24.182309949754526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10.6</v>
      </c>
      <c r="BY47" s="12">
        <f>IF('Données projet'!$A$114&gt;35,BY46+BX47-CG46,IF(A47&lt;'Données projet'!$A$114,$BV$205^A47,IF(A47='Données projet'!$A$114,'Données projet'!$B$114,BY46+BX47-CG46)))</f>
        <v>265.39999999999986</v>
      </c>
      <c r="BZ47" s="13">
        <f>BY47*VLOOKUP('Données projet'!$B$12,Paramètres!$A$1:$I$89,3,0)*VLOOKUP('Données projet'!$B$12,Paramètres!$A$1:$I$89,5,0)</f>
        <v>211.15223999999989</v>
      </c>
      <c r="CA47" s="13">
        <f t="shared" si="39"/>
        <v>52.187298885462759</v>
      </c>
      <c r="CB47" s="20">
        <f t="shared" si="10"/>
        <v>458.64969689218077</v>
      </c>
      <c r="CC47" s="59">
        <f t="shared" si="11"/>
        <v>751.98303022551409</v>
      </c>
      <c r="CD47" s="59">
        <f ca="1">AVERAGE(OFFSET($CC$3,0,0,'Données projet'!$E$12+1,1))-AVERAGE(OFFSET($H$3,0,0,'Données projet'!$E$12+1,1))</f>
        <v>314.94704727988847</v>
      </c>
      <c r="CE47" s="59">
        <f t="shared" si="40"/>
        <v>366.49199094166454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2.96746115245374</v>
      </c>
      <c r="CL47" s="21">
        <f>EXP(-LN(2)/25)*CL46+(1-EXP(-LN(2)/25))/(LN(2)/25)*Calculateur!CG47*Calculateur!CI47*VLOOKUP('Données projet'!$B$12,Paramètres!$A$1:$I$89,3,0)*0.475*44/12</f>
        <v>17.233550414183693</v>
      </c>
      <c r="CM47" s="21">
        <f>EXP(-LN(2)/2)*CM46+(1-EXP(-LN(2)/2))/(LN(2)/2)*CG47*CJ47*VLOOKUP('Données projet'!$B$12,Paramètres!$A$1:$I$89,3,0)*0.475*44/12</f>
        <v>0.22554091078714941</v>
      </c>
      <c r="CN47" s="22">
        <f t="shared" si="12"/>
        <v>20.426552477424583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11.2</v>
      </c>
      <c r="CT47" s="12">
        <f>IF('Données projet'!$A$140&gt;35,CT46+CS47-DB46,IF(A47&lt;'Données projet'!$A$140,$CQ$205^A47,IF(A47='Données projet'!$A$140,'Données projet'!$B$140,CT46+CS47-DB46)))</f>
        <v>191.79999999999995</v>
      </c>
      <c r="CU47" s="17">
        <f>CT47*VLOOKUP('Données projet'!$B$13,Paramètres!$A$1:$I$89,3,0)*VLOOKUP('Données projet'!$B$13,Paramètres!$A$1:$I$89,5,0)</f>
        <v>149.60399999999996</v>
      </c>
      <c r="CV47" s="13">
        <f t="shared" si="41"/>
        <v>38.488579359102815</v>
      </c>
      <c r="CW47" s="20">
        <f t="shared" si="13"/>
        <v>327.59457571710396</v>
      </c>
      <c r="CX47" s="59">
        <f t="shared" si="14"/>
        <v>620.92790905043728</v>
      </c>
      <c r="CY47" s="59">
        <f ca="1">AVERAGE(OFFSET($CX$3,0,0,'Données projet'!$E$13+1,1))-AVERAGE(OFFSET($H$3,0,0,'Données projet'!$E$13+1,1))</f>
        <v>261.59434871103355</v>
      </c>
      <c r="CZ47" s="59">
        <f t="shared" si="42"/>
        <v>194.97518096665976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1.5735704717660719</v>
      </c>
      <c r="DG47" s="21">
        <f>EXP(-LN(2)/25)*DG46+(1-EXP(-LN(2)/25))/(LN(2)/25)*Calculateur!DB47*Calculateur!DD47*VLOOKUP('Données projet'!$B$13,Paramètres!$A$1:$I$89,3,0)*0.475*44/12</f>
        <v>7.9264939239999332</v>
      </c>
      <c r="DH47" s="21">
        <f>EXP(-LN(2)/2)*DH46+(1-EXP(-LN(2)/2))/(LN(2)/2)*DB47*DE47*VLOOKUP('Données projet'!$B$13,Paramètres!$A$1:$I$89,3,0)*0.475*44/12</f>
        <v>0.14641759387580727</v>
      </c>
      <c r="DI47" s="22">
        <f t="shared" si="15"/>
        <v>9.6464819896418117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8.3000000000000007</v>
      </c>
      <c r="N48" s="13">
        <f>IF('Données projet'!$A$36&gt;35,N47+M48-V47,IF(A48&lt;'Données projet'!$A$36,$K$205^A48,IF(A48='Données projet'!$A$36,'Données projet'!$B$36,N47+M48-V47)))</f>
        <v>157.5</v>
      </c>
      <c r="O48" s="13">
        <f>N48*VLOOKUP('Données projet'!$B$9,Paramètres!$A$1:$I$89,3,0)*VLOOKUP('Données projet'!$B$9,Paramètres!$A$1:$I$89,5,0)</f>
        <v>142.506</v>
      </c>
      <c r="P48" s="13">
        <f t="shared" si="33"/>
        <v>36.870500776307537</v>
      </c>
      <c r="Q48" s="20">
        <f t="shared" si="53"/>
        <v>312.41407218540223</v>
      </c>
      <c r="R48" s="59">
        <f t="shared" si="0"/>
        <v>605.7474055187356</v>
      </c>
      <c r="S48" s="59">
        <f ca="1">AVERAGE(OFFSET($R$3,0,0,'Données projet'!$E$9+1,1))-AVERAGE(OFFSET($H$3,0,0,'Données projet'!$E$9+1,1))</f>
        <v>237.22177246688199</v>
      </c>
      <c r="T48" s="59">
        <f t="shared" si="34"/>
        <v>149.27472147904302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2.0491549944859706</v>
      </c>
      <c r="AB48" s="21">
        <f>EXP(-LN(2)/2)*AB47+(1-EXP(-LN(2)/2))/(LN(2)/2)*V48*Y48*VLOOKUP('Données projet'!$B$9,Paramètres!$A$1:$I$89,3,0)*0.475*44/12</f>
        <v>3.4191639367099604E-2</v>
      </c>
      <c r="AC48" s="22">
        <f t="shared" si="3"/>
        <v>2.0833466338530702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9.4</v>
      </c>
      <c r="AI48" s="13">
        <f>IF('Données projet'!$A$62&gt;35,AI47+AH48-AQ47,IF(A48&lt;'Données projet'!$A$62,$AF$205^A48,IF(A48='Données projet'!$A$62,'Données projet'!$B$62,AI47+AH48-AQ47)))</f>
        <v>221.00000000000006</v>
      </c>
      <c r="AJ48" s="13">
        <f>AI48*VLOOKUP('Données projet'!$B$10,Paramètres!$A$1:$I$89,3,0)*VLOOKUP('Données projet'!$B$10,Paramètres!$A$1:$I$89,5,0)</f>
        <v>193.06560000000007</v>
      </c>
      <c r="AK48" s="13">
        <f t="shared" si="35"/>
        <v>48.217080828790458</v>
      </c>
      <c r="AL48" s="20">
        <f t="shared" si="4"/>
        <v>420.23400244347687</v>
      </c>
      <c r="AM48" s="59">
        <f t="shared" si="5"/>
        <v>713.56733577681018</v>
      </c>
      <c r="AN48" s="59">
        <f ca="1">AVERAGE(OFFSET($AM$3,0,0,'Données projet'!$E$10+1,1))-AVERAGE(OFFSET($H$3,0,0,'Données projet'!$E$10+1,1))</f>
        <v>243.38048563215585</v>
      </c>
      <c r="AO48" s="59">
        <f t="shared" si="36"/>
        <v>372.1604147006675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5.4303522753848066</v>
      </c>
      <c r="AV48" s="21">
        <f>EXP(-LN(2)/25)*AV47+(1-EXP(-LN(2)/25))/(LN(2)/25)*Calculateur!AQ48*Calculateur!AS48*VLOOKUP('Données projet'!$B$10,Paramètres!$A$1:$I$89,3,0)*0.475*44/12</f>
        <v>12.774438811455266</v>
      </c>
      <c r="AW48" s="21">
        <f>EXP(-LN(2)/2)*AW47+(1-EXP(-LN(2)/2))/(LN(2)/2)*AQ48*AT48*VLOOKUP('Données projet'!$B$10,Paramètres!$A$1:$I$89,3,0)*0.475*44/12</f>
        <v>0.16194368990389374</v>
      </c>
      <c r="AX48" s="21">
        <f t="shared" si="6"/>
        <v>18.366734776743964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19.2</v>
      </c>
      <c r="BD48" s="12">
        <f>IF('Données projet'!$A$88&gt;35,BD47+BC48-BL47,IF(A48&lt;'Données projet'!$A$88,$BA$205^A48,IF(A48='Données projet'!$A$88,'Données projet'!$B$88,BD47+BC48-BL47)))</f>
        <v>412.99999999999983</v>
      </c>
      <c r="BE48" s="13">
        <f>BD48*VLOOKUP('Données projet'!$B$11,Paramètres!$A$1:$I$89,3,0)*VLOOKUP('Données projet'!$B$11,Paramètres!$A$1:$I$89,5,0)</f>
        <v>230.8669999999999</v>
      </c>
      <c r="BF48" s="13">
        <f t="shared" si="37"/>
        <v>56.470106131334084</v>
      </c>
      <c r="BG48" s="20">
        <f t="shared" si="7"/>
        <v>500.44545984540667</v>
      </c>
      <c r="BH48" s="59">
        <f t="shared" si="8"/>
        <v>793.77879317873999</v>
      </c>
      <c r="BI48" s="59">
        <f ca="1">AVERAGE(OFFSET($BH$3,0,0,'Données projet'!$E$11+1,1))-AVERAGE(OFFSET($H$3,0,0,'Données projet'!$E$11+1,1))</f>
        <v>326.31232746914907</v>
      </c>
      <c r="BJ48" s="59">
        <f t="shared" si="38"/>
        <v>330.17137761430297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3.3939701721155053</v>
      </c>
      <c r="BQ48" s="21">
        <f>EXP(-LN(2)/25)*BQ47+(1-EXP(-LN(2)/25))/(LN(2)/25)*Calculateur!BL48*Calculateur!BN48*VLOOKUP('Données projet'!$B$11,Paramètres!$A$1:$I$89,3,0)*0.475*44/12</f>
        <v>19.906721965837086</v>
      </c>
      <c r="BR48" s="21">
        <f>EXP(-LN(2)/2)*BR47+(1-EXP(-LN(2)/2))/(LN(2)/2)*BL48*BO48*VLOOKUP('Données projet'!$B$11,Paramètres!$A$1:$I$89,3,0)*0.475*44/12</f>
        <v>0.17966085332096027</v>
      </c>
      <c r="BS48" s="22">
        <f t="shared" si="9"/>
        <v>23.480352991273552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10.6</v>
      </c>
      <c r="BY48" s="12">
        <f>IF('Données projet'!$A$114&gt;35,BY47+BX48-CG47,IF(A48&lt;'Données projet'!$A$114,$BV$205^A48,IF(A48='Données projet'!$A$114,'Données projet'!$B$114,BY47+BX48-CG47)))</f>
        <v>275.99999999999989</v>
      </c>
      <c r="BZ48" s="13">
        <f>BY48*VLOOKUP('Données projet'!$B$12,Paramètres!$A$1:$I$89,3,0)*VLOOKUP('Données projet'!$B$12,Paramètres!$A$1:$I$89,5,0)</f>
        <v>219.58559999999991</v>
      </c>
      <c r="CA48" s="13">
        <f t="shared" si="39"/>
        <v>54.024808047218549</v>
      </c>
      <c r="CB48" s="20">
        <f t="shared" si="10"/>
        <v>476.53812734890556</v>
      </c>
      <c r="CC48" s="59">
        <f t="shared" si="11"/>
        <v>769.87146068223888</v>
      </c>
      <c r="CD48" s="59">
        <f ca="1">AVERAGE(OFFSET($CC$3,0,0,'Données projet'!$E$12+1,1))-AVERAGE(OFFSET($H$3,0,0,'Données projet'!$E$12+1,1))</f>
        <v>314.94704727988847</v>
      </c>
      <c r="CE48" s="59">
        <f t="shared" si="40"/>
        <v>366.49199094166454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2.9092710492267053</v>
      </c>
      <c r="CL48" s="21">
        <f>EXP(-LN(2)/25)*CL47+(1-EXP(-LN(2)/25))/(LN(2)/25)*Calculateur!CG48*Calculateur!CI48*VLOOKUP('Données projet'!$B$12,Paramètres!$A$1:$I$89,3,0)*0.475*44/12</f>
        <v>16.76229807183481</v>
      </c>
      <c r="CM48" s="21">
        <f>EXP(-LN(2)/2)*CM47+(1-EXP(-LN(2)/2))/(LN(2)/2)*CG48*CJ48*VLOOKUP('Données projet'!$B$12,Paramètres!$A$1:$I$89,3,0)*0.475*44/12</f>
        <v>0.15948150745258349</v>
      </c>
      <c r="CN48" s="22">
        <f t="shared" si="12"/>
        <v>19.831050628514099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11.2</v>
      </c>
      <c r="CT48" s="12">
        <f>IF('Données projet'!$A$140&gt;35,CT47+CS48-DB47,IF(A48&lt;'Données projet'!$A$140,$CQ$205^A48,IF(A48='Données projet'!$A$140,'Données projet'!$B$140,CT47+CS48-DB47)))</f>
        <v>202.99999999999994</v>
      </c>
      <c r="CU48" s="17">
        <f>CT48*VLOOKUP('Données projet'!$B$13,Paramètres!$A$1:$I$89,3,0)*VLOOKUP('Données projet'!$B$13,Paramètres!$A$1:$I$89,5,0)</f>
        <v>158.33999999999997</v>
      </c>
      <c r="CV48" s="13">
        <f t="shared" si="41"/>
        <v>40.467870812652819</v>
      </c>
      <c r="CW48" s="20">
        <f t="shared" si="13"/>
        <v>346.25704166537025</v>
      </c>
      <c r="CX48" s="59">
        <f t="shared" si="14"/>
        <v>639.59037499870351</v>
      </c>
      <c r="CY48" s="59">
        <f ca="1">AVERAGE(OFFSET($CX$3,0,0,'Données projet'!$E$13+1,1))-AVERAGE(OFFSET($H$3,0,0,'Données projet'!$E$13+1,1))</f>
        <v>261.59434871103355</v>
      </c>
      <c r="CZ48" s="59">
        <f t="shared" si="42"/>
        <v>194.97518096665976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1.5427137145979564</v>
      </c>
      <c r="DG48" s="21">
        <f>EXP(-LN(2)/25)*DG47+(1-EXP(-LN(2)/25))/(LN(2)/25)*Calculateur!DB48*Calculateur!DD48*VLOOKUP('Données projet'!$B$13,Paramètres!$A$1:$I$89,3,0)*0.475*44/12</f>
        <v>7.7097435308119557</v>
      </c>
      <c r="DH48" s="21">
        <f>EXP(-LN(2)/2)*DH47+(1-EXP(-LN(2)/2))/(LN(2)/2)*DB48*DE48*VLOOKUP('Données projet'!$B$13,Paramètres!$A$1:$I$89,3,0)*0.475*44/12</f>
        <v>0.10353287351460123</v>
      </c>
      <c r="DI48" s="22">
        <f t="shared" si="15"/>
        <v>9.3559901189245132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8.3000000000000007</v>
      </c>
      <c r="N49" s="13">
        <f>IF('Données projet'!$A$36&gt;35,N48+M49-V48,IF(A49&lt;'Données projet'!$A$36,$K$205^A49,IF(A49='Données projet'!$A$36,'Données projet'!$B$36,N48+M49-V48)))</f>
        <v>165.8</v>
      </c>
      <c r="O49" s="13">
        <f>N49*VLOOKUP('Données projet'!$B$9,Paramètres!$A$1:$I$89,3,0)*VLOOKUP('Données projet'!$B$9,Paramètres!$A$1:$I$89,5,0)</f>
        <v>150.01584</v>
      </c>
      <c r="P49" s="13">
        <f t="shared" si="33"/>
        <v>38.582185295570788</v>
      </c>
      <c r="Q49" s="20">
        <f t="shared" si="53"/>
        <v>328.47489405645246</v>
      </c>
      <c r="R49" s="59">
        <f t="shared" si="0"/>
        <v>621.80822738978577</v>
      </c>
      <c r="S49" s="59">
        <f ca="1">AVERAGE(OFFSET($R$3,0,0,'Données projet'!$E$9+1,1))-AVERAGE(OFFSET($H$3,0,0,'Données projet'!$E$9+1,1))</f>
        <v>237.22177246688199</v>
      </c>
      <c r="T49" s="59">
        <f t="shared" si="34"/>
        <v>149.27472147904302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1.993120743401374</v>
      </c>
      <c r="AB49" s="21">
        <f>EXP(-LN(2)/2)*AB48+(1-EXP(-LN(2)/2))/(LN(2)/2)*V49*Y49*VLOOKUP('Données projet'!$B$9,Paramètres!$A$1:$I$89,3,0)*0.475*44/12</f>
        <v>2.4177140056361044E-2</v>
      </c>
      <c r="AC49" s="22">
        <f t="shared" si="3"/>
        <v>2.0172978834577351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9.4</v>
      </c>
      <c r="AI49" s="13">
        <f>IF('Données projet'!$A$62&gt;35,AI48+AH49-AQ48,IF(A49&lt;'Données projet'!$A$62,$AF$205^A49,IF(A49='Données projet'!$A$62,'Données projet'!$B$62,AI48+AH49-AQ48)))</f>
        <v>230.40000000000006</v>
      </c>
      <c r="AJ49" s="13">
        <f>AI49*VLOOKUP('Données projet'!$B$10,Paramètres!$A$1:$I$89,3,0)*VLOOKUP('Données projet'!$B$10,Paramètres!$A$1:$I$89,5,0)</f>
        <v>201.2774400000001</v>
      </c>
      <c r="AK49" s="13">
        <f t="shared" si="35"/>
        <v>50.024806258462817</v>
      </c>
      <c r="AL49" s="20">
        <f t="shared" si="4"/>
        <v>437.68474556682287</v>
      </c>
      <c r="AM49" s="59">
        <f t="shared" si="5"/>
        <v>731.01807890015618</v>
      </c>
      <c r="AN49" s="59">
        <f ca="1">AVERAGE(OFFSET($AM$3,0,0,'Données projet'!$E$10+1,1))-AVERAGE(OFFSET($H$3,0,0,'Données projet'!$E$10+1,1))</f>
        <v>243.38048563215585</v>
      </c>
      <c r="AO49" s="59">
        <f t="shared" si="36"/>
        <v>372.1604147006675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5.3238663794523475</v>
      </c>
      <c r="AV49" s="21">
        <f>EXP(-LN(2)/25)*AV48+(1-EXP(-LN(2)/25))/(LN(2)/25)*Calculateur!AQ49*Calculateur!AS49*VLOOKUP('Données projet'!$B$10,Paramètres!$A$1:$I$89,3,0)*0.475*44/12</f>
        <v>12.42512111037748</v>
      </c>
      <c r="AW49" s="21">
        <f>EXP(-LN(2)/2)*AW48+(1-EXP(-LN(2)/2))/(LN(2)/2)*AQ49*AT49*VLOOKUP('Données projet'!$B$10,Paramètres!$A$1:$I$89,3,0)*0.475*44/12</f>
        <v>0.1145114813014147</v>
      </c>
      <c r="AX49" s="21">
        <f t="shared" si="6"/>
        <v>17.863498971131243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19.2</v>
      </c>
      <c r="BD49" s="12">
        <f>IF('Données projet'!$A$88&gt;35,BD48+BC49-BL48,IF(A49&lt;'Données projet'!$A$88,$BA$205^A49,IF(A49='Données projet'!$A$88,'Données projet'!$B$88,BD48+BC49-BL48)))</f>
        <v>432.19999999999982</v>
      </c>
      <c r="BE49" s="13">
        <f>BD49*VLOOKUP('Données projet'!$B$11,Paramètres!$A$1:$I$89,3,0)*VLOOKUP('Données projet'!$B$11,Paramètres!$A$1:$I$89,5,0)</f>
        <v>241.5997999999999</v>
      </c>
      <c r="BF49" s="13">
        <f t="shared" si="37"/>
        <v>58.783602040793284</v>
      </c>
      <c r="BG49" s="20">
        <f t="shared" si="7"/>
        <v>523.16775855438141</v>
      </c>
      <c r="BH49" s="59">
        <f t="shared" si="8"/>
        <v>816.50109188771467</v>
      </c>
      <c r="BI49" s="59">
        <f ca="1">AVERAGE(OFFSET($BH$3,0,0,'Données projet'!$E$11+1,1))-AVERAGE(OFFSET($H$3,0,0,'Données projet'!$E$11+1,1))</f>
        <v>326.31232746914907</v>
      </c>
      <c r="BJ49" s="59">
        <f t="shared" si="38"/>
        <v>330.17137761430297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3.3274164871577181</v>
      </c>
      <c r="BQ49" s="21">
        <f>EXP(-LN(2)/25)*BQ48+(1-EXP(-LN(2)/25))/(LN(2)/25)*Calculateur!BL49*Calculateur!BN49*VLOOKUP('Données projet'!$B$11,Paramètres!$A$1:$I$89,3,0)*0.475*44/12</f>
        <v>19.362371606832259</v>
      </c>
      <c r="BR49" s="21">
        <f>EXP(-LN(2)/2)*BR48+(1-EXP(-LN(2)/2))/(LN(2)/2)*BL49*BO49*VLOOKUP('Données projet'!$B$11,Paramètres!$A$1:$I$89,3,0)*0.475*44/12</f>
        <v>0.12703940769701266</v>
      </c>
      <c r="BS49" s="22">
        <f t="shared" si="9"/>
        <v>22.816827501686987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10.6</v>
      </c>
      <c r="BY49" s="12">
        <f>IF('Données projet'!$A$114&gt;35,BY48+BX49-CG48,IF(A49&lt;'Données projet'!$A$114,$BV$205^A49,IF(A49='Données projet'!$A$114,'Données projet'!$B$114,BY48+BX49-CG48)))</f>
        <v>286.59999999999991</v>
      </c>
      <c r="BZ49" s="13">
        <f>BY49*VLOOKUP('Données projet'!$B$12,Paramètres!$A$1:$I$89,3,0)*VLOOKUP('Données projet'!$B$12,Paramètres!$A$1:$I$89,5,0)</f>
        <v>228.01895999999996</v>
      </c>
      <c r="CA49" s="13">
        <f t="shared" si="39"/>
        <v>55.854118949181277</v>
      </c>
      <c r="CB49" s="20">
        <f t="shared" si="10"/>
        <v>494.41227916982399</v>
      </c>
      <c r="CC49" s="59">
        <f t="shared" si="11"/>
        <v>787.7456125031573</v>
      </c>
      <c r="CD49" s="59">
        <f ca="1">AVERAGE(OFFSET($CC$3,0,0,'Données projet'!$E$12+1,1))-AVERAGE(OFFSET($H$3,0,0,'Données projet'!$E$12+1,1))</f>
        <v>314.94704727988847</v>
      </c>
      <c r="CE49" s="59">
        <f t="shared" si="40"/>
        <v>366.49199094166454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2.8522220184314944</v>
      </c>
      <c r="CL49" s="21">
        <f>EXP(-LN(2)/25)*CL48+(1-EXP(-LN(2)/25))/(LN(2)/25)*Calculateur!CG49*Calculateur!CI49*VLOOKUP('Données projet'!$B$12,Paramètres!$A$1:$I$89,3,0)*0.475*44/12</f>
        <v>16.30393214956954</v>
      </c>
      <c r="CM49" s="21">
        <f>EXP(-LN(2)/2)*CM48+(1-EXP(-LN(2)/2))/(LN(2)/2)*CG49*CJ49*VLOOKUP('Données projet'!$B$12,Paramètres!$A$1:$I$89,3,0)*0.475*44/12</f>
        <v>0.11277045539357471</v>
      </c>
      <c r="CN49" s="22">
        <f t="shared" si="12"/>
        <v>19.268924623394611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11.2</v>
      </c>
      <c r="CT49" s="12">
        <f>IF('Données projet'!$A$140&gt;35,CT48+CS49-DB48,IF(A49&lt;'Données projet'!$A$140,$CQ$205^A49,IF(A49='Données projet'!$A$140,'Données projet'!$B$140,CT48+CS49-DB48)))</f>
        <v>214.19999999999993</v>
      </c>
      <c r="CU49" s="17">
        <f>CT49*VLOOKUP('Données projet'!$B$13,Paramètres!$A$1:$I$89,3,0)*VLOOKUP('Données projet'!$B$13,Paramètres!$A$1:$I$89,5,0)</f>
        <v>167.07599999999996</v>
      </c>
      <c r="CV49" s="13">
        <f t="shared" si="41"/>
        <v>42.434485059621636</v>
      </c>
      <c r="CW49" s="20">
        <f t="shared" si="13"/>
        <v>364.89742814550755</v>
      </c>
      <c r="CX49" s="59">
        <f t="shared" si="14"/>
        <v>658.2307614788408</v>
      </c>
      <c r="CY49" s="59">
        <f ca="1">AVERAGE(OFFSET($CX$3,0,0,'Données projet'!$E$13+1,1))-AVERAGE(OFFSET($H$3,0,0,'Données projet'!$E$13+1,1))</f>
        <v>261.59434871103355</v>
      </c>
      <c r="CZ49" s="59">
        <f t="shared" si="42"/>
        <v>194.97518096665976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1.512462039617144</v>
      </c>
      <c r="DG49" s="21">
        <f>EXP(-LN(2)/25)*DG48+(1-EXP(-LN(2)/25))/(LN(2)/25)*Calculateur!DB49*Calculateur!DD49*VLOOKUP('Données projet'!$B$13,Paramètres!$A$1:$I$89,3,0)*0.475*44/12</f>
        <v>7.498920188524111</v>
      </c>
      <c r="DH49" s="21">
        <f>EXP(-LN(2)/2)*DH48+(1-EXP(-LN(2)/2))/(LN(2)/2)*DB49*DE49*VLOOKUP('Données projet'!$B$13,Paramètres!$A$1:$I$89,3,0)*0.475*44/12</f>
        <v>7.3208796937903636E-2</v>
      </c>
      <c r="DI49" s="22">
        <f t="shared" si="15"/>
        <v>9.0845910250791579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8.3000000000000007</v>
      </c>
      <c r="N50" s="13">
        <f>IF('Données projet'!$A$36&gt;35,N49+M50-V49,IF(A50&lt;'Données projet'!$A$36,$K$205^A50,IF(A50='Données projet'!$A$36,'Données projet'!$B$36,N49+M50-V49)))</f>
        <v>174.10000000000002</v>
      </c>
      <c r="O50" s="13">
        <f>N50*VLOOKUP('Données projet'!$B$9,Paramètres!$A$1:$I$89,3,0)*VLOOKUP('Données projet'!$B$9,Paramètres!$A$1:$I$89,5,0)</f>
        <v>157.52568000000002</v>
      </c>
      <c r="P50" s="13">
        <f t="shared" si="33"/>
        <v>40.283920409774808</v>
      </c>
      <c r="Q50" s="20">
        <f t="shared" si="53"/>
        <v>344.51838738035781</v>
      </c>
      <c r="R50" s="59">
        <f t="shared" si="0"/>
        <v>637.85172071369107</v>
      </c>
      <c r="S50" s="59">
        <f ca="1">AVERAGE(OFFSET($R$3,0,0,'Données projet'!$E$9+1,1))-AVERAGE(OFFSET($H$3,0,0,'Données projet'!$E$9+1,1))</f>
        <v>237.22177246688199</v>
      </c>
      <c r="T50" s="59">
        <f t="shared" si="34"/>
        <v>149.27472147904302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1.9386187518593989</v>
      </c>
      <c r="AB50" s="21">
        <f>EXP(-LN(2)/2)*AB49+(1-EXP(-LN(2)/2))/(LN(2)/2)*V50*Y50*VLOOKUP('Données projet'!$B$9,Paramètres!$A$1:$I$89,3,0)*0.475*44/12</f>
        <v>1.7095819683549802E-2</v>
      </c>
      <c r="AC50" s="22">
        <f t="shared" si="3"/>
        <v>1.9557145715429487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9.4</v>
      </c>
      <c r="AI50" s="13">
        <f>IF('Données projet'!$A$62&gt;35,AI49+AH50-AQ49,IF(A50&lt;'Données projet'!$A$62,$AF$205^A50,IF(A50='Données projet'!$A$62,'Données projet'!$B$62,AI49+AH50-AQ49)))</f>
        <v>239.80000000000007</v>
      </c>
      <c r="AJ50" s="13">
        <f>AI50*VLOOKUP('Données projet'!$B$10,Paramètres!$A$1:$I$89,3,0)*VLOOKUP('Données projet'!$B$10,Paramètres!$A$1:$I$89,5,0)</f>
        <v>209.48928000000006</v>
      </c>
      <c r="AK50" s="13">
        <f t="shared" si="35"/>
        <v>51.823964717594407</v>
      </c>
      <c r="AL50" s="20">
        <f t="shared" si="4"/>
        <v>455.12056788314362</v>
      </c>
      <c r="AM50" s="59">
        <f t="shared" si="5"/>
        <v>748.45390121647688</v>
      </c>
      <c r="AN50" s="59">
        <f ca="1">AVERAGE(OFFSET($AM$3,0,0,'Données projet'!$E$10+1,1))-AVERAGE(OFFSET($H$3,0,0,'Données projet'!$E$10+1,1))</f>
        <v>243.38048563215585</v>
      </c>
      <c r="AO50" s="59">
        <f t="shared" si="36"/>
        <v>372.1604147006675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5.2194686069891407</v>
      </c>
      <c r="AV50" s="21">
        <f>EXP(-LN(2)/25)*AV49+(1-EXP(-LN(2)/25))/(LN(2)/25)*Calculateur!AQ50*Calculateur!AS50*VLOOKUP('Données projet'!$B$10,Paramètres!$A$1:$I$89,3,0)*0.475*44/12</f>
        <v>12.085355520205487</v>
      </c>
      <c r="AW50" s="21">
        <f>EXP(-LN(2)/2)*AW49+(1-EXP(-LN(2)/2))/(LN(2)/2)*AQ50*AT50*VLOOKUP('Données projet'!$B$10,Paramètres!$A$1:$I$89,3,0)*0.475*44/12</f>
        <v>8.097184495194687E-2</v>
      </c>
      <c r="AX50" s="21">
        <f t="shared" si="6"/>
        <v>17.385795972146575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19.2</v>
      </c>
      <c r="BD50" s="12">
        <f>IF('Données projet'!$A$88&gt;35,BD49+BC50-BL49,IF(A50&lt;'Données projet'!$A$88,$BA$205^A50,IF(A50='Données projet'!$A$88,'Données projet'!$B$88,BD49+BC50-BL49)))</f>
        <v>451.39999999999981</v>
      </c>
      <c r="BE50" s="13">
        <f>BD50*VLOOKUP('Données projet'!$B$11,Paramètres!$A$1:$I$89,3,0)*VLOOKUP('Données projet'!$B$11,Paramètres!$A$1:$I$89,5,0)</f>
        <v>252.3325999999999</v>
      </c>
      <c r="BF50" s="13">
        <f t="shared" si="37"/>
        <v>61.08516173401626</v>
      </c>
      <c r="BG50" s="20">
        <f t="shared" si="7"/>
        <v>545.86926835341148</v>
      </c>
      <c r="BH50" s="59">
        <f t="shared" si="8"/>
        <v>839.20260168674486</v>
      </c>
      <c r="BI50" s="59">
        <f ca="1">AVERAGE(OFFSET($BH$3,0,0,'Données projet'!$E$11+1,1))-AVERAGE(OFFSET($H$3,0,0,'Données projet'!$E$11+1,1))</f>
        <v>326.31232746914907</v>
      </c>
      <c r="BJ50" s="59">
        <f t="shared" si="38"/>
        <v>330.17137761430297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3.2621678793682136</v>
      </c>
      <c r="BQ50" s="21">
        <f>EXP(-LN(2)/25)*BQ49+(1-EXP(-LN(2)/25))/(LN(2)/25)*Calculateur!BL50*Calculateur!BN50*VLOOKUP('Données projet'!$B$11,Paramètres!$A$1:$I$89,3,0)*0.475*44/12</f>
        <v>18.832906537020563</v>
      </c>
      <c r="BR50" s="21">
        <f>EXP(-LN(2)/2)*BR49+(1-EXP(-LN(2)/2))/(LN(2)/2)*BL50*BO50*VLOOKUP('Données projet'!$B$11,Paramètres!$A$1:$I$89,3,0)*0.475*44/12</f>
        <v>8.9830426660480134E-2</v>
      </c>
      <c r="BS50" s="22">
        <f t="shared" si="9"/>
        <v>22.184904843049257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10.6</v>
      </c>
      <c r="BY50" s="12">
        <f>IF('Données projet'!$A$114&gt;35,BY49+BX50-CG49,IF(A50&lt;'Données projet'!$A$114,$BV$205^A50,IF(A50='Données projet'!$A$114,'Données projet'!$B$114,BY49+BX50-CG49)))</f>
        <v>297.19999999999993</v>
      </c>
      <c r="BZ50" s="13">
        <f>BY50*VLOOKUP('Données projet'!$B$12,Paramètres!$A$1:$I$89,3,0)*VLOOKUP('Données projet'!$B$12,Paramètres!$A$1:$I$89,5,0)</f>
        <v>236.45231999999996</v>
      </c>
      <c r="CA50" s="13">
        <f t="shared" si="39"/>
        <v>57.675569530260624</v>
      </c>
      <c r="CB50" s="20">
        <f t="shared" si="10"/>
        <v>512.27274093187054</v>
      </c>
      <c r="CC50" s="59">
        <f t="shared" si="11"/>
        <v>805.60607426520392</v>
      </c>
      <c r="CD50" s="59">
        <f ca="1">AVERAGE(OFFSET($CC$3,0,0,'Données projet'!$E$12+1,1))-AVERAGE(OFFSET($H$3,0,0,'Données projet'!$E$12+1,1))</f>
        <v>314.94704727988847</v>
      </c>
      <c r="CE50" s="59">
        <f t="shared" si="40"/>
        <v>366.49199094166454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2.7962916843337045</v>
      </c>
      <c r="CL50" s="21">
        <f>EXP(-LN(2)/25)*CL49+(1-EXP(-LN(2)/25))/(LN(2)/25)*Calculateur!CG50*Calculateur!CI50*VLOOKUP('Données projet'!$B$12,Paramètres!$A$1:$I$89,3,0)*0.475*44/12</f>
        <v>15.858100267553032</v>
      </c>
      <c r="CM50" s="21">
        <f>EXP(-LN(2)/2)*CM49+(1-EXP(-LN(2)/2))/(LN(2)/2)*CG50*CJ50*VLOOKUP('Données projet'!$B$12,Paramètres!$A$1:$I$89,3,0)*0.475*44/12</f>
        <v>7.9740753726291747E-2</v>
      </c>
      <c r="CN50" s="22">
        <f t="shared" si="12"/>
        <v>18.734132705613028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11.2</v>
      </c>
      <c r="CT50" s="12">
        <f>IF('Données projet'!$A$140&gt;35,CT49+CS50-DB49,IF(A50&lt;'Données projet'!$A$140,$CQ$205^A50,IF(A50='Données projet'!$A$140,'Données projet'!$B$140,CT49+CS50-DB49)))</f>
        <v>225.39999999999992</v>
      </c>
      <c r="CU50" s="17">
        <f>CT50*VLOOKUP('Données projet'!$B$13,Paramètres!$A$1:$I$89,3,0)*VLOOKUP('Données projet'!$B$13,Paramètres!$A$1:$I$89,5,0)</f>
        <v>175.81199999999995</v>
      </c>
      <c r="CV50" s="13">
        <f t="shared" si="41"/>
        <v>44.389160560041141</v>
      </c>
      <c r="CW50" s="20">
        <f t="shared" si="13"/>
        <v>383.51702130873826</v>
      </c>
      <c r="CX50" s="59">
        <f t="shared" si="14"/>
        <v>676.85035464207158</v>
      </c>
      <c r="CY50" s="59">
        <f ca="1">AVERAGE(OFFSET($CX$3,0,0,'Données projet'!$E$13+1,1))-AVERAGE(OFFSET($H$3,0,0,'Données projet'!$E$13+1,1))</f>
        <v>261.59434871103355</v>
      </c>
      <c r="CZ50" s="59">
        <f t="shared" si="42"/>
        <v>194.97518096665976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1.4828035815310057</v>
      </c>
      <c r="DG50" s="21">
        <f>EXP(-LN(2)/25)*DG49+(1-EXP(-LN(2)/25))/(LN(2)/25)*Calculateur!DB50*Calculateur!DD50*VLOOKUP('Données projet'!$B$13,Paramètres!$A$1:$I$89,3,0)*0.475*44/12</f>
        <v>7.2938618216178455</v>
      </c>
      <c r="DH50" s="21">
        <f>EXP(-LN(2)/2)*DH49+(1-EXP(-LN(2)/2))/(LN(2)/2)*DB50*DE50*VLOOKUP('Données projet'!$B$13,Paramètres!$A$1:$I$89,3,0)*0.475*44/12</f>
        <v>5.1766436757300617E-2</v>
      </c>
      <c r="DI50" s="22">
        <f t="shared" si="15"/>
        <v>8.8284318399061519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8.3000000000000007</v>
      </c>
      <c r="N51" s="13">
        <f>IF('Données projet'!$A$36&gt;35,N50+M51-V50,IF(A51&lt;'Données projet'!$A$36,$K$205^A51,IF(A51='Données projet'!$A$36,'Données projet'!$B$36,N50+M51-V50)))</f>
        <v>182.40000000000003</v>
      </c>
      <c r="O51" s="13">
        <f>N51*VLOOKUP('Données projet'!$B$9,Paramètres!$A$1:$I$89,3,0)*VLOOKUP('Données projet'!$B$9,Paramètres!$A$1:$I$89,5,0)</f>
        <v>165.03552000000002</v>
      </c>
      <c r="P51" s="13">
        <f t="shared" si="33"/>
        <v>41.976234598846517</v>
      </c>
      <c r="Q51" s="20">
        <f t="shared" si="53"/>
        <v>360.54547259299108</v>
      </c>
      <c r="R51" s="59">
        <f t="shared" si="0"/>
        <v>653.87880592632439</v>
      </c>
      <c r="S51" s="59">
        <f ca="1">AVERAGE(OFFSET($R$3,0,0,'Données projet'!$E$9+1,1))-AVERAGE(OFFSET($H$3,0,0,'Données projet'!$E$9+1,1))</f>
        <v>237.22177246688199</v>
      </c>
      <c r="T51" s="59">
        <f t="shared" si="34"/>
        <v>149.27472147904302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1.8856071201422742</v>
      </c>
      <c r="AB51" s="21">
        <f>EXP(-LN(2)/2)*AB50+(1-EXP(-LN(2)/2))/(LN(2)/2)*V51*Y51*VLOOKUP('Données projet'!$B$9,Paramètres!$A$1:$I$89,3,0)*0.475*44/12</f>
        <v>1.2088570028180522E-2</v>
      </c>
      <c r="AC51" s="22">
        <f t="shared" si="3"/>
        <v>1.8976956901704547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9.4</v>
      </c>
      <c r="AI51" s="13">
        <f>IF('Données projet'!$A$62&gt;35,AI50+AH51-AQ50,IF(A51&lt;'Données projet'!$A$62,$AF$205^A51,IF(A51='Données projet'!$A$62,'Données projet'!$B$62,AI50+AH51-AQ50)))</f>
        <v>249.20000000000007</v>
      </c>
      <c r="AJ51" s="13">
        <f>AI51*VLOOKUP('Données projet'!$B$10,Paramètres!$A$1:$I$89,3,0)*VLOOKUP('Données projet'!$B$10,Paramètres!$A$1:$I$89,5,0)</f>
        <v>217.70112000000009</v>
      </c>
      <c r="AK51" s="13">
        <f t="shared" si="35"/>
        <v>53.614930456328594</v>
      </c>
      <c r="AL51" s="20">
        <f t="shared" si="4"/>
        <v>472.54212121143911</v>
      </c>
      <c r="AM51" s="59">
        <f t="shared" si="5"/>
        <v>765.87545454477242</v>
      </c>
      <c r="AN51" s="59">
        <f ca="1">AVERAGE(OFFSET($AM$3,0,0,'Données projet'!$E$10+1,1))-AVERAGE(OFFSET($H$3,0,0,'Données projet'!$E$10+1,1))</f>
        <v>243.38048563215585</v>
      </c>
      <c r="AO51" s="59">
        <f t="shared" si="36"/>
        <v>372.1604147006675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5.1171180111675829</v>
      </c>
      <c r="AV51" s="21">
        <f>EXP(-LN(2)/25)*AV50+(1-EXP(-LN(2)/25))/(LN(2)/25)*Calculateur!AQ51*Calculateur!AS51*VLOOKUP('Données projet'!$B$10,Paramètres!$A$1:$I$89,3,0)*0.475*44/12</f>
        <v>11.754880837964244</v>
      </c>
      <c r="AW51" s="21">
        <f>EXP(-LN(2)/2)*AW50+(1-EXP(-LN(2)/2))/(LN(2)/2)*AQ51*AT51*VLOOKUP('Données projet'!$B$10,Paramètres!$A$1:$I$89,3,0)*0.475*44/12</f>
        <v>5.7255740650707349E-2</v>
      </c>
      <c r="AX51" s="21">
        <f t="shared" si="6"/>
        <v>16.929254589782534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19.2</v>
      </c>
      <c r="BD51" s="12">
        <f>IF('Données projet'!$A$88&gt;35,BD50+BC51-BL50,IF(A51&lt;'Données projet'!$A$88,$BA$205^A51,IF(A51='Données projet'!$A$88,'Données projet'!$B$88,BD50+BC51-BL50)))</f>
        <v>470.5999999999998</v>
      </c>
      <c r="BE51" s="13">
        <f>BD51*VLOOKUP('Données projet'!$B$11,Paramètres!$A$1:$I$89,3,0)*VLOOKUP('Données projet'!$B$11,Paramètres!$A$1:$I$89,5,0)</f>
        <v>263.0653999999999</v>
      </c>
      <c r="BF51" s="13">
        <f t="shared" si="37"/>
        <v>63.375350953508303</v>
      </c>
      <c r="BG51" s="20">
        <f t="shared" si="7"/>
        <v>568.55097457736008</v>
      </c>
      <c r="BH51" s="59">
        <f t="shared" si="8"/>
        <v>861.88430791069345</v>
      </c>
      <c r="BI51" s="59">
        <f ca="1">AVERAGE(OFFSET($BH$3,0,0,'Données projet'!$E$11+1,1))-AVERAGE(OFFSET($H$3,0,0,'Données projet'!$E$11+1,1))</f>
        <v>326.31232746914907</v>
      </c>
      <c r="BJ51" s="59">
        <f t="shared" si="38"/>
        <v>330.17137761430297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3.1981987569797403</v>
      </c>
      <c r="BQ51" s="21">
        <f>EXP(-LN(2)/25)*BQ50+(1-EXP(-LN(2)/25))/(LN(2)/25)*Calculateur!BL51*Calculateur!BN51*VLOOKUP('Données projet'!$B$11,Paramètres!$A$1:$I$89,3,0)*0.475*44/12</f>
        <v>18.317919717386225</v>
      </c>
      <c r="BR51" s="21">
        <f>EXP(-LN(2)/2)*BR50+(1-EXP(-LN(2)/2))/(LN(2)/2)*BL51*BO51*VLOOKUP('Données projet'!$B$11,Paramètres!$A$1:$I$89,3,0)*0.475*44/12</f>
        <v>6.3519703848506331E-2</v>
      </c>
      <c r="BS51" s="22">
        <f t="shared" si="9"/>
        <v>21.57963817821447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10.6</v>
      </c>
      <c r="BY51" s="12">
        <f>IF('Données projet'!$A$114&gt;35,BY50+BX51-CG50,IF(A51&lt;'Données projet'!$A$114,$BV$205^A51,IF(A51='Données projet'!$A$114,'Données projet'!$B$114,BY50+BX51-CG50)))</f>
        <v>307.79999999999995</v>
      </c>
      <c r="BZ51" s="13">
        <f>BY51*VLOOKUP('Données projet'!$B$12,Paramètres!$A$1:$I$89,3,0)*VLOOKUP('Données projet'!$B$12,Paramètres!$A$1:$I$89,5,0)</f>
        <v>244.88567999999998</v>
      </c>
      <c r="CA51" s="13">
        <f t="shared" si="39"/>
        <v>59.489472256806273</v>
      </c>
      <c r="CB51" s="20">
        <f t="shared" si="10"/>
        <v>530.12005684727092</v>
      </c>
      <c r="CC51" s="59">
        <f t="shared" si="11"/>
        <v>823.45339018060417</v>
      </c>
      <c r="CD51" s="59">
        <f ca="1">AVERAGE(OFFSET($CC$3,0,0,'Données projet'!$E$12+1,1))-AVERAGE(OFFSET($H$3,0,0,'Données projet'!$E$12+1,1))</f>
        <v>314.94704727988847</v>
      </c>
      <c r="CE51" s="59">
        <f t="shared" si="40"/>
        <v>366.49199094166454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2.7414581099734368</v>
      </c>
      <c r="CL51" s="21">
        <f>EXP(-LN(2)/25)*CL50+(1-EXP(-LN(2)/25))/(LN(2)/25)*Calculateur!CG51*Calculateur!CI51*VLOOKUP('Données projet'!$B$12,Paramètres!$A$1:$I$89,3,0)*0.475*44/12</f>
        <v>15.424459681795545</v>
      </c>
      <c r="CM51" s="21">
        <f>EXP(-LN(2)/2)*CM50+(1-EXP(-LN(2)/2))/(LN(2)/2)*CG51*CJ51*VLOOKUP('Données projet'!$B$12,Paramètres!$A$1:$I$89,3,0)*0.475*44/12</f>
        <v>5.6385227696787353E-2</v>
      </c>
      <c r="CN51" s="22">
        <f t="shared" si="12"/>
        <v>18.22230301946577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11.2</v>
      </c>
      <c r="CT51" s="12">
        <f>IF('Données projet'!$A$140&gt;35,CT50+CS51-DB50,IF(A51&lt;'Données projet'!$A$140,$CQ$205^A51,IF(A51='Données projet'!$A$140,'Données projet'!$B$140,CT50+CS51-DB50)))</f>
        <v>236.59999999999991</v>
      </c>
      <c r="CU51" s="17">
        <f>CT51*VLOOKUP('Données projet'!$B$13,Paramètres!$A$1:$I$89,3,0)*VLOOKUP('Données projet'!$B$13,Paramètres!$A$1:$I$89,5,0)</f>
        <v>184.54799999999994</v>
      </c>
      <c r="CV51" s="13">
        <f t="shared" si="41"/>
        <v>46.332558240871656</v>
      </c>
      <c r="CW51" s="20">
        <f t="shared" si="13"/>
        <v>402.11697226951804</v>
      </c>
      <c r="CX51" s="59">
        <f t="shared" si="14"/>
        <v>695.45030560285136</v>
      </c>
      <c r="CY51" s="59">
        <f ca="1">AVERAGE(OFFSET($CX$3,0,0,'Données projet'!$E$13+1,1))-AVERAGE(OFFSET($H$3,0,0,'Données projet'!$E$13+1,1))</f>
        <v>261.59434871103355</v>
      </c>
      <c r="CZ51" s="59">
        <f t="shared" si="42"/>
        <v>194.97518096665976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1.4537267077180633</v>
      </c>
      <c r="DG51" s="21">
        <f>EXP(-LN(2)/25)*DG50+(1-EXP(-LN(2)/25))/(LN(2)/25)*Calculateur!DB51*Calculateur!DD51*VLOOKUP('Données projet'!$B$13,Paramètres!$A$1:$I$89,3,0)*0.475*44/12</f>
        <v>7.0944107865381829</v>
      </c>
      <c r="DH51" s="21">
        <f>EXP(-LN(2)/2)*DH50+(1-EXP(-LN(2)/2))/(LN(2)/2)*DB51*DE51*VLOOKUP('Données projet'!$B$13,Paramètres!$A$1:$I$89,3,0)*0.475*44/12</f>
        <v>3.6604398468951818E-2</v>
      </c>
      <c r="DI51" s="22">
        <f t="shared" si="15"/>
        <v>8.5847418927251979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8.3000000000000007</v>
      </c>
      <c r="N52" s="13">
        <f>IF('Données projet'!$A$36&gt;35,N51+M52-V51,IF(A52&lt;'Données projet'!$A$36,$K$205^A52,IF(A52='Données projet'!$A$36,'Données projet'!$B$36,N51+M52-V51)))</f>
        <v>190.70000000000005</v>
      </c>
      <c r="O52" s="13">
        <f>N52*VLOOKUP('Données projet'!$B$9,Paramètres!$A$1:$I$89,3,0)*VLOOKUP('Données projet'!$B$9,Paramètres!$A$1:$I$89,5,0)</f>
        <v>172.54536000000004</v>
      </c>
      <c r="P52" s="13">
        <f t="shared" si="33"/>
        <v>43.65960552772448</v>
      </c>
      <c r="Q52" s="20">
        <f t="shared" si="53"/>
        <v>376.55698162745358</v>
      </c>
      <c r="R52" s="59">
        <f t="shared" si="0"/>
        <v>669.8903149607869</v>
      </c>
      <c r="S52" s="59">
        <f ca="1">AVERAGE(OFFSET($R$3,0,0,'Données projet'!$E$9+1,1))-AVERAGE(OFFSET($H$3,0,0,'Données projet'!$E$9+1,1))</f>
        <v>237.22177246688199</v>
      </c>
      <c r="T52" s="59">
        <f t="shared" si="34"/>
        <v>149.27472147904302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1.8340450942822148</v>
      </c>
      <c r="AB52" s="21">
        <f>EXP(-LN(2)/2)*AB51+(1-EXP(-LN(2)/2))/(LN(2)/2)*V52*Y52*VLOOKUP('Données projet'!$B$9,Paramètres!$A$1:$I$89,3,0)*0.475*44/12</f>
        <v>8.5479098417749009E-3</v>
      </c>
      <c r="AC52" s="22">
        <f t="shared" si="3"/>
        <v>1.8425930041239897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9.4</v>
      </c>
      <c r="AI52" s="13">
        <f>IF('Données projet'!$A$62&gt;35,AI51+AH52-AQ51,IF(A52&lt;'Données projet'!$A$62,$AF$205^A52,IF(A52='Données projet'!$A$62,'Données projet'!$B$62,AI51+AH52-AQ51)))</f>
        <v>258.60000000000008</v>
      </c>
      <c r="AJ52" s="13">
        <f>AI52*VLOOKUP('Données projet'!$B$10,Paramètres!$A$1:$I$89,3,0)*VLOOKUP('Données projet'!$B$10,Paramètres!$A$1:$I$89,5,0)</f>
        <v>225.91296000000011</v>
      </c>
      <c r="AK52" s="13">
        <f t="shared" si="35"/>
        <v>55.398047891514715</v>
      </c>
      <c r="AL52" s="20">
        <f t="shared" si="4"/>
        <v>489.95000541105492</v>
      </c>
      <c r="AM52" s="59">
        <f t="shared" si="5"/>
        <v>783.28333874438817</v>
      </c>
      <c r="AN52" s="59">
        <f ca="1">AVERAGE(OFFSET($AM$3,0,0,'Données projet'!$E$10+1,1))-AVERAGE(OFFSET($H$3,0,0,'Données projet'!$E$10+1,1))</f>
        <v>243.38048563215585</v>
      </c>
      <c r="AO52" s="59">
        <f t="shared" si="36"/>
        <v>372.1604147006675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5.016774448102387</v>
      </c>
      <c r="AV52" s="21">
        <f>EXP(-LN(2)/25)*AV51+(1-EXP(-LN(2)/25))/(LN(2)/25)*Calculateur!AQ52*Calculateur!AS52*VLOOKUP('Données projet'!$B$10,Paramètres!$A$1:$I$89,3,0)*0.475*44/12</f>
        <v>11.433443003287794</v>
      </c>
      <c r="AW52" s="21">
        <f>EXP(-LN(2)/2)*AW51+(1-EXP(-LN(2)/2))/(LN(2)/2)*AQ52*AT52*VLOOKUP('Données projet'!$B$10,Paramètres!$A$1:$I$89,3,0)*0.475*44/12</f>
        <v>4.0485922475973435E-2</v>
      </c>
      <c r="AX52" s="21">
        <f t="shared" si="6"/>
        <v>16.490703373866154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19.2</v>
      </c>
      <c r="BD52" s="12">
        <f>IF('Données projet'!$A$88&gt;35,BD51+BC52-BL51,IF(A52&lt;'Données projet'!$A$88,$BA$205^A52,IF(A52='Données projet'!$A$88,'Données projet'!$B$88,BD51+BC52-BL51)))</f>
        <v>489.79999999999978</v>
      </c>
      <c r="BE52" s="13">
        <f>BD52*VLOOKUP('Données projet'!$B$11,Paramètres!$A$1:$I$89,3,0)*VLOOKUP('Données projet'!$B$11,Paramètres!$A$1:$I$89,5,0)</f>
        <v>273.79819999999989</v>
      </c>
      <c r="BF52" s="13">
        <f t="shared" si="37"/>
        <v>65.654686665964775</v>
      </c>
      <c r="BG52" s="20">
        <f t="shared" si="7"/>
        <v>591.21377760988844</v>
      </c>
      <c r="BH52" s="59">
        <f t="shared" si="8"/>
        <v>884.5471109432217</v>
      </c>
      <c r="BI52" s="59">
        <f ca="1">AVERAGE(OFFSET($BH$3,0,0,'Données projet'!$E$11+1,1))-AVERAGE(OFFSET($H$3,0,0,'Données projet'!$E$11+1,1))</f>
        <v>326.31232746914907</v>
      </c>
      <c r="BJ52" s="59">
        <f t="shared" si="38"/>
        <v>330.17137761430297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3.135484030063993</v>
      </c>
      <c r="BQ52" s="21">
        <f>EXP(-LN(2)/25)*BQ51+(1-EXP(-LN(2)/25))/(LN(2)/25)*Calculateur!BL52*Calculateur!BN52*VLOOKUP('Données projet'!$B$11,Paramètres!$A$1:$I$89,3,0)*0.475*44/12</f>
        <v>17.817015239416765</v>
      </c>
      <c r="BR52" s="21">
        <f>EXP(-LN(2)/2)*BR51+(1-EXP(-LN(2)/2))/(LN(2)/2)*BL52*BO52*VLOOKUP('Données projet'!$B$11,Paramètres!$A$1:$I$89,3,0)*0.475*44/12</f>
        <v>4.4915213330240067E-2</v>
      </c>
      <c r="BS52" s="22">
        <f t="shared" si="9"/>
        <v>20.997414482810996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10.6</v>
      </c>
      <c r="BY52" s="12">
        <f>IF('Données projet'!$A$114&gt;35,BY51+BX52-CG51,IF(A52&lt;'Données projet'!$A$114,$BV$205^A52,IF(A52='Données projet'!$A$114,'Données projet'!$B$114,BY51+BX52-CG51)))</f>
        <v>318.39999999999998</v>
      </c>
      <c r="BZ52" s="13">
        <f>BY52*VLOOKUP('Données projet'!$B$12,Paramètres!$A$1:$I$89,3,0)*VLOOKUP('Données projet'!$B$12,Paramètres!$A$1:$I$89,5,0)</f>
        <v>253.31904</v>
      </c>
      <c r="CA52" s="13">
        <f t="shared" si="39"/>
        <v>61.296116853123188</v>
      </c>
      <c r="CB52" s="20">
        <f t="shared" si="10"/>
        <v>547.95473151918964</v>
      </c>
      <c r="CC52" s="59">
        <f t="shared" si="11"/>
        <v>841.28806485252289</v>
      </c>
      <c r="CD52" s="59">
        <f ca="1">AVERAGE(OFFSET($CC$3,0,0,'Données projet'!$E$12+1,1))-AVERAGE(OFFSET($H$3,0,0,'Données projet'!$E$12+1,1))</f>
        <v>314.94704727988847</v>
      </c>
      <c r="CE52" s="59">
        <f t="shared" si="40"/>
        <v>366.49199094166454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2.6876997885611962</v>
      </c>
      <c r="CL52" s="21">
        <f>EXP(-LN(2)/25)*CL51+(1-EXP(-LN(2)/25))/(LN(2)/25)*Calculateur!CG52*Calculateur!CI52*VLOOKUP('Données projet'!$B$12,Paramètres!$A$1:$I$89,3,0)*0.475*44/12</f>
        <v>15.002677020659764</v>
      </c>
      <c r="CM52" s="21">
        <f>EXP(-LN(2)/2)*CM51+(1-EXP(-LN(2)/2))/(LN(2)/2)*CG52*CJ52*VLOOKUP('Données projet'!$B$12,Paramètres!$A$1:$I$89,3,0)*0.475*44/12</f>
        <v>3.9870376863145873E-2</v>
      </c>
      <c r="CN52" s="22">
        <f t="shared" si="12"/>
        <v>17.730247186084107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11.2</v>
      </c>
      <c r="CT52" s="12">
        <f>IF('Données projet'!$A$140&gt;35,CT51+CS52-DB51,IF(A52&lt;'Données projet'!$A$140,$CQ$205^A52,IF(A52='Données projet'!$A$140,'Données projet'!$B$140,CT51+CS52-DB51)))</f>
        <v>247.7999999999999</v>
      </c>
      <c r="CU52" s="17">
        <f>CT52*VLOOKUP('Données projet'!$B$13,Paramètres!$A$1:$I$89,3,0)*VLOOKUP('Données projet'!$B$13,Paramètres!$A$1:$I$89,5,0)</f>
        <v>193.28399999999993</v>
      </c>
      <c r="CV52" s="13">
        <f t="shared" si="41"/>
        <v>48.265272920233983</v>
      </c>
      <c r="CW52" s="20">
        <f t="shared" si="13"/>
        <v>420.69831700274079</v>
      </c>
      <c r="CX52" s="59">
        <f t="shared" si="14"/>
        <v>714.03165033607411</v>
      </c>
      <c r="CY52" s="59">
        <f ca="1">AVERAGE(OFFSET($CX$3,0,0,'Données projet'!$E$13+1,1))-AVERAGE(OFFSET($H$3,0,0,'Données projet'!$E$13+1,1))</f>
        <v>261.59434871103355</v>
      </c>
      <c r="CZ52" s="59">
        <f t="shared" si="42"/>
        <v>194.97518096665976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1.4252200136654509</v>
      </c>
      <c r="DG52" s="21">
        <f>EXP(-LN(2)/25)*DG51+(1-EXP(-LN(2)/25))/(LN(2)/25)*Calculateur!DB52*Calculateur!DD52*VLOOKUP('Données projet'!$B$13,Paramètres!$A$1:$I$89,3,0)*0.475*44/12</f>
        <v>6.9004137505014471</v>
      </c>
      <c r="DH52" s="21">
        <f>EXP(-LN(2)/2)*DH51+(1-EXP(-LN(2)/2))/(LN(2)/2)*DB52*DE52*VLOOKUP('Données projet'!$B$13,Paramètres!$A$1:$I$89,3,0)*0.475*44/12</f>
        <v>2.5883218378650309E-2</v>
      </c>
      <c r="DI52" s="22">
        <f t="shared" si="15"/>
        <v>8.3515169825455491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199</v>
      </c>
      <c r="L53" s="12">
        <f>VLOOKUP(A53,'Données projet'!$A$35:$I$55,9,0)</f>
        <v>8.3000000000000007</v>
      </c>
      <c r="M53" s="12">
        <f t="array" ref="M53">INDEX(L:L,MIN(IF(ISNUMBER(L53:L249),ROW(L53:L249),"")))</f>
        <v>8.3000000000000007</v>
      </c>
      <c r="N53" s="13">
        <f>IF('Données projet'!$A$36&gt;35,N52+M53-V52,IF(A53&lt;'Données projet'!$A$36,$K$205^A53,IF(A53='Données projet'!$A$36,'Données projet'!$B$36,N52+M53-V52)))</f>
        <v>199.00000000000006</v>
      </c>
      <c r="O53" s="13">
        <f>N53*VLOOKUP('Données projet'!$B$9,Paramètres!$A$1:$I$89,3,0)*VLOOKUP('Données projet'!$B$9,Paramètres!$A$1:$I$89,5,0)</f>
        <v>180.05520000000004</v>
      </c>
      <c r="P53" s="13">
        <f t="shared" si="33"/>
        <v>45.334466930398399</v>
      </c>
      <c r="Q53" s="20">
        <f t="shared" si="53"/>
        <v>392.55366990377729</v>
      </c>
      <c r="R53" s="59">
        <f t="shared" si="0"/>
        <v>685.88700323711055</v>
      </c>
      <c r="S53" s="59">
        <f ca="1">AVERAGE(OFFSET($R$3,0,0,'Données projet'!$E$9+1,1))-AVERAGE(OFFSET($H$3,0,0,'Données projet'!$E$9+1,1))</f>
        <v>237.22177246688199</v>
      </c>
      <c r="T53" s="59">
        <f t="shared" si="34"/>
        <v>149.27472147904302</v>
      </c>
      <c r="U53" s="15">
        <f>IF(ISNA(VLOOKUP(A53,'Données projet'!$A$35:$I$55,3,0)),0,VLOOKUP(A53,'Données projet'!$A$35:$I$55,3,0))</f>
        <v>3</v>
      </c>
      <c r="V53" s="15">
        <f>IF(ISNA(VLOOKUP(A53,'Données projet'!$A$35:$I$55,4,0)),0,VLOOKUP(A53,'Données projet'!$A$35:$I$55,4,0))</f>
        <v>42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1.7838930347308279</v>
      </c>
      <c r="AB53" s="21">
        <f>EXP(-LN(2)/2)*AB52+(1-EXP(-LN(2)/2))/(LN(2)/2)*V53*Y53*VLOOKUP('Données projet'!$B$9,Paramètres!$A$1:$I$89,3,0)*0.475*44/12</f>
        <v>6.044285014090261E-3</v>
      </c>
      <c r="AC53" s="22">
        <f t="shared" si="3"/>
        <v>1.7899373197449182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268</v>
      </c>
      <c r="AG53" s="12">
        <f>VLOOKUP(A53,'Données projet'!$A$61:$I$81,9,0)</f>
        <v>9.4</v>
      </c>
      <c r="AH53" s="12">
        <f t="array" ref="AH53">INDEX(AG:AG,MIN(IF(ISNUMBER(AG53:AG249),ROW(AG53:AG249),"")))</f>
        <v>9.4</v>
      </c>
      <c r="AI53" s="13">
        <f>IF('Données projet'!$A$62&gt;35,AI52+AH53-AQ52,IF(A53&lt;'Données projet'!$A$62,$AF$205^A53,IF(A53='Données projet'!$A$62,'Données projet'!$B$62,AI52+AH53-AQ52)))</f>
        <v>268.00000000000006</v>
      </c>
      <c r="AJ53" s="13">
        <f>AI53*VLOOKUP('Données projet'!$B$10,Paramètres!$A$1:$I$89,3,0)*VLOOKUP('Données projet'!$B$10,Paramètres!$A$1:$I$89,5,0)</f>
        <v>234.12480000000008</v>
      </c>
      <c r="AK53" s="13">
        <f t="shared" si="35"/>
        <v>57.173634982132555</v>
      </c>
      <c r="AL53" s="20">
        <f t="shared" si="4"/>
        <v>507.34477426054764</v>
      </c>
      <c r="AM53" s="59">
        <f t="shared" si="5"/>
        <v>800.6781075938809</v>
      </c>
      <c r="AN53" s="59">
        <f ca="1">AVERAGE(OFFSET($AM$3,0,0,'Données projet'!$E$10+1,1))-AVERAGE(OFFSET($H$3,0,0,'Données projet'!$E$10+1,1))</f>
        <v>243.38048563215585</v>
      </c>
      <c r="AO53" s="59">
        <f t="shared" si="36"/>
        <v>372.1604147006675</v>
      </c>
      <c r="AP53" s="15">
        <f>IF(ISNA(VLOOKUP(A53,'Données projet'!$A$61:$I$81,3,0)),0,VLOOKUP(A53,'Données projet'!$A$61:$I$81,3,0))</f>
        <v>5</v>
      </c>
      <c r="AQ53" s="15">
        <f>IF(ISNA(VLOOKUP(A53,'Données projet'!$A$61:$I$81,4,0)),0,VLOOKUP(A53,'Données projet'!$A$61:$I$81,4,0))</f>
        <v>69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4.91839856110537</v>
      </c>
      <c r="AV53" s="21">
        <f>EXP(-LN(2)/25)*AV52+(1-EXP(-LN(2)/25))/(LN(2)/25)*Calculateur!AQ53*Calculateur!AS53*VLOOKUP('Données projet'!$B$10,Paramètres!$A$1:$I$89,3,0)*0.475*44/12</f>
        <v>11.120794903104253</v>
      </c>
      <c r="AW53" s="21">
        <f>EXP(-LN(2)/2)*AW52+(1-EXP(-LN(2)/2))/(LN(2)/2)*AQ53*AT53*VLOOKUP('Données projet'!$B$10,Paramètres!$A$1:$I$89,3,0)*0.475*44/12</f>
        <v>2.8627870325353674E-2</v>
      </c>
      <c r="AX53" s="21">
        <f t="shared" si="6"/>
        <v>16.06782133453498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509</v>
      </c>
      <c r="BB53" s="12">
        <f>VLOOKUP(A53,'Données projet'!$A$87:$I$107,9,0)</f>
        <v>19.2</v>
      </c>
      <c r="BC53" s="12">
        <f t="array" ref="BC53">INDEX(BB:BB,MIN(IF(ISNUMBER(BB53:BB249),ROW(BB53:BB249),"")))</f>
        <v>19.2</v>
      </c>
      <c r="BD53" s="12">
        <f>IF('Données projet'!$A$88&gt;35,BD52+BC53-BL52,IF(A53&lt;'Données projet'!$A$88,$BA$205^A53,IF(A53='Données projet'!$A$88,'Données projet'!$B$88,BD52+BC53-BL52)))</f>
        <v>508.99999999999977</v>
      </c>
      <c r="BE53" s="13">
        <f>BD53*VLOOKUP('Données projet'!$B$11,Paramètres!$A$1:$I$89,3,0)*VLOOKUP('Données projet'!$B$11,Paramètres!$A$1:$I$89,5,0)</f>
        <v>284.53099999999989</v>
      </c>
      <c r="BF53" s="13">
        <f t="shared" si="37"/>
        <v>67.92364301353318</v>
      </c>
      <c r="BG53" s="20">
        <f t="shared" si="7"/>
        <v>613.85850324857017</v>
      </c>
      <c r="BH53" s="59">
        <f t="shared" si="8"/>
        <v>907.19183658190354</v>
      </c>
      <c r="BI53" s="59">
        <f ca="1">AVERAGE(OFFSET($BH$3,0,0,'Données projet'!$E$11+1,1))-AVERAGE(OFFSET($H$3,0,0,'Données projet'!$E$11+1,1))</f>
        <v>326.31232746914907</v>
      </c>
      <c r="BJ53" s="59">
        <f t="shared" si="38"/>
        <v>330.17137761430297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108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3.0739991006908571</v>
      </c>
      <c r="BQ53" s="21">
        <f>EXP(-LN(2)/25)*BQ52+(1-EXP(-LN(2)/25))/(LN(2)/25)*Calculateur!BL53*Calculateur!BN53*VLOOKUP('Données projet'!$B$11,Paramètres!$A$1:$I$89,3,0)*0.475*44/12</f>
        <v>17.329808020738803</v>
      </c>
      <c r="BR53" s="21">
        <f>EXP(-LN(2)/2)*BR52+(1-EXP(-LN(2)/2))/(LN(2)/2)*BL53*BO53*VLOOKUP('Données projet'!$B$11,Paramètres!$A$1:$I$89,3,0)*0.475*44/12</f>
        <v>3.1759851924253166E-2</v>
      </c>
      <c r="BS53" s="22">
        <f t="shared" si="9"/>
        <v>20.435566973353911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329</v>
      </c>
      <c r="BW53" s="12">
        <f>VLOOKUP(A53,'Données projet'!$A$113:$I$133,9,0)</f>
        <v>10.6</v>
      </c>
      <c r="BX53" s="12">
        <f t="array" ref="BX53">INDEX(BW:BW,MIN(IF(ISNUMBER(BW53:BW249),ROW(BW53:BW249),"")))</f>
        <v>10.6</v>
      </c>
      <c r="BY53" s="12">
        <f>IF('Données projet'!$A$114&gt;35,BY52+BX53-CG52,IF(A53&lt;'Données projet'!$A$114,$BV$205^A53,IF(A53='Données projet'!$A$114,'Données projet'!$B$114,BY52+BX53-CG52)))</f>
        <v>329</v>
      </c>
      <c r="BZ53" s="13">
        <f>BY53*VLOOKUP('Données projet'!$B$12,Paramètres!$A$1:$I$89,3,0)*VLOOKUP('Données projet'!$B$12,Paramètres!$A$1:$I$89,5,0)</f>
        <v>261.75240000000002</v>
      </c>
      <c r="CA53" s="13">
        <f t="shared" si="39"/>
        <v>63.095772658161032</v>
      </c>
      <c r="CB53" s="20">
        <f t="shared" si="10"/>
        <v>565.77723404629717</v>
      </c>
      <c r="CC53" s="59">
        <f t="shared" si="11"/>
        <v>859.11056737963054</v>
      </c>
      <c r="CD53" s="59">
        <f ca="1">AVERAGE(OFFSET($CC$3,0,0,'Données projet'!$E$12+1,1))-AVERAGE(OFFSET($H$3,0,0,'Données projet'!$E$12+1,1))</f>
        <v>314.94704727988847</v>
      </c>
      <c r="CE53" s="59">
        <f t="shared" si="40"/>
        <v>366.49199094166454</v>
      </c>
      <c r="CF53" s="15">
        <f>IF(ISNA(VLOOKUP(A53,'Données projet'!$A$113:$I$133,3,0)),0,VLOOKUP(A53,'Données projet'!$A$113:$I$133,3,0))</f>
        <v>5</v>
      </c>
      <c r="CG53" s="15">
        <f>IF(ISNA(VLOOKUP(A53,'Données projet'!$A$113:$I$133,4,0)),0,VLOOKUP(A53,'Données projet'!$A$113:$I$133,4,0))</f>
        <v>47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2.6349956350425114</v>
      </c>
      <c r="CL53" s="21">
        <f>EXP(-LN(2)/25)*CL52+(1-EXP(-LN(2)/25))/(LN(2)/25)*Calculateur!CG53*Calculateur!CI53*VLOOKUP('Données projet'!$B$12,Paramètres!$A$1:$I$89,3,0)*0.475*44/12</f>
        <v>14.592428028573327</v>
      </c>
      <c r="CM53" s="21">
        <f>EXP(-LN(2)/2)*CM52+(1-EXP(-LN(2)/2))/(LN(2)/2)*CG53*CJ53*VLOOKUP('Données projet'!$B$12,Paramètres!$A$1:$I$89,3,0)*0.475*44/12</f>
        <v>2.8192613848393677E-2</v>
      </c>
      <c r="CN53" s="22">
        <f t="shared" si="12"/>
        <v>17.255616277464231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259</v>
      </c>
      <c r="CR53" s="12">
        <f>VLOOKUP(A53,'Données projet'!$A$139:$I$159,9,0)</f>
        <v>11.2</v>
      </c>
      <c r="CS53" s="12">
        <f t="array" ref="CS53">INDEX(CR:CR,MIN(IF(ISNUMBER(CR53:CR249),ROW(CR53:CR249),"")))</f>
        <v>11.2</v>
      </c>
      <c r="CT53" s="12">
        <f>IF('Données projet'!$A$140&gt;35,CT52+CS53-DB52,IF(A53&lt;'Données projet'!$A$140,$CQ$205^A53,IF(A53='Données projet'!$A$140,'Données projet'!$B$140,CT52+CS53-DB52)))</f>
        <v>258.99999999999989</v>
      </c>
      <c r="CU53" s="17">
        <f>CT53*VLOOKUP('Données projet'!$B$13,Paramètres!$A$1:$I$89,3,0)*VLOOKUP('Données projet'!$B$13,Paramètres!$A$1:$I$89,5,0)</f>
        <v>202.01999999999992</v>
      </c>
      <c r="CV53" s="13">
        <f t="shared" si="41"/>
        <v>50.187842607873506</v>
      </c>
      <c r="CW53" s="20">
        <f t="shared" si="13"/>
        <v>439.26199254204624</v>
      </c>
      <c r="CX53" s="59">
        <f t="shared" si="14"/>
        <v>732.59532587537956</v>
      </c>
      <c r="CY53" s="59">
        <f ca="1">AVERAGE(OFFSET($CX$3,0,0,'Données projet'!$E$13+1,1))-AVERAGE(OFFSET($H$3,0,0,'Données projet'!$E$13+1,1))</f>
        <v>261.59434871103355</v>
      </c>
      <c r="CZ53" s="59">
        <f t="shared" si="42"/>
        <v>194.97518096665976</v>
      </c>
      <c r="DA53" s="15">
        <f>IF(ISNA(VLOOKUP(A53,'Données projet'!$A$139:$I$159,3,0)),0,VLOOKUP(A53,'Données projet'!$A$139:$I$159,3,0))</f>
        <v>4</v>
      </c>
      <c r="DB53" s="15">
        <f>IF(ISNA(VLOOKUP(A53,'Données projet'!$A$139:$I$159,4,0)),0,VLOOKUP(A53,'Données projet'!$A$139:$I$159,4,0))</f>
        <v>56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1.3972723184958438</v>
      </c>
      <c r="DG53" s="21">
        <f>EXP(-LN(2)/25)*DG52+(1-EXP(-LN(2)/25))/(LN(2)/25)*Calculateur!DB53*Calculateur!DD53*VLOOKUP('Données projet'!$B$13,Paramètres!$A$1:$I$89,3,0)*0.475*44/12</f>
        <v>6.7117215736169973</v>
      </c>
      <c r="DH53" s="21">
        <f>EXP(-LN(2)/2)*DH52+(1-EXP(-LN(2)/2))/(LN(2)/2)*DB53*DE53*VLOOKUP('Données projet'!$B$13,Paramètres!$A$1:$I$89,3,0)*0.475*44/12</f>
        <v>1.8302199234475909E-2</v>
      </c>
      <c r="DI53" s="22">
        <f t="shared" si="15"/>
        <v>8.1272960913473167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7.8</v>
      </c>
      <c r="N54" s="13">
        <f>IF('Données projet'!$A$36&gt;35,N53+M54-V53,IF(A54&lt;'Données projet'!$A$36,$K$205^A54,IF(A54='Données projet'!$A$36,'Données projet'!$B$36,N53+M54-V53)))</f>
        <v>164.80000000000007</v>
      </c>
      <c r="O54" s="13">
        <f>N54*VLOOKUP('Données projet'!$B$9,Paramètres!$A$1:$I$89,3,0)*VLOOKUP('Données projet'!$B$9,Paramètres!$A$1:$I$89,5,0)</f>
        <v>149.11104000000006</v>
      </c>
      <c r="P54" s="13">
        <f t="shared" si="33"/>
        <v>38.376496436982386</v>
      </c>
      <c r="Q54" s="20">
        <f t="shared" si="53"/>
        <v>326.54079262774445</v>
      </c>
      <c r="R54" s="59">
        <f t="shared" si="0"/>
        <v>619.87412596107777</v>
      </c>
      <c r="S54" s="59">
        <f ca="1">AVERAGE(OFFSET($R$3,0,0,'Données projet'!$E$9+1,1))-AVERAGE(OFFSET($H$3,0,0,'Données projet'!$E$9+1,1))</f>
        <v>237.22177246688199</v>
      </c>
      <c r="T54" s="59">
        <f t="shared" si="34"/>
        <v>149.27472147904302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1.735112385885256</v>
      </c>
      <c r="AB54" s="21">
        <f>EXP(-LN(2)/2)*AB53+(1-EXP(-LN(2)/2))/(LN(2)/2)*V54*Y54*VLOOKUP('Données projet'!$B$9,Paramètres!$A$1:$I$89,3,0)*0.475*44/12</f>
        <v>4.2739549208874504E-3</v>
      </c>
      <c r="AC54" s="22">
        <f t="shared" si="3"/>
        <v>1.7393863408061434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7.2</v>
      </c>
      <c r="AI54" s="13">
        <f>IF('Données projet'!$A$62&gt;35,AI53+AH54-AQ53,IF(A54&lt;'Données projet'!$A$62,$AF$205^A54,IF(A54='Données projet'!$A$62,'Données projet'!$B$62,AI53+AH54-AQ53)))</f>
        <v>206.20000000000005</v>
      </c>
      <c r="AJ54" s="13">
        <f>AI54*VLOOKUP('Données projet'!$B$10,Paramètres!$A$1:$I$89,3,0)*VLOOKUP('Données projet'!$B$10,Paramètres!$A$1:$I$89,5,0)</f>
        <v>180.13632000000007</v>
      </c>
      <c r="AK54" s="13">
        <f t="shared" si="35"/>
        <v>45.352513518602144</v>
      </c>
      <c r="AL54" s="20">
        <f t="shared" si="4"/>
        <v>392.72638504489879</v>
      </c>
      <c r="AM54" s="59">
        <f t="shared" si="5"/>
        <v>686.05971837823211</v>
      </c>
      <c r="AN54" s="59">
        <f ca="1">AVERAGE(OFFSET($AM$3,0,0,'Données projet'!$E$10+1,1))-AVERAGE(OFFSET($H$3,0,0,'Données projet'!$E$10+1,1))</f>
        <v>243.38048563215585</v>
      </c>
      <c r="AO54" s="59">
        <f t="shared" si="36"/>
        <v>372.1604147006675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4.8219517652489978</v>
      </c>
      <c r="AV54" s="21">
        <f>EXP(-LN(2)/25)*AV53+(1-EXP(-LN(2)/25))/(LN(2)/25)*Calculateur!AQ54*Calculateur!AS54*VLOOKUP('Données projet'!$B$10,Paramètres!$A$1:$I$89,3,0)*0.475*44/12</f>
        <v>10.81669618166168</v>
      </c>
      <c r="AW54" s="21">
        <f>EXP(-LN(2)/2)*AW53+(1-EXP(-LN(2)/2))/(LN(2)/2)*AQ54*AT54*VLOOKUP('Données projet'!$B$10,Paramètres!$A$1:$I$89,3,0)*0.475*44/12</f>
        <v>2.0242961237986717E-2</v>
      </c>
      <c r="AX54" s="21">
        <f t="shared" si="6"/>
        <v>15.658890908148663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16.2</v>
      </c>
      <c r="BD54" s="12">
        <f>IF('Données projet'!$A$88&gt;35,BD53+BC54-BL53,IF(A54&lt;'Données projet'!$A$88,$BA$205^A54,IF(A54='Données projet'!$A$88,'Données projet'!$B$88,BD53+BC54-BL53)))</f>
        <v>417.19999999999982</v>
      </c>
      <c r="BE54" s="13">
        <f>BD54*VLOOKUP('Données projet'!$B$11,Paramètres!$A$1:$I$89,3,0)*VLOOKUP('Données projet'!$B$11,Paramètres!$A$1:$I$89,5,0)</f>
        <v>233.21479999999991</v>
      </c>
      <c r="BF54" s="13">
        <f t="shared" si="37"/>
        <v>56.977233907865298</v>
      </c>
      <c r="BG54" s="20">
        <f t="shared" si="7"/>
        <v>505.41779238953194</v>
      </c>
      <c r="BH54" s="59">
        <f t="shared" si="8"/>
        <v>798.75112572286525</v>
      </c>
      <c r="BI54" s="59">
        <f ca="1">AVERAGE(OFFSET($BH$3,0,0,'Données projet'!$E$11+1,1))-AVERAGE(OFFSET($H$3,0,0,'Données projet'!$E$11+1,1))</f>
        <v>326.31232746914907</v>
      </c>
      <c r="BJ54" s="59">
        <f t="shared" si="38"/>
        <v>330.17137761430297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3.0137198532806244</v>
      </c>
      <c r="BQ54" s="21">
        <f>EXP(-LN(2)/25)*BQ53+(1-EXP(-LN(2)/25))/(LN(2)/25)*Calculateur!BL54*Calculateur!BN54*VLOOKUP('Données projet'!$B$11,Paramètres!$A$1:$I$89,3,0)*0.475*44/12</f>
        <v>16.855923509076703</v>
      </c>
      <c r="BR54" s="21">
        <f>EXP(-LN(2)/2)*BR53+(1-EXP(-LN(2)/2))/(LN(2)/2)*BL54*BO54*VLOOKUP('Données projet'!$B$11,Paramètres!$A$1:$I$89,3,0)*0.475*44/12</f>
        <v>2.2457606665120033E-2</v>
      </c>
      <c r="BS54" s="22">
        <f t="shared" si="9"/>
        <v>19.892100969022447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7.9</v>
      </c>
      <c r="BY54" s="12">
        <f>IF('Données projet'!$A$114&gt;35,BY53+BX54-CG53,IF(A54&lt;'Données projet'!$A$114,$BV$205^A54,IF(A54='Données projet'!$A$114,'Données projet'!$B$114,BY53+BX54-CG53)))</f>
        <v>289.89999999999998</v>
      </c>
      <c r="BZ54" s="13">
        <f>BY54*VLOOKUP('Données projet'!$B$12,Paramètres!$A$1:$I$89,3,0)*VLOOKUP('Données projet'!$B$12,Paramètres!$A$1:$I$89,5,0)</f>
        <v>230.64444</v>
      </c>
      <c r="CA54" s="13">
        <f t="shared" si="39"/>
        <v>56.422001826959672</v>
      </c>
      <c r="CB54" s="20">
        <f t="shared" si="10"/>
        <v>499.97405284862151</v>
      </c>
      <c r="CC54" s="59">
        <f t="shared" si="11"/>
        <v>793.30738618195483</v>
      </c>
      <c r="CD54" s="59">
        <f ca="1">AVERAGE(OFFSET($CC$3,0,0,'Données projet'!$E$12+1,1))-AVERAGE(OFFSET($H$3,0,0,'Données projet'!$E$12+1,1))</f>
        <v>314.94704727988847</v>
      </c>
      <c r="CE54" s="59">
        <f t="shared" si="40"/>
        <v>366.49199094166454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2.5833249778279685</v>
      </c>
      <c r="CL54" s="21">
        <f>EXP(-LN(2)/25)*CL53+(1-EXP(-LN(2)/25))/(LN(2)/25)*Calculateur!CG54*Calculateur!CI54*VLOOKUP('Données projet'!$B$12,Paramètres!$A$1:$I$89,3,0)*0.475*44/12</f>
        <v>14.19339731674955</v>
      </c>
      <c r="CM54" s="21">
        <f>EXP(-LN(2)/2)*CM53+(1-EXP(-LN(2)/2))/(LN(2)/2)*CG54*CJ54*VLOOKUP('Données projet'!$B$12,Paramètres!$A$1:$I$89,3,0)*0.475*44/12</f>
        <v>1.9935188431572937E-2</v>
      </c>
      <c r="CN54" s="22">
        <f t="shared" si="12"/>
        <v>16.796657483009092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9.8000000000000007</v>
      </c>
      <c r="CT54" s="12">
        <f>IF('Données projet'!$A$140&gt;35,CT53+CS54-DB53,IF(A54&lt;'Données projet'!$A$140,$CQ$205^A54,IF(A54='Données projet'!$A$140,'Données projet'!$B$140,CT53+CS54-DB53)))</f>
        <v>212.7999999999999</v>
      </c>
      <c r="CU54" s="17">
        <f>CT54*VLOOKUP('Données projet'!$B$13,Paramètres!$A$1:$I$89,3,0)*VLOOKUP('Données projet'!$B$13,Paramètres!$A$1:$I$89,5,0)</f>
        <v>165.98399999999992</v>
      </c>
      <c r="CV54" s="13">
        <f t="shared" si="41"/>
        <v>42.189325525922243</v>
      </c>
      <c r="CW54" s="20">
        <f t="shared" si="13"/>
        <v>362.56854195764777</v>
      </c>
      <c r="CX54" s="59">
        <f t="shared" si="14"/>
        <v>655.90187529098102</v>
      </c>
      <c r="CY54" s="59">
        <f ca="1">AVERAGE(OFFSET($CX$3,0,0,'Données projet'!$E$13+1,1))-AVERAGE(OFFSET($H$3,0,0,'Données projet'!$E$13+1,1))</f>
        <v>261.59434871103355</v>
      </c>
      <c r="CZ54" s="59">
        <f t="shared" si="42"/>
        <v>194.97518096665976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1.3698726605821017</v>
      </c>
      <c r="DG54" s="21">
        <f>EXP(-LN(2)/25)*DG53+(1-EXP(-LN(2)/25))/(LN(2)/25)*Calculateur!DB54*Calculateur!DD54*VLOOKUP('Données projet'!$B$13,Paramètres!$A$1:$I$89,3,0)*0.475*44/12</f>
        <v>6.5281891942323425</v>
      </c>
      <c r="DH54" s="21">
        <f>EXP(-LN(2)/2)*DH53+(1-EXP(-LN(2)/2))/(LN(2)/2)*DB54*DE54*VLOOKUP('Données projet'!$B$13,Paramètres!$A$1:$I$89,3,0)*0.475*44/12</f>
        <v>1.2941609189325154E-2</v>
      </c>
      <c r="DI54" s="22">
        <f t="shared" si="15"/>
        <v>7.9110034640037696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7.8</v>
      </c>
      <c r="N55" s="13">
        <f>IF('Données projet'!$A$36&gt;35,N54+M55-V54,IF(A55&lt;'Données projet'!$A$36,$K$205^A55,IF(A55='Données projet'!$A$36,'Données projet'!$B$36,N54+M55-V54)))</f>
        <v>172.60000000000008</v>
      </c>
      <c r="O55" s="13">
        <f>N55*VLOOKUP('Données projet'!$B$9,Paramètres!$A$1:$I$89,3,0)*VLOOKUP('Données projet'!$B$9,Paramètres!$A$1:$I$89,5,0)</f>
        <v>156.16848000000005</v>
      </c>
      <c r="P55" s="13">
        <f t="shared" si="33"/>
        <v>39.977090041212335</v>
      </c>
      <c r="Q55" s="20">
        <f t="shared" si="53"/>
        <v>341.62020115511154</v>
      </c>
      <c r="R55" s="59">
        <f t="shared" si="0"/>
        <v>634.9535344884448</v>
      </c>
      <c r="S55" s="59">
        <f ca="1">AVERAGE(OFFSET($R$3,0,0,'Données projet'!$E$9+1,1))-AVERAGE(OFFSET($H$3,0,0,'Données projet'!$E$9+1,1))</f>
        <v>237.22177246688199</v>
      </c>
      <c r="T55" s="59">
        <f t="shared" si="34"/>
        <v>149.27472147904302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1.687665646447629</v>
      </c>
      <c r="AB55" s="21">
        <f>EXP(-LN(2)/2)*AB54+(1-EXP(-LN(2)/2))/(LN(2)/2)*V55*Y55*VLOOKUP('Données projet'!$B$9,Paramètres!$A$1:$I$89,3,0)*0.475*44/12</f>
        <v>3.0221425070451305E-3</v>
      </c>
      <c r="AC55" s="22">
        <f t="shared" si="3"/>
        <v>1.6906877889546741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7.2</v>
      </c>
      <c r="AI55" s="13">
        <f>IF('Données projet'!$A$62&gt;35,AI54+AH55-AQ54,IF(A55&lt;'Données projet'!$A$62,$AF$205^A55,IF(A55='Données projet'!$A$62,'Données projet'!$B$62,AI54+AH55-AQ54)))</f>
        <v>213.40000000000003</v>
      </c>
      <c r="AJ55" s="13">
        <f>AI55*VLOOKUP('Données projet'!$B$10,Paramètres!$A$1:$I$89,3,0)*VLOOKUP('Données projet'!$B$10,Paramètres!$A$1:$I$89,5,0)</f>
        <v>186.42624000000006</v>
      </c>
      <c r="AK55" s="13">
        <f t="shared" si="35"/>
        <v>46.748974211060826</v>
      </c>
      <c r="AL55" s="20">
        <f t="shared" si="4"/>
        <v>406.11349808426439</v>
      </c>
      <c r="AM55" s="59">
        <f t="shared" si="5"/>
        <v>699.44683141759765</v>
      </c>
      <c r="AN55" s="59">
        <f ca="1">AVERAGE(OFFSET($AM$3,0,0,'Données projet'!$E$10+1,1))-AVERAGE(OFFSET($H$3,0,0,'Données projet'!$E$10+1,1))</f>
        <v>243.38048563215585</v>
      </c>
      <c r="AO55" s="59">
        <f t="shared" si="36"/>
        <v>372.1604147006675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4.7273962322326319</v>
      </c>
      <c r="AV55" s="21">
        <f>EXP(-LN(2)/25)*AV54+(1-EXP(-LN(2)/25))/(LN(2)/25)*Calculateur!AQ55*Calculateur!AS55*VLOOKUP('Données projet'!$B$10,Paramètres!$A$1:$I$89,3,0)*0.475*44/12</f>
        <v>10.52091305574881</v>
      </c>
      <c r="AW55" s="21">
        <f>EXP(-LN(2)/2)*AW54+(1-EXP(-LN(2)/2))/(LN(2)/2)*AQ55*AT55*VLOOKUP('Données projet'!$B$10,Paramètres!$A$1:$I$89,3,0)*0.475*44/12</f>
        <v>1.4313935162676837E-2</v>
      </c>
      <c r="AX55" s="21">
        <f t="shared" si="6"/>
        <v>15.26262322314412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16.2</v>
      </c>
      <c r="BD55" s="12">
        <f>IF('Données projet'!$A$88&gt;35,BD54+BC55-BL54,IF(A55&lt;'Données projet'!$A$88,$BA$205^A55,IF(A55='Données projet'!$A$88,'Données projet'!$B$88,BD54+BC55-BL54)))</f>
        <v>433.39999999999981</v>
      </c>
      <c r="BE55" s="13">
        <f>BD55*VLOOKUP('Données projet'!$B$11,Paramètres!$A$1:$I$89,3,0)*VLOOKUP('Données projet'!$B$11,Paramètres!$A$1:$I$89,5,0)</f>
        <v>242.27059999999989</v>
      </c>
      <c r="BF55" s="13">
        <f t="shared" si="37"/>
        <v>58.927793080541385</v>
      </c>
      <c r="BG55" s="20">
        <f t="shared" si="7"/>
        <v>524.58720128194273</v>
      </c>
      <c r="BH55" s="59">
        <f t="shared" si="8"/>
        <v>817.92053461527598</v>
      </c>
      <c r="BI55" s="59">
        <f ca="1">AVERAGE(OFFSET($BH$3,0,0,'Données projet'!$E$11+1,1))-AVERAGE(OFFSET($H$3,0,0,'Données projet'!$E$11+1,1))</f>
        <v>326.31232746914907</v>
      </c>
      <c r="BJ55" s="59">
        <f t="shared" si="38"/>
        <v>330.17137761430297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2.9546226451453959</v>
      </c>
      <c r="BQ55" s="21">
        <f>EXP(-LN(2)/25)*BQ54+(1-EXP(-LN(2)/25))/(LN(2)/25)*Calculateur!BL55*Calculateur!BN55*VLOOKUP('Données projet'!$B$11,Paramètres!$A$1:$I$89,3,0)*0.475*44/12</f>
        <v>16.394997394306507</v>
      </c>
      <c r="BR55" s="21">
        <f>EXP(-LN(2)/2)*BR54+(1-EXP(-LN(2)/2))/(LN(2)/2)*BL55*BO55*VLOOKUP('Données projet'!$B$11,Paramètres!$A$1:$I$89,3,0)*0.475*44/12</f>
        <v>1.5879925962126583E-2</v>
      </c>
      <c r="BS55" s="22">
        <f t="shared" si="9"/>
        <v>19.365499965414031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7.9</v>
      </c>
      <c r="BY55" s="12">
        <f>IF('Données projet'!$A$114&gt;35,BY54+BX55-CG54,IF(A55&lt;'Données projet'!$A$114,$BV$205^A55,IF(A55='Données projet'!$A$114,'Données projet'!$B$114,BY54+BX55-CG54)))</f>
        <v>297.79999999999995</v>
      </c>
      <c r="BZ55" s="13">
        <f>BY55*VLOOKUP('Données projet'!$B$12,Paramètres!$A$1:$I$89,3,0)*VLOOKUP('Données projet'!$B$12,Paramètres!$A$1:$I$89,5,0)</f>
        <v>236.92967999999999</v>
      </c>
      <c r="CA55" s="13">
        <f t="shared" si="39"/>
        <v>57.778441972760355</v>
      </c>
      <c r="CB55" s="20">
        <f t="shared" si="10"/>
        <v>513.28331243589093</v>
      </c>
      <c r="CC55" s="59">
        <f t="shared" si="11"/>
        <v>806.61664576922431</v>
      </c>
      <c r="CD55" s="59">
        <f ca="1">AVERAGE(OFFSET($CC$3,0,0,'Données projet'!$E$12+1,1))-AVERAGE(OFFSET($H$3,0,0,'Données projet'!$E$12+1,1))</f>
        <v>314.94704727988847</v>
      </c>
      <c r="CE55" s="59">
        <f t="shared" si="40"/>
        <v>366.49199094166454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2.5326675506854137</v>
      </c>
      <c r="CL55" s="21">
        <f>EXP(-LN(2)/25)*CL54+(1-EXP(-LN(2)/25))/(LN(2)/25)*Calculateur!CG55*Calculateur!CI55*VLOOKUP('Données projet'!$B$12,Paramètres!$A$1:$I$89,3,0)*0.475*44/12</f>
        <v>13.805278120724708</v>
      </c>
      <c r="CM55" s="21">
        <f>EXP(-LN(2)/2)*CM54+(1-EXP(-LN(2)/2))/(LN(2)/2)*CG55*CJ55*VLOOKUP('Données projet'!$B$12,Paramètres!$A$1:$I$89,3,0)*0.475*44/12</f>
        <v>1.4096306924196838E-2</v>
      </c>
      <c r="CN55" s="22">
        <f t="shared" si="12"/>
        <v>16.35204197833432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9.8000000000000007</v>
      </c>
      <c r="CT55" s="12">
        <f>IF('Données projet'!$A$140&gt;35,CT54+CS55-DB54,IF(A55&lt;'Données projet'!$A$140,$CQ$205^A55,IF(A55='Données projet'!$A$140,'Données projet'!$B$140,CT54+CS55-DB54)))</f>
        <v>222.59999999999991</v>
      </c>
      <c r="CU55" s="17">
        <f>CT55*VLOOKUP('Données projet'!$B$13,Paramètres!$A$1:$I$89,3,0)*VLOOKUP('Données projet'!$B$13,Paramètres!$A$1:$I$89,5,0)</f>
        <v>173.62799999999993</v>
      </c>
      <c r="CV55" s="13">
        <f t="shared" si="41"/>
        <v>43.90157358871442</v>
      </c>
      <c r="CW55" s="20">
        <f t="shared" si="13"/>
        <v>378.86400733367742</v>
      </c>
      <c r="CX55" s="59">
        <f t="shared" si="14"/>
        <v>672.19734066701074</v>
      </c>
      <c r="CY55" s="59">
        <f ca="1">AVERAGE(OFFSET($CX$3,0,0,'Données projet'!$E$13+1,1))-AVERAGE(OFFSET($H$3,0,0,'Données projet'!$E$13+1,1))</f>
        <v>261.59434871103355</v>
      </c>
      <c r="CZ55" s="59">
        <f t="shared" si="42"/>
        <v>194.97518096665976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1.3430102932479069</v>
      </c>
      <c r="DG55" s="21">
        <f>EXP(-LN(2)/25)*DG54+(1-EXP(-LN(2)/25))/(LN(2)/25)*Calculateur!DB55*Calculateur!DD55*VLOOKUP('Données projet'!$B$13,Paramètres!$A$1:$I$89,3,0)*0.475*44/12</f>
        <v>6.3496755174135098</v>
      </c>
      <c r="DH55" s="21">
        <f>EXP(-LN(2)/2)*DH54+(1-EXP(-LN(2)/2))/(LN(2)/2)*DB55*DE55*VLOOKUP('Données projet'!$B$13,Paramètres!$A$1:$I$89,3,0)*0.475*44/12</f>
        <v>9.1510996172379545E-3</v>
      </c>
      <c r="DI55" s="22">
        <f t="shared" si="15"/>
        <v>7.7018369102786544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7.8</v>
      </c>
      <c r="N56" s="13">
        <f>IF('Données projet'!$A$36&gt;35,N55+M56-V55,IF(A56&lt;'Données projet'!$A$36,$K$205^A56,IF(A56='Données projet'!$A$36,'Données projet'!$B$36,N55+M56-V55)))</f>
        <v>180.40000000000009</v>
      </c>
      <c r="O56" s="13">
        <f>N56*VLOOKUP('Données projet'!$B$9,Paramètres!$A$1:$I$89,3,0)*VLOOKUP('Données projet'!$B$9,Paramètres!$A$1:$I$89,5,0)</f>
        <v>163.22592000000009</v>
      </c>
      <c r="P56" s="13">
        <f t="shared" si="33"/>
        <v>41.569283201466128</v>
      </c>
      <c r="Q56" s="20">
        <f t="shared" si="53"/>
        <v>356.68497890922026</v>
      </c>
      <c r="R56" s="59">
        <f t="shared" si="0"/>
        <v>650.01831224255352</v>
      </c>
      <c r="S56" s="59">
        <f ca="1">AVERAGE(OFFSET($R$3,0,0,'Données projet'!$E$9+1,1))-AVERAGE(OFFSET($H$3,0,0,'Données projet'!$E$9+1,1))</f>
        <v>237.22177246688199</v>
      </c>
      <c r="T56" s="59">
        <f t="shared" si="34"/>
        <v>149.27472147904302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1.6415163405950395</v>
      </c>
      <c r="AB56" s="21">
        <f>EXP(-LN(2)/2)*AB55+(1-EXP(-LN(2)/2))/(LN(2)/2)*V56*Y56*VLOOKUP('Données projet'!$B$9,Paramètres!$A$1:$I$89,3,0)*0.475*44/12</f>
        <v>2.1369774604437252E-3</v>
      </c>
      <c r="AC56" s="22">
        <f t="shared" si="3"/>
        <v>1.6436533180554833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7.2</v>
      </c>
      <c r="AI56" s="13">
        <f>IF('Données projet'!$A$62&gt;35,AI55+AH56-AQ55,IF(A56&lt;'Données projet'!$A$62,$AF$205^A56,IF(A56='Données projet'!$A$62,'Données projet'!$B$62,AI55+AH56-AQ55)))</f>
        <v>220.60000000000002</v>
      </c>
      <c r="AJ56" s="13">
        <f>AI56*VLOOKUP('Données projet'!$B$10,Paramètres!$A$1:$I$89,3,0)*VLOOKUP('Données projet'!$B$10,Paramètres!$A$1:$I$89,5,0)</f>
        <v>192.71616000000006</v>
      </c>
      <c r="AK56" s="13">
        <f t="shared" si="35"/>
        <v>48.139960279308241</v>
      </c>
      <c r="AL56" s="20">
        <f t="shared" si="4"/>
        <v>419.49107615312863</v>
      </c>
      <c r="AM56" s="59">
        <f t="shared" si="5"/>
        <v>712.82440948646195</v>
      </c>
      <c r="AN56" s="59">
        <f ca="1">AVERAGE(OFFSET($AM$3,0,0,'Données projet'!$E$10+1,1))-AVERAGE(OFFSET($H$3,0,0,'Données projet'!$E$10+1,1))</f>
        <v>243.38048563215585</v>
      </c>
      <c r="AO56" s="59">
        <f t="shared" si="36"/>
        <v>372.1604147006675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4.6346948755455371</v>
      </c>
      <c r="AV56" s="21">
        <f>EXP(-LN(2)/25)*AV55+(1-EXP(-LN(2)/25))/(LN(2)/25)*Calculateur!AQ56*Calculateur!AS56*VLOOKUP('Données projet'!$B$10,Paramètres!$A$1:$I$89,3,0)*0.475*44/12</f>
        <v>10.233218134968586</v>
      </c>
      <c r="AW56" s="21">
        <f>EXP(-LN(2)/2)*AW55+(1-EXP(-LN(2)/2))/(LN(2)/2)*AQ56*AT56*VLOOKUP('Données projet'!$B$10,Paramètres!$A$1:$I$89,3,0)*0.475*44/12</f>
        <v>1.0121480618993359E-2</v>
      </c>
      <c r="AX56" s="21">
        <f t="shared" si="6"/>
        <v>14.878034491133116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16.2</v>
      </c>
      <c r="BD56" s="12">
        <f>IF('Données projet'!$A$88&gt;35,BD55+BC56-BL55,IF(A56&lt;'Données projet'!$A$88,$BA$205^A56,IF(A56='Données projet'!$A$88,'Données projet'!$B$88,BD55+BC56-BL55)))</f>
        <v>449.5999999999998</v>
      </c>
      <c r="BE56" s="13">
        <f>BD56*VLOOKUP('Données projet'!$B$11,Paramètres!$A$1:$I$89,3,0)*VLOOKUP('Données projet'!$B$11,Paramètres!$A$1:$I$89,5,0)</f>
        <v>251.32639999999989</v>
      </c>
      <c r="BF56" s="13">
        <f t="shared" si="37"/>
        <v>60.869881917806573</v>
      </c>
      <c r="BG56" s="20">
        <f t="shared" si="7"/>
        <v>543.74185767351298</v>
      </c>
      <c r="BH56" s="59">
        <f t="shared" si="8"/>
        <v>837.07519100684635</v>
      </c>
      <c r="BI56" s="59">
        <f ca="1">AVERAGE(OFFSET($BH$3,0,0,'Données projet'!$E$11+1,1))-AVERAGE(OFFSET($H$3,0,0,'Données projet'!$E$11+1,1))</f>
        <v>326.31232746914907</v>
      </c>
      <c r="BJ56" s="59">
        <f t="shared" si="38"/>
        <v>330.17137761430297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2.8966842972159617</v>
      </c>
      <c r="BQ56" s="21">
        <f>EXP(-LN(2)/25)*BQ55+(1-EXP(-LN(2)/25))/(LN(2)/25)*Calculateur!BL56*Calculateur!BN56*VLOOKUP('Données projet'!$B$11,Paramètres!$A$1:$I$89,3,0)*0.475*44/12</f>
        <v>15.946675328383755</v>
      </c>
      <c r="BR56" s="21">
        <f>EXP(-LN(2)/2)*BR55+(1-EXP(-LN(2)/2))/(LN(2)/2)*BL56*BO56*VLOOKUP('Données projet'!$B$11,Paramètres!$A$1:$I$89,3,0)*0.475*44/12</f>
        <v>1.1228803332560017E-2</v>
      </c>
      <c r="BS56" s="22">
        <f t="shared" si="9"/>
        <v>18.854588428932278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7.9</v>
      </c>
      <c r="BY56" s="12">
        <f>IF('Données projet'!$A$114&gt;35,BY55+BX56-CG55,IF(A56&lt;'Données projet'!$A$114,$BV$205^A56,IF(A56='Données projet'!$A$114,'Données projet'!$B$114,BY55+BX56-CG55)))</f>
        <v>305.69999999999993</v>
      </c>
      <c r="BZ56" s="13">
        <f>BY56*VLOOKUP('Données projet'!$B$12,Paramètres!$A$1:$I$89,3,0)*VLOOKUP('Données projet'!$B$12,Paramètres!$A$1:$I$89,5,0)</f>
        <v>243.21491999999995</v>
      </c>
      <c r="CA56" s="13">
        <f t="shared" si="39"/>
        <v>59.130699584367115</v>
      </c>
      <c r="CB56" s="20">
        <f t="shared" si="10"/>
        <v>526.5852874427726</v>
      </c>
      <c r="CC56" s="59">
        <f t="shared" si="11"/>
        <v>819.91862077610585</v>
      </c>
      <c r="CD56" s="59">
        <f ca="1">AVERAGE(OFFSET($CC$3,0,0,'Données projet'!$E$12+1,1))-AVERAGE(OFFSET($H$3,0,0,'Données projet'!$E$12+1,1))</f>
        <v>314.94704727988847</v>
      </c>
      <c r="CE56" s="59">
        <f t="shared" si="40"/>
        <v>366.49199094166454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2.4830034847911446</v>
      </c>
      <c r="CL56" s="21">
        <f>EXP(-LN(2)/25)*CL55+(1-EXP(-LN(2)/25))/(LN(2)/25)*Calculateur!CG56*Calculateur!CI56*VLOOKUP('Données projet'!$B$12,Paramètres!$A$1:$I$89,3,0)*0.475*44/12</f>
        <v>13.427772064525467</v>
      </c>
      <c r="CM56" s="21">
        <f>EXP(-LN(2)/2)*CM55+(1-EXP(-LN(2)/2))/(LN(2)/2)*CG56*CJ56*VLOOKUP('Données projet'!$B$12,Paramètres!$A$1:$I$89,3,0)*0.475*44/12</f>
        <v>9.9675942157864683E-3</v>
      </c>
      <c r="CN56" s="22">
        <f t="shared" si="12"/>
        <v>15.920743143532398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9.8000000000000007</v>
      </c>
      <c r="CT56" s="12">
        <f>IF('Données projet'!$A$140&gt;35,CT55+CS56-DB55,IF(A56&lt;'Données projet'!$A$140,$CQ$205^A56,IF(A56='Données projet'!$A$140,'Données projet'!$B$140,CT55+CS56-DB55)))</f>
        <v>232.39999999999992</v>
      </c>
      <c r="CU56" s="17">
        <f>CT56*VLOOKUP('Données projet'!$B$13,Paramètres!$A$1:$I$89,3,0)*VLOOKUP('Données projet'!$B$13,Paramètres!$A$1:$I$89,5,0)</f>
        <v>181.27199999999993</v>
      </c>
      <c r="CV56" s="13">
        <f t="shared" si="41"/>
        <v>45.605066645465861</v>
      </c>
      <c r="CW56" s="20">
        <f t="shared" si="13"/>
        <v>395.14422440751952</v>
      </c>
      <c r="CX56" s="59">
        <f t="shared" si="14"/>
        <v>688.47755774085283</v>
      </c>
      <c r="CY56" s="59">
        <f ca="1">AVERAGE(OFFSET($CX$3,0,0,'Données projet'!$E$13+1,1))-AVERAGE(OFFSET($H$3,0,0,'Données projet'!$E$13+1,1))</f>
        <v>261.59434871103355</v>
      </c>
      <c r="CZ56" s="59">
        <f t="shared" si="42"/>
        <v>194.97518096665976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1.3166746805527094</v>
      </c>
      <c r="DG56" s="21">
        <f>EXP(-LN(2)/25)*DG55+(1-EXP(-LN(2)/25))/(LN(2)/25)*Calculateur!DB56*Calculateur!DD56*VLOOKUP('Données projet'!$B$13,Paramètres!$A$1:$I$89,3,0)*0.475*44/12</f>
        <v>6.1760433064749138</v>
      </c>
      <c r="DH56" s="21">
        <f>EXP(-LN(2)/2)*DH55+(1-EXP(-LN(2)/2))/(LN(2)/2)*DB56*DE56*VLOOKUP('Données projet'!$B$13,Paramètres!$A$1:$I$89,3,0)*0.475*44/12</f>
        <v>6.4708045946625771E-3</v>
      </c>
      <c r="DI56" s="22">
        <f t="shared" si="15"/>
        <v>7.4991887916222852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7.8</v>
      </c>
      <c r="N57" s="13">
        <f>IF('Données projet'!$A$36&gt;35,N56+M57-V56,IF(A57&lt;'Données projet'!$A$36,$K$205^A57,IF(A57='Données projet'!$A$36,'Données projet'!$B$36,N56+M57-V56)))</f>
        <v>188.2000000000001</v>
      </c>
      <c r="O57" s="13">
        <f>N57*VLOOKUP('Données projet'!$B$9,Paramètres!$A$1:$I$89,3,0)*VLOOKUP('Données projet'!$B$9,Paramètres!$A$1:$I$89,5,0)</f>
        <v>170.28336000000007</v>
      </c>
      <c r="P57" s="13">
        <f t="shared" si="33"/>
        <v>43.153480646462619</v>
      </c>
      <c r="Q57" s="20">
        <f t="shared" si="53"/>
        <v>371.73583079258918</v>
      </c>
      <c r="R57" s="59">
        <f t="shared" si="0"/>
        <v>665.0691641259225</v>
      </c>
      <c r="S57" s="59">
        <f ca="1">AVERAGE(OFFSET($R$3,0,0,'Données projet'!$E$9+1,1))-AVERAGE(OFFSET($H$3,0,0,'Données projet'!$E$9+1,1))</f>
        <v>237.22177246688199</v>
      </c>
      <c r="T57" s="59">
        <f t="shared" si="34"/>
        <v>149.27472147904302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1.5966289899378756</v>
      </c>
      <c r="AB57" s="21">
        <f>EXP(-LN(2)/2)*AB56+(1-EXP(-LN(2)/2))/(LN(2)/2)*V57*Y57*VLOOKUP('Données projet'!$B$9,Paramètres!$A$1:$I$89,3,0)*0.475*44/12</f>
        <v>1.5110712535225653E-3</v>
      </c>
      <c r="AC57" s="22">
        <f t="shared" si="3"/>
        <v>1.5981400611913981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7.2</v>
      </c>
      <c r="AI57" s="13">
        <f>IF('Données projet'!$A$62&gt;35,AI56+AH57-AQ56,IF(A57&lt;'Données projet'!$A$62,$AF$205^A57,IF(A57='Données projet'!$A$62,'Données projet'!$B$62,AI56+AH57-AQ56)))</f>
        <v>227.8</v>
      </c>
      <c r="AJ57" s="13">
        <f>AI57*VLOOKUP('Données projet'!$B$10,Paramètres!$A$1:$I$89,3,0)*VLOOKUP('Données projet'!$B$10,Paramètres!$A$1:$I$89,5,0)</f>
        <v>199.00608000000003</v>
      </c>
      <c r="AK57" s="13">
        <f t="shared" si="35"/>
        <v>49.525670897515027</v>
      </c>
      <c r="AL57" s="20">
        <f t="shared" si="4"/>
        <v>432.85946614650538</v>
      </c>
      <c r="AM57" s="59">
        <f t="shared" si="5"/>
        <v>726.19279947983864</v>
      </c>
      <c r="AN57" s="59">
        <f ca="1">AVERAGE(OFFSET($AM$3,0,0,'Données projet'!$E$10+1,1))-AVERAGE(OFFSET($H$3,0,0,'Données projet'!$E$10+1,1))</f>
        <v>243.38048563215585</v>
      </c>
      <c r="AO57" s="59">
        <f t="shared" si="36"/>
        <v>372.1604147006675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4.5438113359208314</v>
      </c>
      <c r="AV57" s="21">
        <f>EXP(-LN(2)/25)*AV56+(1-EXP(-LN(2)/25))/(LN(2)/25)*Calculateur!AQ57*Calculateur!AS57*VLOOKUP('Données projet'!$B$10,Paramètres!$A$1:$I$89,3,0)*0.475*44/12</f>
        <v>9.9533902469263165</v>
      </c>
      <c r="AW57" s="21">
        <f>EXP(-LN(2)/2)*AW56+(1-EXP(-LN(2)/2))/(LN(2)/2)*AQ57*AT57*VLOOKUP('Données projet'!$B$10,Paramètres!$A$1:$I$89,3,0)*0.475*44/12</f>
        <v>7.1569675813384186E-3</v>
      </c>
      <c r="AX57" s="21">
        <f t="shared" si="6"/>
        <v>14.504358550428485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16.2</v>
      </c>
      <c r="BD57" s="12">
        <f>IF('Données projet'!$A$88&gt;35,BD56+BC57-BL56,IF(A57&lt;'Données projet'!$A$88,$BA$205^A57,IF(A57='Données projet'!$A$88,'Données projet'!$B$88,BD56+BC57-BL56)))</f>
        <v>465.79999999999978</v>
      </c>
      <c r="BE57" s="13">
        <f>BD57*VLOOKUP('Données projet'!$B$11,Paramètres!$A$1:$I$89,3,0)*VLOOKUP('Données projet'!$B$11,Paramètres!$A$1:$I$89,5,0)</f>
        <v>260.3821999999999</v>
      </c>
      <c r="BF57" s="13">
        <f t="shared" si="37"/>
        <v>62.803840584871082</v>
      </c>
      <c r="BG57" s="20">
        <f t="shared" si="7"/>
        <v>562.88235401865029</v>
      </c>
      <c r="BH57" s="59">
        <f t="shared" si="8"/>
        <v>856.21568735198366</v>
      </c>
      <c r="BI57" s="59">
        <f ca="1">AVERAGE(OFFSET($BH$3,0,0,'Données projet'!$E$11+1,1))-AVERAGE(OFFSET($H$3,0,0,'Données projet'!$E$11+1,1))</f>
        <v>326.31232746914907</v>
      </c>
      <c r="BJ57" s="59">
        <f t="shared" si="38"/>
        <v>330.17137761430297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2.8398820849505206</v>
      </c>
      <c r="BQ57" s="21">
        <f>EXP(-LN(2)/25)*BQ56+(1-EXP(-LN(2)/25))/(LN(2)/25)*Calculateur!BL57*Calculateur!BN57*VLOOKUP('Données projet'!$B$11,Paramètres!$A$1:$I$89,3,0)*0.475*44/12</f>
        <v>15.510612652929892</v>
      </c>
      <c r="BR57" s="21">
        <f>EXP(-LN(2)/2)*BR56+(1-EXP(-LN(2)/2))/(LN(2)/2)*BL57*BO57*VLOOKUP('Données projet'!$B$11,Paramètres!$A$1:$I$89,3,0)*0.475*44/12</f>
        <v>7.9399629810632914E-3</v>
      </c>
      <c r="BS57" s="22">
        <f t="shared" si="9"/>
        <v>18.358434700861473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7.9</v>
      </c>
      <c r="BY57" s="12">
        <f>IF('Données projet'!$A$114&gt;35,BY56+BX57-CG56,IF(A57&lt;'Données projet'!$A$114,$BV$205^A57,IF(A57='Données projet'!$A$114,'Données projet'!$B$114,BY56+BX57-CG56)))</f>
        <v>313.59999999999991</v>
      </c>
      <c r="BZ57" s="13">
        <f>BY57*VLOOKUP('Données projet'!$B$12,Paramètres!$A$1:$I$89,3,0)*VLOOKUP('Données projet'!$B$12,Paramètres!$A$1:$I$89,5,0)</f>
        <v>249.50015999999994</v>
      </c>
      <c r="CA57" s="13">
        <f t="shared" si="39"/>
        <v>60.478895175306739</v>
      </c>
      <c r="CB57" s="20">
        <f t="shared" si="10"/>
        <v>539.88018776365902</v>
      </c>
      <c r="CC57" s="59">
        <f t="shared" si="11"/>
        <v>833.21352109699228</v>
      </c>
      <c r="CD57" s="59">
        <f ca="1">AVERAGE(OFFSET($CC$3,0,0,'Données projet'!$E$12+1,1))-AVERAGE(OFFSET($H$3,0,0,'Données projet'!$E$12+1,1))</f>
        <v>314.94704727988847</v>
      </c>
      <c r="CE57" s="59">
        <f t="shared" si="40"/>
        <v>366.49199094166454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2.4343133009369731</v>
      </c>
      <c r="CL57" s="21">
        <f>EXP(-LN(2)/25)*CL56+(1-EXP(-LN(2)/25))/(LN(2)/25)*Calculateur!CG57*Calculateur!CI57*VLOOKUP('Données projet'!$B$12,Paramètres!$A$1:$I$89,3,0)*0.475*44/12</f>
        <v>13.060588931285174</v>
      </c>
      <c r="CM57" s="21">
        <f>EXP(-LN(2)/2)*CM56+(1-EXP(-LN(2)/2))/(LN(2)/2)*CG57*CJ57*VLOOKUP('Données projet'!$B$12,Paramètres!$A$1:$I$89,3,0)*0.475*44/12</f>
        <v>7.0481534620984191E-3</v>
      </c>
      <c r="CN57" s="22">
        <f t="shared" si="12"/>
        <v>15.501950385684246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9.8000000000000007</v>
      </c>
      <c r="CT57" s="12">
        <f>IF('Données projet'!$A$140&gt;35,CT56+CS57-DB56,IF(A57&lt;'Données projet'!$A$140,$CQ$205^A57,IF(A57='Données projet'!$A$140,'Données projet'!$B$140,CT56+CS57-DB56)))</f>
        <v>242.19999999999993</v>
      </c>
      <c r="CU57" s="17">
        <f>CT57*VLOOKUP('Données projet'!$B$13,Paramètres!$A$1:$I$89,3,0)*VLOOKUP('Données projet'!$B$13,Paramètres!$A$1:$I$89,5,0)</f>
        <v>188.91599999999994</v>
      </c>
      <c r="CV57" s="13">
        <f t="shared" si="41"/>
        <v>47.300216095401339</v>
      </c>
      <c r="CW57" s="20">
        <f t="shared" si="13"/>
        <v>411.40990969949053</v>
      </c>
      <c r="CX57" s="59">
        <f t="shared" si="14"/>
        <v>704.74324303282378</v>
      </c>
      <c r="CY57" s="59">
        <f ca="1">AVERAGE(OFFSET($CX$3,0,0,'Données projet'!$E$13+1,1))-AVERAGE(OFFSET($H$3,0,0,'Données projet'!$E$13+1,1))</f>
        <v>261.59434871103355</v>
      </c>
      <c r="CZ57" s="59">
        <f t="shared" si="42"/>
        <v>194.97518096665976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1.2908554931593272</v>
      </c>
      <c r="DG57" s="21">
        <f>EXP(-LN(2)/25)*DG56+(1-EXP(-LN(2)/25))/(LN(2)/25)*Calculateur!DB57*Calculateur!DD57*VLOOKUP('Données projet'!$B$13,Paramètres!$A$1:$I$89,3,0)*0.475*44/12</f>
        <v>6.0071590774753556</v>
      </c>
      <c r="DH57" s="21">
        <f>EXP(-LN(2)/2)*DH56+(1-EXP(-LN(2)/2))/(LN(2)/2)*DB57*DE57*VLOOKUP('Données projet'!$B$13,Paramètres!$A$1:$I$89,3,0)*0.475*44/12</f>
        <v>4.5755498086189773E-3</v>
      </c>
      <c r="DI57" s="22">
        <f t="shared" si="15"/>
        <v>7.3025901204433019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7.8</v>
      </c>
      <c r="N58" s="13">
        <f>IF('Données projet'!$A$36&gt;35,N57+M58-V57,IF(A58&lt;'Données projet'!$A$36,$K$205^A58,IF(A58='Données projet'!$A$36,'Données projet'!$B$36,N57+M58-V57)))</f>
        <v>196.00000000000011</v>
      </c>
      <c r="O58" s="13">
        <f>N58*VLOOKUP('Données projet'!$B$9,Paramètres!$A$1:$I$89,3,0)*VLOOKUP('Données projet'!$B$9,Paramètres!$A$1:$I$89,5,0)</f>
        <v>177.34080000000012</v>
      </c>
      <c r="P58" s="13">
        <f t="shared" si="33"/>
        <v>44.730051658603102</v>
      </c>
      <c r="Q58" s="20">
        <f t="shared" si="53"/>
        <v>386.77339997206718</v>
      </c>
      <c r="R58" s="59">
        <f t="shared" si="0"/>
        <v>680.10673330540044</v>
      </c>
      <c r="S58" s="59">
        <f ca="1">AVERAGE(OFFSET($R$3,0,0,'Données projet'!$E$9+1,1))-AVERAGE(OFFSET($H$3,0,0,'Données projet'!$E$9+1,1))</f>
        <v>237.22177246688199</v>
      </c>
      <c r="T58" s="59">
        <f t="shared" si="34"/>
        <v>149.27472147904302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1.552969086244955</v>
      </c>
      <c r="AB58" s="21">
        <f>EXP(-LN(2)/2)*AB57+(1-EXP(-LN(2)/2))/(LN(2)/2)*V58*Y58*VLOOKUP('Données projet'!$B$9,Paramètres!$A$1:$I$89,3,0)*0.475*44/12</f>
        <v>1.0684887302218626E-3</v>
      </c>
      <c r="AC58" s="22">
        <f t="shared" si="3"/>
        <v>1.5540375749751769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7.2</v>
      </c>
      <c r="AI58" s="13">
        <f>IF('Données projet'!$A$62&gt;35,AI57+AH58-AQ57,IF(A58&lt;'Données projet'!$A$62,$AF$205^A58,IF(A58='Données projet'!$A$62,'Données projet'!$B$62,AI57+AH58-AQ57)))</f>
        <v>235</v>
      </c>
      <c r="AJ58" s="13">
        <f>AI58*VLOOKUP('Données projet'!$B$10,Paramètres!$A$1:$I$89,3,0)*VLOOKUP('Données projet'!$B$10,Paramètres!$A$1:$I$89,5,0)</f>
        <v>205.29600000000005</v>
      </c>
      <c r="AK58" s="13">
        <f t="shared" si="35"/>
        <v>50.906291934375396</v>
      </c>
      <c r="AL58" s="20">
        <f t="shared" si="4"/>
        <v>446.21899178570385</v>
      </c>
      <c r="AM58" s="59">
        <f t="shared" si="5"/>
        <v>739.55232511903716</v>
      </c>
      <c r="AN58" s="59">
        <f ca="1">AVERAGE(OFFSET($AM$3,0,0,'Données projet'!$E$10+1,1))-AVERAGE(OFFSET($H$3,0,0,'Données projet'!$E$10+1,1))</f>
        <v>243.38048563215585</v>
      </c>
      <c r="AO58" s="59">
        <f t="shared" si="36"/>
        <v>372.1604147006675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4.454709967074681</v>
      </c>
      <c r="AV58" s="21">
        <f>EXP(-LN(2)/25)*AV57+(1-EXP(-LN(2)/25))/(LN(2)/25)*Calculateur!AQ58*Calculateur!AS58*VLOOKUP('Données projet'!$B$10,Paramètres!$A$1:$I$89,3,0)*0.475*44/12</f>
        <v>9.6812142671980723</v>
      </c>
      <c r="AW58" s="21">
        <f>EXP(-LN(2)/2)*AW57+(1-EXP(-LN(2)/2))/(LN(2)/2)*AQ58*AT58*VLOOKUP('Données projet'!$B$10,Paramètres!$A$1:$I$89,3,0)*0.475*44/12</f>
        <v>5.0607403094966794E-3</v>
      </c>
      <c r="AX58" s="21">
        <f t="shared" si="6"/>
        <v>14.140984974582251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16.2</v>
      </c>
      <c r="BD58" s="12">
        <f>IF('Données projet'!$A$88&gt;35,BD57+BC58-BL57,IF(A58&lt;'Données projet'!$A$88,$BA$205^A58,IF(A58='Données projet'!$A$88,'Données projet'!$B$88,BD57+BC58-BL57)))</f>
        <v>481.99999999999977</v>
      </c>
      <c r="BE58" s="13">
        <f>BD58*VLOOKUP('Données projet'!$B$11,Paramètres!$A$1:$I$89,3,0)*VLOOKUP('Données projet'!$B$11,Paramètres!$A$1:$I$89,5,0)</f>
        <v>269.43799999999987</v>
      </c>
      <c r="BF58" s="13">
        <f t="shared" si="37"/>
        <v>64.729984244002736</v>
      </c>
      <c r="BG58" s="20">
        <f t="shared" si="7"/>
        <v>582.00923922497111</v>
      </c>
      <c r="BH58" s="59">
        <f t="shared" si="8"/>
        <v>875.34257255830448</v>
      </c>
      <c r="BI58" s="59">
        <f ca="1">AVERAGE(OFFSET($BH$3,0,0,'Données projet'!$E$11+1,1))-AVERAGE(OFFSET($H$3,0,0,'Données projet'!$E$11+1,1))</f>
        <v>326.31232746914907</v>
      </c>
      <c r="BJ58" s="59">
        <f t="shared" si="38"/>
        <v>330.17137761430297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2.7841937294216765</v>
      </c>
      <c r="BQ58" s="21">
        <f>EXP(-LN(2)/25)*BQ57+(1-EXP(-LN(2)/25))/(LN(2)/25)*Calculateur!BL58*Calculateur!BN58*VLOOKUP('Données projet'!$B$11,Paramètres!$A$1:$I$89,3,0)*0.475*44/12</f>
        <v>15.086474134267855</v>
      </c>
      <c r="BR58" s="21">
        <f>EXP(-LN(2)/2)*BR57+(1-EXP(-LN(2)/2))/(LN(2)/2)*BL58*BO58*VLOOKUP('Données projet'!$B$11,Paramètres!$A$1:$I$89,3,0)*0.475*44/12</f>
        <v>5.6144016662800084E-3</v>
      </c>
      <c r="BS58" s="22">
        <f t="shared" si="9"/>
        <v>17.876282265355808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7.9</v>
      </c>
      <c r="BY58" s="12">
        <f>IF('Données projet'!$A$114&gt;35,BY57+BX58-CG57,IF(A58&lt;'Données projet'!$A$114,$BV$205^A58,IF(A58='Données projet'!$A$114,'Données projet'!$B$114,BY57+BX58-CG57)))</f>
        <v>321.49999999999989</v>
      </c>
      <c r="BZ58" s="13">
        <f>BY58*VLOOKUP('Données projet'!$B$12,Paramètres!$A$1:$I$89,3,0)*VLOOKUP('Données projet'!$B$12,Paramètres!$A$1:$I$89,5,0)</f>
        <v>255.78539999999992</v>
      </c>
      <c r="CA58" s="13">
        <f t="shared" si="39"/>
        <v>61.823142841300566</v>
      </c>
      <c r="CB58" s="20">
        <f t="shared" si="10"/>
        <v>553.16821211526496</v>
      </c>
      <c r="CC58" s="59">
        <f t="shared" si="11"/>
        <v>846.50154544859834</v>
      </c>
      <c r="CD58" s="59">
        <f ca="1">AVERAGE(OFFSET($CC$3,0,0,'Données projet'!$E$12+1,1))-AVERAGE(OFFSET($H$3,0,0,'Données projet'!$E$12+1,1))</f>
        <v>314.94704727988847</v>
      </c>
      <c r="CE58" s="59">
        <f t="shared" si="40"/>
        <v>366.49199094166454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2.3865779018901021</v>
      </c>
      <c r="CL58" s="21">
        <f>EXP(-LN(2)/25)*CL57+(1-EXP(-LN(2)/25))/(LN(2)/25)*Calculateur!CG58*Calculateur!CI58*VLOOKUP('Données projet'!$B$12,Paramètres!$A$1:$I$89,3,0)*0.475*44/12</f>
        <v>12.703446440132661</v>
      </c>
      <c r="CM58" s="21">
        <f>EXP(-LN(2)/2)*CM57+(1-EXP(-LN(2)/2))/(LN(2)/2)*CG58*CJ58*VLOOKUP('Données projet'!$B$12,Paramètres!$A$1:$I$89,3,0)*0.475*44/12</f>
        <v>4.9837971078932342E-3</v>
      </c>
      <c r="CN58" s="22">
        <f t="shared" si="12"/>
        <v>15.095008139130655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9.8000000000000007</v>
      </c>
      <c r="CT58" s="12">
        <f>IF('Données projet'!$A$140&gt;35,CT57+CS58-DB57,IF(A58&lt;'Données projet'!$A$140,$CQ$205^A58,IF(A58='Données projet'!$A$140,'Données projet'!$B$140,CT57+CS58-DB57)))</f>
        <v>251.99999999999994</v>
      </c>
      <c r="CU58" s="17">
        <f>CT58*VLOOKUP('Données projet'!$B$13,Paramètres!$A$1:$I$89,3,0)*VLOOKUP('Données projet'!$B$13,Paramètres!$A$1:$I$89,5,0)</f>
        <v>196.55999999999997</v>
      </c>
      <c r="CV58" s="13">
        <f t="shared" si="41"/>
        <v>48.987398161128091</v>
      </c>
      <c r="CW58" s="20">
        <f t="shared" si="13"/>
        <v>427.66171846396469</v>
      </c>
      <c r="CX58" s="59">
        <f t="shared" si="14"/>
        <v>720.99505179729795</v>
      </c>
      <c r="CY58" s="59">
        <f ca="1">AVERAGE(OFFSET($CX$3,0,0,'Données projet'!$E$13+1,1))-AVERAGE(OFFSET($H$3,0,0,'Données projet'!$E$13+1,1))</f>
        <v>261.59434871103355</v>
      </c>
      <c r="CZ58" s="59">
        <f t="shared" si="42"/>
        <v>194.97518096665976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1.2655426042825799</v>
      </c>
      <c r="DG58" s="21">
        <f>EXP(-LN(2)/25)*DG57+(1-EXP(-LN(2)/25))/(LN(2)/25)*Calculateur!DB58*Calculateur!DD58*VLOOKUP('Données projet'!$B$13,Paramètres!$A$1:$I$89,3,0)*0.475*44/12</f>
        <v>5.8428929965990255</v>
      </c>
      <c r="DH58" s="21">
        <f>EXP(-LN(2)/2)*DH57+(1-EXP(-LN(2)/2))/(LN(2)/2)*DB58*DE58*VLOOKUP('Données projet'!$B$13,Paramètres!$A$1:$I$89,3,0)*0.475*44/12</f>
        <v>3.2354022973312886E-3</v>
      </c>
      <c r="DI58" s="22">
        <f t="shared" si="15"/>
        <v>7.1116710031789374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7.8</v>
      </c>
      <c r="N59" s="13">
        <f>IF('Données projet'!$A$36&gt;35,N58+M59-V58,IF(A59&lt;'Données projet'!$A$36,$K$205^A59,IF(A59='Données projet'!$A$36,'Données projet'!$B$36,N58+M59-V58)))</f>
        <v>203.80000000000013</v>
      </c>
      <c r="O59" s="13">
        <f>N59*VLOOKUP('Données projet'!$B$9,Paramètres!$A$1:$I$89,3,0)*VLOOKUP('Données projet'!$B$9,Paramètres!$A$1:$I$89,5,0)</f>
        <v>184.3982400000001</v>
      </c>
      <c r="P59" s="13">
        <f t="shared" si="33"/>
        <v>46.299334464645959</v>
      </c>
      <c r="Q59" s="20">
        <f t="shared" si="53"/>
        <v>401.79827552592519</v>
      </c>
      <c r="R59" s="59">
        <f t="shared" si="0"/>
        <v>695.13160885925845</v>
      </c>
      <c r="S59" s="59">
        <f ca="1">AVERAGE(OFFSET($R$3,0,0,'Données projet'!$E$9+1,1))-AVERAGE(OFFSET($H$3,0,0,'Données projet'!$E$9+1,1))</f>
        <v>237.22177246688199</v>
      </c>
      <c r="T59" s="59">
        <f t="shared" si="34"/>
        <v>149.27472147904302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1.5105030649144917</v>
      </c>
      <c r="AB59" s="21">
        <f>EXP(-LN(2)/2)*AB58+(1-EXP(-LN(2)/2))/(LN(2)/2)*V59*Y59*VLOOKUP('Données projet'!$B$9,Paramètres!$A$1:$I$89,3,0)*0.475*44/12</f>
        <v>7.5553562676128263E-4</v>
      </c>
      <c r="AC59" s="22">
        <f t="shared" si="3"/>
        <v>1.5112586005412529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7.2</v>
      </c>
      <c r="AI59" s="13">
        <f>IF('Données projet'!$A$62&gt;35,AI58+AH59-AQ58,IF(A59&lt;'Données projet'!$A$62,$AF$205^A59,IF(A59='Données projet'!$A$62,'Données projet'!$B$62,AI58+AH59-AQ58)))</f>
        <v>242.2</v>
      </c>
      <c r="AJ59" s="13">
        <f>AI59*VLOOKUP('Données projet'!$B$10,Paramètres!$A$1:$I$89,3,0)*VLOOKUP('Données projet'!$B$10,Paramètres!$A$1:$I$89,5,0)</f>
        <v>211.58592000000002</v>
      </c>
      <c r="AK59" s="13">
        <f t="shared" si="35"/>
        <v>52.281997222074629</v>
      </c>
      <c r="AL59" s="20">
        <f t="shared" si="4"/>
        <v>459.56995582844667</v>
      </c>
      <c r="AM59" s="59">
        <f t="shared" si="5"/>
        <v>752.90328916177998</v>
      </c>
      <c r="AN59" s="59">
        <f ca="1">AVERAGE(OFFSET($AM$3,0,0,'Données projet'!$E$10+1,1))-AVERAGE(OFFSET($H$3,0,0,'Données projet'!$E$10+1,1))</f>
        <v>243.38048563215585</v>
      </c>
      <c r="AO59" s="59">
        <f t="shared" si="36"/>
        <v>372.1604147006675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4.3673558217251349</v>
      </c>
      <c r="AV59" s="21">
        <f>EXP(-LN(2)/25)*AV58+(1-EXP(-LN(2)/25))/(LN(2)/25)*Calculateur!AQ59*Calculateur!AS59*VLOOKUP('Données projet'!$B$10,Paramètres!$A$1:$I$89,3,0)*0.475*44/12</f>
        <v>9.416480953948609</v>
      </c>
      <c r="AW59" s="21">
        <f>EXP(-LN(2)/2)*AW58+(1-EXP(-LN(2)/2))/(LN(2)/2)*AQ59*AT59*VLOOKUP('Données projet'!$B$10,Paramètres!$A$1:$I$89,3,0)*0.475*44/12</f>
        <v>3.5784837906692093E-3</v>
      </c>
      <c r="AX59" s="21">
        <f t="shared" si="6"/>
        <v>13.787415259464414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16.2</v>
      </c>
      <c r="BD59" s="12">
        <f>IF('Données projet'!$A$88&gt;35,BD58+BC59-BL58,IF(A59&lt;'Données projet'!$A$88,$BA$205^A59,IF(A59='Données projet'!$A$88,'Données projet'!$B$88,BD58+BC59-BL58)))</f>
        <v>498.19999999999976</v>
      </c>
      <c r="BE59" s="13">
        <f>BD59*VLOOKUP('Données projet'!$B$11,Paramètres!$A$1:$I$89,3,0)*VLOOKUP('Données projet'!$B$11,Paramètres!$A$1:$I$89,5,0)</f>
        <v>278.49379999999985</v>
      </c>
      <c r="BF59" s="13">
        <f t="shared" si="37"/>
        <v>66.648605670285122</v>
      </c>
      <c r="BG59" s="20">
        <f t="shared" si="7"/>
        <v>601.12302320907963</v>
      </c>
      <c r="BH59" s="59">
        <f t="shared" si="8"/>
        <v>894.456356542413</v>
      </c>
      <c r="BI59" s="59">
        <f ca="1">AVERAGE(OFFSET($BH$3,0,0,'Données projet'!$E$11+1,1))-AVERAGE(OFFSET($H$3,0,0,'Données projet'!$E$11+1,1))</f>
        <v>326.31232746914907</v>
      </c>
      <c r="BJ59" s="59">
        <f t="shared" si="38"/>
        <v>330.17137761430297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2.7295973885782101</v>
      </c>
      <c r="BQ59" s="21">
        <f>EXP(-LN(2)/25)*BQ58+(1-EXP(-LN(2)/25))/(LN(2)/25)*Calculateur!BL59*Calculateur!BN59*VLOOKUP('Données projet'!$B$11,Paramètres!$A$1:$I$89,3,0)*0.475*44/12</f>
        <v>14.673933705703107</v>
      </c>
      <c r="BR59" s="21">
        <f>EXP(-LN(2)/2)*BR58+(1-EXP(-LN(2)/2))/(LN(2)/2)*BL59*BO59*VLOOKUP('Données projet'!$B$11,Paramètres!$A$1:$I$89,3,0)*0.475*44/12</f>
        <v>3.9699814905316457E-3</v>
      </c>
      <c r="BS59" s="22">
        <f t="shared" si="9"/>
        <v>17.407501075771847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7.9</v>
      </c>
      <c r="BY59" s="12">
        <f>IF('Données projet'!$A$114&gt;35,BY58+BX59-CG58,IF(A59&lt;'Données projet'!$A$114,$BV$205^A59,IF(A59='Données projet'!$A$114,'Données projet'!$B$114,BY58+BX59-CG58)))</f>
        <v>329.39999999999986</v>
      </c>
      <c r="BZ59" s="13">
        <f>BY59*VLOOKUP('Données projet'!$B$12,Paramètres!$A$1:$I$89,3,0)*VLOOKUP('Données projet'!$B$12,Paramètres!$A$1:$I$89,5,0)</f>
        <v>262.07063999999991</v>
      </c>
      <c r="CA59" s="13">
        <f t="shared" si="39"/>
        <v>63.163550751219262</v>
      </c>
      <c r="CB59" s="20">
        <f t="shared" si="10"/>
        <v>566.44954889170663</v>
      </c>
      <c r="CC59" s="59">
        <f t="shared" si="11"/>
        <v>859.78288222503988</v>
      </c>
      <c r="CD59" s="59">
        <f ca="1">AVERAGE(OFFSET($CC$3,0,0,'Données projet'!$E$12+1,1))-AVERAGE(OFFSET($H$3,0,0,'Données projet'!$E$12+1,1))</f>
        <v>314.94704727988847</v>
      </c>
      <c r="CE59" s="59">
        <f t="shared" si="40"/>
        <v>366.49199094166454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2.3397785649028222</v>
      </c>
      <c r="CL59" s="21">
        <f>EXP(-LN(2)/25)*CL58+(1-EXP(-LN(2)/25))/(LN(2)/25)*Calculateur!CG59*Calculateur!CI59*VLOOKUP('Données projet'!$B$12,Paramètres!$A$1:$I$89,3,0)*0.475*44/12</f>
        <v>12.356070029182019</v>
      </c>
      <c r="CM59" s="21">
        <f>EXP(-LN(2)/2)*CM58+(1-EXP(-LN(2)/2))/(LN(2)/2)*CG59*CJ59*VLOOKUP('Données projet'!$B$12,Paramètres!$A$1:$I$89,3,0)*0.475*44/12</f>
        <v>3.5240767310492096E-3</v>
      </c>
      <c r="CN59" s="22">
        <f t="shared" si="12"/>
        <v>14.69937267081589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9.8000000000000007</v>
      </c>
      <c r="CT59" s="12">
        <f>IF('Données projet'!$A$140&gt;35,CT58+CS59-DB58,IF(A59&lt;'Données projet'!$A$140,$CQ$205^A59,IF(A59='Données projet'!$A$140,'Données projet'!$B$140,CT58+CS59-DB58)))</f>
        <v>261.79999999999995</v>
      </c>
      <c r="CU59" s="17">
        <f>CT59*VLOOKUP('Données projet'!$B$13,Paramètres!$A$1:$I$89,3,0)*VLOOKUP('Données projet'!$B$13,Paramètres!$A$1:$I$89,5,0)</f>
        <v>204.20399999999998</v>
      </c>
      <c r="CV59" s="13">
        <f t="shared" si="41"/>
        <v>50.666958146601125</v>
      </c>
      <c r="CW59" s="20">
        <f t="shared" si="13"/>
        <v>443.90025210533031</v>
      </c>
      <c r="CX59" s="59">
        <f t="shared" si="14"/>
        <v>737.23358543866357</v>
      </c>
      <c r="CY59" s="59">
        <f ca="1">AVERAGE(OFFSET($CX$3,0,0,'Données projet'!$E$13+1,1))-AVERAGE(OFFSET($H$3,0,0,'Données projet'!$E$13+1,1))</f>
        <v>261.59434871103355</v>
      </c>
      <c r="CZ59" s="59">
        <f t="shared" si="42"/>
        <v>194.97518096665976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1.2407260857173679</v>
      </c>
      <c r="DG59" s="21">
        <f>EXP(-LN(2)/25)*DG58+(1-EXP(-LN(2)/25))/(LN(2)/25)*Calculateur!DB59*Calculateur!DD59*VLOOKUP('Données projet'!$B$13,Paramètres!$A$1:$I$89,3,0)*0.475*44/12</f>
        <v>5.6831187803426362</v>
      </c>
      <c r="DH59" s="21">
        <f>EXP(-LN(2)/2)*DH58+(1-EXP(-LN(2)/2))/(LN(2)/2)*DB59*DE59*VLOOKUP('Données projet'!$B$13,Paramètres!$A$1:$I$89,3,0)*0.475*44/12</f>
        <v>2.2877749043094886E-3</v>
      </c>
      <c r="DI59" s="22">
        <f t="shared" si="15"/>
        <v>6.9261326409643136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7.8</v>
      </c>
      <c r="N60" s="13">
        <f>IF('Données projet'!$A$36&gt;35,N59+M60-V59,IF(A60&lt;'Données projet'!$A$36,$K$205^A60,IF(A60='Données projet'!$A$36,'Données projet'!$B$36,N59+M60-V59)))</f>
        <v>211.60000000000014</v>
      </c>
      <c r="O60" s="13">
        <f>N60*VLOOKUP('Données projet'!$B$9,Paramètres!$A$1:$I$89,3,0)*VLOOKUP('Données projet'!$B$9,Paramètres!$A$1:$I$89,5,0)</f>
        <v>191.45568000000011</v>
      </c>
      <c r="P60" s="13">
        <f t="shared" si="33"/>
        <v>47.861639935303188</v>
      </c>
      <c r="Q60" s="20">
        <f t="shared" si="53"/>
        <v>416.81099888731995</v>
      </c>
      <c r="R60" s="59">
        <f t="shared" si="0"/>
        <v>710.14433222065327</v>
      </c>
      <c r="S60" s="59">
        <f ca="1">AVERAGE(OFFSET($R$3,0,0,'Données projet'!$E$9+1,1))-AVERAGE(OFFSET($H$3,0,0,'Données projet'!$E$9+1,1))</f>
        <v>237.22177246688199</v>
      </c>
      <c r="T60" s="59">
        <f t="shared" si="34"/>
        <v>149.27472147904302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1.4691982791705009</v>
      </c>
      <c r="AB60" s="21">
        <f>EXP(-LN(2)/2)*AB59+(1-EXP(-LN(2)/2))/(LN(2)/2)*V60*Y60*VLOOKUP('Données projet'!$B$9,Paramètres!$A$1:$I$89,3,0)*0.475*44/12</f>
        <v>5.3424436511093131E-4</v>
      </c>
      <c r="AC60" s="22">
        <f t="shared" si="3"/>
        <v>1.4697325235356118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7.2</v>
      </c>
      <c r="AI60" s="13">
        <f>IF('Données projet'!$A$62&gt;35,AI59+AH60-AQ59,IF(A60&lt;'Données projet'!$A$62,$AF$205^A60,IF(A60='Données projet'!$A$62,'Données projet'!$B$62,AI59+AH60-AQ59)))</f>
        <v>249.39999999999998</v>
      </c>
      <c r="AJ60" s="13">
        <f>AI60*VLOOKUP('Données projet'!$B$10,Paramètres!$A$1:$I$89,3,0)*VLOOKUP('Données projet'!$B$10,Paramètres!$A$1:$I$89,5,0)</f>
        <v>217.87583999999998</v>
      </c>
      <c r="AK60" s="13">
        <f t="shared" si="35"/>
        <v>53.652949670124926</v>
      </c>
      <c r="AL60" s="20">
        <f t="shared" si="4"/>
        <v>472.9126420088009</v>
      </c>
      <c r="AM60" s="59">
        <f t="shared" si="5"/>
        <v>766.24597534213422</v>
      </c>
      <c r="AN60" s="59">
        <f ca="1">AVERAGE(OFFSET($AM$3,0,0,'Données projet'!$E$10+1,1))-AVERAGE(OFFSET($H$3,0,0,'Données projet'!$E$10+1,1))</f>
        <v>243.38048563215585</v>
      </c>
      <c r="AO60" s="59">
        <f t="shared" si="36"/>
        <v>372.1604147006675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4.2817146378851252</v>
      </c>
      <c r="AV60" s="21">
        <f>EXP(-LN(2)/25)*AV59+(1-EXP(-LN(2)/25))/(LN(2)/25)*Calculateur!AQ60*Calculateur!AS60*VLOOKUP('Données projet'!$B$10,Paramètres!$A$1:$I$89,3,0)*0.475*44/12</f>
        <v>9.1589867870716724</v>
      </c>
      <c r="AW60" s="21">
        <f>EXP(-LN(2)/2)*AW59+(1-EXP(-LN(2)/2))/(LN(2)/2)*AQ60*AT60*VLOOKUP('Données projet'!$B$10,Paramètres!$A$1:$I$89,3,0)*0.475*44/12</f>
        <v>2.5303701547483397E-3</v>
      </c>
      <c r="AX60" s="21">
        <f t="shared" si="6"/>
        <v>13.443231795111545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16.2</v>
      </c>
      <c r="BD60" s="12">
        <f>IF('Données projet'!$A$88&gt;35,BD59+BC60-BL59,IF(A60&lt;'Données projet'!$A$88,$BA$205^A60,IF(A60='Données projet'!$A$88,'Données projet'!$B$88,BD59+BC60-BL59)))</f>
        <v>514.39999999999975</v>
      </c>
      <c r="BE60" s="13">
        <f>BD60*VLOOKUP('Données projet'!$B$11,Paramètres!$A$1:$I$89,3,0)*VLOOKUP('Données projet'!$B$11,Paramètres!$A$1:$I$89,5,0)</f>
        <v>287.54959999999988</v>
      </c>
      <c r="BF60" s="13">
        <f t="shared" si="37"/>
        <v>68.559977517591122</v>
      </c>
      <c r="BG60" s="20">
        <f t="shared" si="7"/>
        <v>620.22418084313767</v>
      </c>
      <c r="BH60" s="59">
        <f t="shared" si="8"/>
        <v>913.55751417647093</v>
      </c>
      <c r="BI60" s="59">
        <f ca="1">AVERAGE(OFFSET($BH$3,0,0,'Données projet'!$E$11+1,1))-AVERAGE(OFFSET($H$3,0,0,'Données projet'!$E$11+1,1))</f>
        <v>326.31232746914907</v>
      </c>
      <c r="BJ60" s="59">
        <f t="shared" si="38"/>
        <v>330.17137761430297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2.6760716486782044</v>
      </c>
      <c r="BQ60" s="21">
        <f>EXP(-LN(2)/25)*BQ59+(1-EXP(-LN(2)/25))/(LN(2)/25)*Calculateur!BL60*Calculateur!BN60*VLOOKUP('Données projet'!$B$11,Paramètres!$A$1:$I$89,3,0)*0.475*44/12</f>
        <v>14.272674216852019</v>
      </c>
      <c r="BR60" s="21">
        <f>EXP(-LN(2)/2)*BR59+(1-EXP(-LN(2)/2))/(LN(2)/2)*BL60*BO60*VLOOKUP('Données projet'!$B$11,Paramètres!$A$1:$I$89,3,0)*0.475*44/12</f>
        <v>2.8072008331400042E-3</v>
      </c>
      <c r="BS60" s="22">
        <f t="shared" si="9"/>
        <v>16.951553066363363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7.9</v>
      </c>
      <c r="BY60" s="12">
        <f>IF('Données projet'!$A$114&gt;35,BY59+BX60-CG59,IF(A60&lt;'Données projet'!$A$114,$BV$205^A60,IF(A60='Données projet'!$A$114,'Données projet'!$B$114,BY59+BX60-CG59)))</f>
        <v>337.29999999999984</v>
      </c>
      <c r="BZ60" s="13">
        <f>BY60*VLOOKUP('Données projet'!$B$12,Paramètres!$A$1:$I$89,3,0)*VLOOKUP('Données projet'!$B$12,Paramètres!$A$1:$I$89,5,0)</f>
        <v>268.35587999999984</v>
      </c>
      <c r="CA60" s="13">
        <f t="shared" si="39"/>
        <v>64.50022158961194</v>
      </c>
      <c r="CB60" s="20">
        <f t="shared" si="10"/>
        <v>579.72437693524057</v>
      </c>
      <c r="CC60" s="59">
        <f t="shared" si="11"/>
        <v>873.05771026857383</v>
      </c>
      <c r="CD60" s="59">
        <f ca="1">AVERAGE(OFFSET($CC$3,0,0,'Données projet'!$E$12+1,1))-AVERAGE(OFFSET($H$3,0,0,'Données projet'!$E$12+1,1))</f>
        <v>314.94704727988847</v>
      </c>
      <c r="CE60" s="59">
        <f t="shared" si="40"/>
        <v>366.49199094166454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2.2938969343690858</v>
      </c>
      <c r="CL60" s="21">
        <f>EXP(-LN(2)/25)*CL59+(1-EXP(-LN(2)/25))/(LN(2)/25)*Calculateur!CG60*Calculateur!CI60*VLOOKUP('Données projet'!$B$12,Paramètres!$A$1:$I$89,3,0)*0.475*44/12</f>
        <v>12.018192644456555</v>
      </c>
      <c r="CM60" s="21">
        <f>EXP(-LN(2)/2)*CM59+(1-EXP(-LN(2)/2))/(LN(2)/2)*CG60*CJ60*VLOOKUP('Données projet'!$B$12,Paramètres!$A$1:$I$89,3,0)*0.475*44/12</f>
        <v>2.4918985539466171E-3</v>
      </c>
      <c r="CN60" s="22">
        <f t="shared" si="12"/>
        <v>14.314581477379587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9.8000000000000007</v>
      </c>
      <c r="CT60" s="12">
        <f>IF('Données projet'!$A$140&gt;35,CT59+CS60-DB59,IF(A60&lt;'Données projet'!$A$140,$CQ$205^A60,IF(A60='Données projet'!$A$140,'Données projet'!$B$140,CT59+CS60-DB59)))</f>
        <v>271.59999999999997</v>
      </c>
      <c r="CU60" s="17">
        <f>CT60*VLOOKUP('Données projet'!$B$13,Paramètres!$A$1:$I$89,3,0)*VLOOKUP('Données projet'!$B$13,Paramètres!$A$1:$I$89,5,0)</f>
        <v>211.84799999999998</v>
      </c>
      <c r="CV60" s="13">
        <f t="shared" si="41"/>
        <v>52.339214039606517</v>
      </c>
      <c r="CW60" s="20">
        <f t="shared" si="13"/>
        <v>460.12606445231467</v>
      </c>
      <c r="CX60" s="59">
        <f t="shared" si="14"/>
        <v>753.45939778564798</v>
      </c>
      <c r="CY60" s="59">
        <f ca="1">AVERAGE(OFFSET($CX$3,0,0,'Données projet'!$E$13+1,1))-AVERAGE(OFFSET($H$3,0,0,'Données projet'!$E$13+1,1))</f>
        <v>261.59434871103355</v>
      </c>
      <c r="CZ60" s="59">
        <f t="shared" si="42"/>
        <v>194.97518096665976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1.2163962039446379</v>
      </c>
      <c r="DG60" s="21">
        <f>EXP(-LN(2)/25)*DG59+(1-EXP(-LN(2)/25))/(LN(2)/25)*Calculateur!DB60*Calculateur!DD60*VLOOKUP('Données projet'!$B$13,Paramètres!$A$1:$I$89,3,0)*0.475*44/12</f>
        <v>5.527713598431939</v>
      </c>
      <c r="DH60" s="21">
        <f>EXP(-LN(2)/2)*DH59+(1-EXP(-LN(2)/2))/(LN(2)/2)*DB60*DE60*VLOOKUP('Données projet'!$B$13,Paramètres!$A$1:$I$89,3,0)*0.475*44/12</f>
        <v>1.6177011486656443E-3</v>
      </c>
      <c r="DI60" s="22">
        <f t="shared" si="15"/>
        <v>6.7457275035252424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7.8</v>
      </c>
      <c r="N61" s="13">
        <f>IF('Données projet'!$A$36&gt;35,N60+M61-V60,IF(A61&lt;'Données projet'!$A$36,$K$205^A61,IF(A61='Données projet'!$A$36,'Données projet'!$B$36,N60+M61-V60)))</f>
        <v>219.40000000000015</v>
      </c>
      <c r="O61" s="13">
        <f>N61*VLOOKUP('Données projet'!$B$9,Paramètres!$A$1:$I$89,3,0)*VLOOKUP('Données projet'!$B$9,Paramètres!$A$1:$I$89,5,0)</f>
        <v>198.51312000000013</v>
      </c>
      <c r="P61" s="13">
        <f t="shared" si="33"/>
        <v>49.417254724004458</v>
      </c>
      <c r="Q61" s="20">
        <f t="shared" si="53"/>
        <v>431.81206931097466</v>
      </c>
      <c r="R61" s="59">
        <f t="shared" si="0"/>
        <v>725.14540264430798</v>
      </c>
      <c r="S61" s="59">
        <f ca="1">AVERAGE(OFFSET($R$3,0,0,'Données projet'!$E$9+1,1))-AVERAGE(OFFSET($H$3,0,0,'Données projet'!$E$9+1,1))</f>
        <v>237.22177246688199</v>
      </c>
      <c r="T61" s="59">
        <f t="shared" si="34"/>
        <v>149.27472147904302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1.429022974964804</v>
      </c>
      <c r="AB61" s="21">
        <f>EXP(-LN(2)/2)*AB60+(1-EXP(-LN(2)/2))/(LN(2)/2)*V61*Y61*VLOOKUP('Données projet'!$B$9,Paramètres!$A$1:$I$89,3,0)*0.475*44/12</f>
        <v>3.7776781338064131E-4</v>
      </c>
      <c r="AC61" s="22">
        <f t="shared" si="3"/>
        <v>1.4294007427781847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7.2</v>
      </c>
      <c r="AI61" s="13">
        <f>IF('Données projet'!$A$62&gt;35,AI60+AH61-AQ60,IF(A61&lt;'Données projet'!$A$62,$AF$205^A61,IF(A61='Données projet'!$A$62,'Données projet'!$B$62,AI60+AH61-AQ60)))</f>
        <v>256.59999999999997</v>
      </c>
      <c r="AJ61" s="13">
        <f>AI61*VLOOKUP('Données projet'!$B$10,Paramètres!$A$1:$I$89,3,0)*VLOOKUP('Données projet'!$B$10,Paramètres!$A$1:$I$89,5,0)</f>
        <v>224.16576000000001</v>
      </c>
      <c r="AK61" s="13">
        <f t="shared" si="35"/>
        <v>55.019302246962667</v>
      </c>
      <c r="AL61" s="20">
        <f t="shared" si="4"/>
        <v>486.24731674679327</v>
      </c>
      <c r="AM61" s="59">
        <f t="shared" si="5"/>
        <v>779.58065008012659</v>
      </c>
      <c r="AN61" s="59">
        <f ca="1">AVERAGE(OFFSET($AM$3,0,0,'Données projet'!$E$10+1,1))-AVERAGE(OFFSET($H$3,0,0,'Données projet'!$E$10+1,1))</f>
        <v>243.38048563215585</v>
      </c>
      <c r="AO61" s="59">
        <f t="shared" si="36"/>
        <v>372.1604147006675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4.1977528254242538</v>
      </c>
      <c r="AV61" s="21">
        <f>EXP(-LN(2)/25)*AV60+(1-EXP(-LN(2)/25))/(LN(2)/25)*Calculateur!AQ61*Calculateur!AS61*VLOOKUP('Données projet'!$B$10,Paramètres!$A$1:$I$89,3,0)*0.475*44/12</f>
        <v>8.9085338117290149</v>
      </c>
      <c r="AW61" s="21">
        <f>EXP(-LN(2)/2)*AW60+(1-EXP(-LN(2)/2))/(LN(2)/2)*AQ61*AT61*VLOOKUP('Données projet'!$B$10,Paramètres!$A$1:$I$89,3,0)*0.475*44/12</f>
        <v>1.7892418953346046E-3</v>
      </c>
      <c r="AX61" s="21">
        <f t="shared" si="6"/>
        <v>13.108075879048602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16.2</v>
      </c>
      <c r="BD61" s="12">
        <f>IF('Données projet'!$A$88&gt;35,BD60+BC61-BL60,IF(A61&lt;'Données projet'!$A$88,$BA$205^A61,IF(A61='Données projet'!$A$88,'Données projet'!$B$88,BD60+BC61-BL60)))</f>
        <v>530.5999999999998</v>
      </c>
      <c r="BE61" s="13">
        <f>BD61*VLOOKUP('Données projet'!$B$11,Paramètres!$A$1:$I$89,3,0)*VLOOKUP('Données projet'!$B$11,Paramètres!$A$1:$I$89,5,0)</f>
        <v>296.60539999999986</v>
      </c>
      <c r="BF61" s="13">
        <f t="shared" si="37"/>
        <v>70.464354291088782</v>
      </c>
      <c r="BG61" s="20">
        <f t="shared" si="7"/>
        <v>639.31315539031277</v>
      </c>
      <c r="BH61" s="59">
        <f t="shared" si="8"/>
        <v>932.64648872364614</v>
      </c>
      <c r="BI61" s="59">
        <f ca="1">AVERAGE(OFFSET($BH$3,0,0,'Données projet'!$E$11+1,1))-AVERAGE(OFFSET($H$3,0,0,'Données projet'!$E$11+1,1))</f>
        <v>326.31232746914907</v>
      </c>
      <c r="BJ61" s="59">
        <f t="shared" si="38"/>
        <v>330.17137761430297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2.6235955158901598</v>
      </c>
      <c r="BQ61" s="21">
        <f>EXP(-LN(2)/25)*BQ60+(1-EXP(-LN(2)/25))/(LN(2)/25)*Calculateur!BL61*Calculateur!BN61*VLOOKUP('Données projet'!$B$11,Paramètres!$A$1:$I$89,3,0)*0.475*44/12</f>
        <v>13.882387189824884</v>
      </c>
      <c r="BR61" s="21">
        <f>EXP(-LN(2)/2)*BR60+(1-EXP(-LN(2)/2))/(LN(2)/2)*BL61*BO61*VLOOKUP('Données projet'!$B$11,Paramètres!$A$1:$I$89,3,0)*0.475*44/12</f>
        <v>1.9849907452658229E-3</v>
      </c>
      <c r="BS61" s="22">
        <f t="shared" si="9"/>
        <v>16.507967696460312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7.9</v>
      </c>
      <c r="BY61" s="12">
        <f>IF('Données projet'!$A$114&gt;35,BY60+BX61-CG60,IF(A61&lt;'Données projet'!$A$114,$BV$205^A61,IF(A61='Données projet'!$A$114,'Données projet'!$B$114,BY60+BX61-CG60)))</f>
        <v>345.19999999999982</v>
      </c>
      <c r="BZ61" s="13">
        <f>BY61*VLOOKUP('Données projet'!$B$12,Paramètres!$A$1:$I$89,3,0)*VLOOKUP('Données projet'!$B$12,Paramètres!$A$1:$I$89,5,0)</f>
        <v>274.64111999999989</v>
      </c>
      <c r="CA61" s="13">
        <f t="shared" si="39"/>
        <v>65.833252956609641</v>
      </c>
      <c r="CB61" s="20">
        <f t="shared" si="10"/>
        <v>592.99286623276146</v>
      </c>
      <c r="CC61" s="59">
        <f t="shared" si="11"/>
        <v>886.32619956609483</v>
      </c>
      <c r="CD61" s="59">
        <f ca="1">AVERAGE(OFFSET($CC$3,0,0,'Données projet'!$E$12+1,1))-AVERAGE(OFFSET($H$3,0,0,'Données projet'!$E$12+1,1))</f>
        <v>314.94704727988847</v>
      </c>
      <c r="CE61" s="59">
        <f t="shared" si="40"/>
        <v>366.49199094166454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2.2489150146250845</v>
      </c>
      <c r="CL61" s="21">
        <f>EXP(-LN(2)/25)*CL60+(1-EXP(-LN(2)/25))/(LN(2)/25)*Calculateur!CG61*Calculateur!CI61*VLOOKUP('Données projet'!$B$12,Paramètres!$A$1:$I$89,3,0)*0.475*44/12</f>
        <v>11.689554534584607</v>
      </c>
      <c r="CM61" s="21">
        <f>EXP(-LN(2)/2)*CM60+(1-EXP(-LN(2)/2))/(LN(2)/2)*CG61*CJ61*VLOOKUP('Données projet'!$B$12,Paramètres!$A$1:$I$89,3,0)*0.475*44/12</f>
        <v>1.7620383655246048E-3</v>
      </c>
      <c r="CN61" s="22">
        <f t="shared" si="12"/>
        <v>13.940231587575218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9.8000000000000007</v>
      </c>
      <c r="CT61" s="12">
        <f>IF('Données projet'!$A$140&gt;35,CT60+CS61-DB60,IF(A61&lt;'Données projet'!$A$140,$CQ$205^A61,IF(A61='Données projet'!$A$140,'Données projet'!$B$140,CT60+CS61-DB60)))</f>
        <v>281.39999999999998</v>
      </c>
      <c r="CU61" s="17">
        <f>CT61*VLOOKUP('Données projet'!$B$13,Paramètres!$A$1:$I$89,3,0)*VLOOKUP('Données projet'!$B$13,Paramètres!$A$1:$I$89,5,0)</f>
        <v>219.49199999999999</v>
      </c>
      <c r="CV61" s="13">
        <f t="shared" si="41"/>
        <v>54.004459579686618</v>
      </c>
      <c r="CW61" s="20">
        <f t="shared" si="13"/>
        <v>476.33966710128743</v>
      </c>
      <c r="CX61" s="59">
        <f t="shared" si="14"/>
        <v>769.67300043462069</v>
      </c>
      <c r="CY61" s="59">
        <f ca="1">AVERAGE(OFFSET($CX$3,0,0,'Données projet'!$E$13+1,1))-AVERAGE(OFFSET($H$3,0,0,'Données projet'!$E$13+1,1))</f>
        <v>261.59434871103355</v>
      </c>
      <c r="CZ61" s="59">
        <f t="shared" si="42"/>
        <v>194.97518096665976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1.1925434163137085</v>
      </c>
      <c r="DG61" s="21">
        <f>EXP(-LN(2)/25)*DG60+(1-EXP(-LN(2)/25))/(LN(2)/25)*Calculateur!DB61*Calculateur!DD61*VLOOKUP('Données projet'!$B$13,Paramètres!$A$1:$I$89,3,0)*0.475*44/12</f>
        <v>5.3765579793929934</v>
      </c>
      <c r="DH61" s="21">
        <f>EXP(-LN(2)/2)*DH60+(1-EXP(-LN(2)/2))/(LN(2)/2)*DB61*DE61*VLOOKUP('Données projet'!$B$13,Paramètres!$A$1:$I$89,3,0)*0.475*44/12</f>
        <v>1.1438874521547443E-3</v>
      </c>
      <c r="DI61" s="22">
        <f t="shared" si="15"/>
        <v>6.5702452831588563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7.8</v>
      </c>
      <c r="N62" s="13">
        <f>IF('Données projet'!$A$36&gt;35,N61+M62-V61,IF(A62&lt;'Données projet'!$A$36,$K$205^A62,IF(A62='Données projet'!$A$36,'Données projet'!$B$36,N61+M62-V61)))</f>
        <v>227.20000000000016</v>
      </c>
      <c r="O62" s="13">
        <f>N62*VLOOKUP('Données projet'!$B$9,Paramètres!$A$1:$I$89,3,0)*VLOOKUP('Données projet'!$B$9,Paramètres!$A$1:$I$89,5,0)</f>
        <v>205.57056000000014</v>
      </c>
      <c r="P62" s="13">
        <f t="shared" si="33"/>
        <v>50.966443946767434</v>
      </c>
      <c r="Q62" s="20">
        <f t="shared" si="53"/>
        <v>446.80194854062023</v>
      </c>
      <c r="R62" s="59">
        <f t="shared" si="0"/>
        <v>740.13528187395355</v>
      </c>
      <c r="S62" s="59">
        <f ca="1">AVERAGE(OFFSET($R$3,0,0,'Données projet'!$E$9+1,1))-AVERAGE(OFFSET($H$3,0,0,'Données projet'!$E$9+1,1))</f>
        <v>237.22177246688199</v>
      </c>
      <c r="T62" s="59">
        <f t="shared" si="34"/>
        <v>149.27472147904302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1.3899462665653393</v>
      </c>
      <c r="AB62" s="21">
        <f>EXP(-LN(2)/2)*AB61+(1-EXP(-LN(2)/2))/(LN(2)/2)*V62*Y62*VLOOKUP('Données projet'!$B$9,Paramètres!$A$1:$I$89,3,0)*0.475*44/12</f>
        <v>2.6712218255546565E-4</v>
      </c>
      <c r="AC62" s="22">
        <f t="shared" si="3"/>
        <v>1.3902133887478947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7.2</v>
      </c>
      <c r="AI62" s="13">
        <f>IF('Données projet'!$A$62&gt;35,AI61+AH62-AQ61,IF(A62&lt;'Données projet'!$A$62,$AF$205^A62,IF(A62='Données projet'!$A$62,'Données projet'!$B$62,AI61+AH62-AQ61)))</f>
        <v>263.79999999999995</v>
      </c>
      <c r="AJ62" s="13">
        <f>AI62*VLOOKUP('Données projet'!$B$10,Paramètres!$A$1:$I$89,3,0)*VLOOKUP('Données projet'!$B$10,Paramètres!$A$1:$I$89,5,0)</f>
        <v>230.45567999999997</v>
      </c>
      <c r="AK62" s="13">
        <f t="shared" si="35"/>
        <v>56.381198848277926</v>
      </c>
      <c r="AL62" s="20">
        <f t="shared" si="4"/>
        <v>499.57423066075063</v>
      </c>
      <c r="AM62" s="59">
        <f t="shared" si="5"/>
        <v>792.90756399408394</v>
      </c>
      <c r="AN62" s="59">
        <f ca="1">AVERAGE(OFFSET($AM$3,0,0,'Données projet'!$E$10+1,1))-AVERAGE(OFFSET($H$3,0,0,'Données projet'!$E$10+1,1))</f>
        <v>243.38048563215585</v>
      </c>
      <c r="AO62" s="59">
        <f t="shared" si="36"/>
        <v>372.1604147006675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4.1154374528940911</v>
      </c>
      <c r="AV62" s="21">
        <f>EXP(-LN(2)/25)*AV61+(1-EXP(-LN(2)/25))/(LN(2)/25)*Calculateur!AQ62*Calculateur!AS62*VLOOKUP('Données projet'!$B$10,Paramètres!$A$1:$I$89,3,0)*0.475*44/12</f>
        <v>8.6649294861678534</v>
      </c>
      <c r="AW62" s="21">
        <f>EXP(-LN(2)/2)*AW61+(1-EXP(-LN(2)/2))/(LN(2)/2)*AQ62*AT62*VLOOKUP('Données projet'!$B$10,Paramètres!$A$1:$I$89,3,0)*0.475*44/12</f>
        <v>1.2651850773741698E-3</v>
      </c>
      <c r="AX62" s="21">
        <f t="shared" si="6"/>
        <v>12.781632124139319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16.2</v>
      </c>
      <c r="BD62" s="12">
        <f>IF('Données projet'!$A$88&gt;35,BD61+BC62-BL61,IF(A62&lt;'Données projet'!$A$88,$BA$205^A62,IF(A62='Données projet'!$A$88,'Données projet'!$B$88,BD61+BC62-BL61)))</f>
        <v>546.79999999999984</v>
      </c>
      <c r="BE62" s="13">
        <f>BD62*VLOOKUP('Données projet'!$B$11,Paramètres!$A$1:$I$89,3,0)*VLOOKUP('Données projet'!$B$11,Paramètres!$A$1:$I$89,5,0)</f>
        <v>305.66119999999995</v>
      </c>
      <c r="BF62" s="13">
        <f t="shared" si="37"/>
        <v>72.361974072085076</v>
      </c>
      <c r="BG62" s="20">
        <f t="shared" si="7"/>
        <v>658.39036150888137</v>
      </c>
      <c r="BH62" s="59">
        <f t="shared" si="8"/>
        <v>951.72369484221463</v>
      </c>
      <c r="BI62" s="59">
        <f ca="1">AVERAGE(OFFSET($BH$3,0,0,'Données projet'!$E$11+1,1))-AVERAGE(OFFSET($H$3,0,0,'Données projet'!$E$11+1,1))</f>
        <v>326.31232746914907</v>
      </c>
      <c r="BJ62" s="59">
        <f t="shared" si="38"/>
        <v>330.17137761430297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2.5721484080588084</v>
      </c>
      <c r="BQ62" s="21">
        <f>EXP(-LN(2)/25)*BQ61+(1-EXP(-LN(2)/25))/(LN(2)/25)*Calculateur!BL62*Calculateur!BN62*VLOOKUP('Données projet'!$B$11,Paramètres!$A$1:$I$89,3,0)*0.475*44/12</f>
        <v>13.502772582076108</v>
      </c>
      <c r="BR62" s="21">
        <f>EXP(-LN(2)/2)*BR61+(1-EXP(-LN(2)/2))/(LN(2)/2)*BL62*BO62*VLOOKUP('Données projet'!$B$11,Paramètres!$A$1:$I$89,3,0)*0.475*44/12</f>
        <v>1.4036004165700021E-3</v>
      </c>
      <c r="BS62" s="22">
        <f t="shared" si="9"/>
        <v>16.076324590551486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7.9</v>
      </c>
      <c r="BY62" s="12">
        <f>IF('Données projet'!$A$114&gt;35,BY61+BX62-CG61,IF(A62&lt;'Données projet'!$A$114,$BV$205^A62,IF(A62='Données projet'!$A$114,'Données projet'!$B$114,BY61+BX62-CG61)))</f>
        <v>353.0999999999998</v>
      </c>
      <c r="BZ62" s="13">
        <f>BY62*VLOOKUP('Données projet'!$B$12,Paramètres!$A$1:$I$89,3,0)*VLOOKUP('Données projet'!$B$12,Paramètres!$A$1:$I$89,5,0)</f>
        <v>280.92635999999987</v>
      </c>
      <c r="CA62" s="13">
        <f t="shared" si="39"/>
        <v>67.162737730188837</v>
      </c>
      <c r="CB62" s="20">
        <f t="shared" si="10"/>
        <v>606.25517854674536</v>
      </c>
      <c r="CC62" s="59">
        <f t="shared" si="11"/>
        <v>899.58851188007861</v>
      </c>
      <c r="CD62" s="59">
        <f ca="1">AVERAGE(OFFSET($CC$3,0,0,'Données projet'!$E$12+1,1))-AVERAGE(OFFSET($H$3,0,0,'Données projet'!$E$12+1,1))</f>
        <v>314.94704727988847</v>
      </c>
      <c r="CE62" s="59">
        <f t="shared" si="40"/>
        <v>366.49199094166454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2.2048151628910011</v>
      </c>
      <c r="CL62" s="21">
        <f>EXP(-LN(2)/25)*CL61+(1-EXP(-LN(2)/25))/(LN(2)/25)*Calculateur!CG62*Calculateur!CI62*VLOOKUP('Données projet'!$B$12,Paramètres!$A$1:$I$89,3,0)*0.475*44/12</f>
        <v>11.369903051109436</v>
      </c>
      <c r="CM62" s="21">
        <f>EXP(-LN(2)/2)*CM61+(1-EXP(-LN(2)/2))/(LN(2)/2)*CG62*CJ62*VLOOKUP('Données projet'!$B$12,Paramètres!$A$1:$I$89,3,0)*0.475*44/12</f>
        <v>1.2459492769733085E-3</v>
      </c>
      <c r="CN62" s="22">
        <f t="shared" si="12"/>
        <v>13.57596416327741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9.8000000000000007</v>
      </c>
      <c r="CT62" s="12">
        <f>IF('Données projet'!$A$140&gt;35,CT61+CS62-DB61,IF(A62&lt;'Données projet'!$A$140,$CQ$205^A62,IF(A62='Données projet'!$A$140,'Données projet'!$B$140,CT61+CS62-DB61)))</f>
        <v>291.2</v>
      </c>
      <c r="CU62" s="17">
        <f>CT62*VLOOKUP('Données projet'!$B$13,Paramètres!$A$1:$I$89,3,0)*VLOOKUP('Données projet'!$B$13,Paramètres!$A$1:$I$89,5,0)</f>
        <v>227.136</v>
      </c>
      <c r="CV62" s="13">
        <f t="shared" si="41"/>
        <v>55.662966886685133</v>
      </c>
      <c r="CW62" s="20">
        <f t="shared" si="13"/>
        <v>492.54153399430999</v>
      </c>
      <c r="CX62" s="59">
        <f t="shared" si="14"/>
        <v>785.8748673276433</v>
      </c>
      <c r="CY62" s="59">
        <f ca="1">AVERAGE(OFFSET($CX$3,0,0,'Données projet'!$E$13+1,1))-AVERAGE(OFFSET($H$3,0,0,'Données projet'!$E$13+1,1))</f>
        <v>261.59434871103355</v>
      </c>
      <c r="CZ62" s="59">
        <f t="shared" si="42"/>
        <v>194.97518096665976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1.1691583672994579</v>
      </c>
      <c r="DG62" s="21">
        <f>EXP(-LN(2)/25)*DG61+(1-EXP(-LN(2)/25))/(LN(2)/25)*Calculateur!DB62*Calculateur!DD62*VLOOKUP('Données projet'!$B$13,Paramètres!$A$1:$I$89,3,0)*0.475*44/12</f>
        <v>5.2295357187055957</v>
      </c>
      <c r="DH62" s="21">
        <f>EXP(-LN(2)/2)*DH61+(1-EXP(-LN(2)/2))/(LN(2)/2)*DB62*DE62*VLOOKUP('Données projet'!$B$13,Paramètres!$A$1:$I$89,3,0)*0.475*44/12</f>
        <v>8.0885057433282214E-4</v>
      </c>
      <c r="DI62" s="22">
        <f t="shared" si="15"/>
        <v>6.3995029365793865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235</v>
      </c>
      <c r="L63" s="12">
        <f>VLOOKUP(A63,'Données projet'!$A$35:$I$55,9,0)</f>
        <v>7.8</v>
      </c>
      <c r="M63" s="12">
        <f t="array" ref="M63">INDEX(L:L,MIN(IF(ISNUMBER(L63:L259),ROW(L63:L259),"")))</f>
        <v>7.8</v>
      </c>
      <c r="N63" s="13">
        <f>IF('Données projet'!$A$36&gt;35,N62+M63-V62,IF(A63&lt;'Données projet'!$A$36,$K$205^A63,IF(A63='Données projet'!$A$36,'Données projet'!$B$36,N62+M63-V62)))</f>
        <v>235.00000000000017</v>
      </c>
      <c r="O63" s="13">
        <f>N63*VLOOKUP('Données projet'!$B$9,Paramètres!$A$1:$I$89,3,0)*VLOOKUP('Données projet'!$B$9,Paramètres!$A$1:$I$89,5,0)</f>
        <v>212.62800000000016</v>
      </c>
      <c r="P63" s="13">
        <f t="shared" si="33"/>
        <v>52.509453483719085</v>
      </c>
      <c r="Q63" s="20">
        <f t="shared" si="53"/>
        <v>461.78106481747767</v>
      </c>
      <c r="R63" s="59">
        <f t="shared" si="0"/>
        <v>755.11439815081098</v>
      </c>
      <c r="S63" s="59">
        <f ca="1">AVERAGE(OFFSET($R$3,0,0,'Données projet'!$E$9+1,1))-AVERAGE(OFFSET($H$3,0,0,'Données projet'!$E$9+1,1))</f>
        <v>237.22177246688199</v>
      </c>
      <c r="T63" s="59">
        <f t="shared" si="34"/>
        <v>149.27472147904302</v>
      </c>
      <c r="U63" s="15">
        <f>IF(ISNA(VLOOKUP(A63,'Données projet'!$A$35:$I$55,3,0)),0,VLOOKUP(A63,'Données projet'!$A$35:$I$55,3,0))</f>
        <v>4</v>
      </c>
      <c r="V63" s="15">
        <f>IF(ISNA(VLOOKUP(A63,'Données projet'!$A$35:$I$55,4,0)),0,VLOOKUP(A63,'Données projet'!$A$35:$I$55,4,0))</f>
        <v>42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1.3519381128120127</v>
      </c>
      <c r="AB63" s="21">
        <f>EXP(-LN(2)/2)*AB62+(1-EXP(-LN(2)/2))/(LN(2)/2)*V63*Y63*VLOOKUP('Données projet'!$B$9,Paramètres!$A$1:$I$89,3,0)*0.475*44/12</f>
        <v>1.8888390669032066E-4</v>
      </c>
      <c r="AC63" s="22">
        <f t="shared" si="3"/>
        <v>1.3521269967187031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271</v>
      </c>
      <c r="AG63" s="12">
        <f>VLOOKUP(A63,'Données projet'!$A$61:$I$81,9,0)</f>
        <v>7.2</v>
      </c>
      <c r="AH63" s="12">
        <f t="array" ref="AH63">INDEX(AG:AG,MIN(IF(ISNUMBER(AG63:AG259),ROW(AG63:AG259),"")))</f>
        <v>7.2</v>
      </c>
      <c r="AI63" s="13">
        <f>IF('Données projet'!$A$62&gt;35,AI62+AH63-AQ62,IF(A63&lt;'Données projet'!$A$62,$AF$205^A63,IF(A63='Données projet'!$A$62,'Données projet'!$B$62,AI62+AH63-AQ62)))</f>
        <v>270.99999999999994</v>
      </c>
      <c r="AJ63" s="13">
        <f>AI63*VLOOKUP('Données projet'!$B$10,Paramètres!$A$1:$I$89,3,0)*VLOOKUP('Données projet'!$B$10,Paramètres!$A$1:$I$89,5,0)</f>
        <v>236.7456</v>
      </c>
      <c r="AK63" s="13">
        <f t="shared" si="35"/>
        <v>57.738775067879409</v>
      </c>
      <c r="AL63" s="20">
        <f t="shared" si="4"/>
        <v>512.89361990988994</v>
      </c>
      <c r="AM63" s="59">
        <f t="shared" si="5"/>
        <v>806.22695324322331</v>
      </c>
      <c r="AN63" s="59">
        <f ca="1">AVERAGE(OFFSET($AM$3,0,0,'Données projet'!$E$10+1,1))-AVERAGE(OFFSET($H$3,0,0,'Données projet'!$E$10+1,1))</f>
        <v>243.38048563215585</v>
      </c>
      <c r="AO63" s="59">
        <f t="shared" si="36"/>
        <v>372.1604147006675</v>
      </c>
      <c r="AP63" s="15">
        <f>IF(ISNA(VLOOKUP(A63,'Données projet'!$A$61:$I$81,3,0)),0,VLOOKUP(A63,'Données projet'!$A$61:$I$81,3,0))</f>
        <v>6</v>
      </c>
      <c r="AQ63" s="15">
        <f>IF(ISNA(VLOOKUP(A63,'Données projet'!$A$61:$I$81,4,0)),0,VLOOKUP(A63,'Données projet'!$A$61:$I$81,4,0))</f>
        <v>55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4.0347362346118256</v>
      </c>
      <c r="AV63" s="21">
        <f>EXP(-LN(2)/25)*AV62+(1-EXP(-LN(2)/25))/(LN(2)/25)*Calculateur!AQ63*Calculateur!AS63*VLOOKUP('Données projet'!$B$10,Paramètres!$A$1:$I$89,3,0)*0.475*44/12</f>
        <v>8.4279865336997553</v>
      </c>
      <c r="AW63" s="21">
        <f>EXP(-LN(2)/2)*AW62+(1-EXP(-LN(2)/2))/(LN(2)/2)*AQ63*AT63*VLOOKUP('Données projet'!$B$10,Paramètres!$A$1:$I$89,3,0)*0.475*44/12</f>
        <v>8.9462094766730232E-4</v>
      </c>
      <c r="AX63" s="21">
        <f t="shared" si="6"/>
        <v>12.463617389259248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563</v>
      </c>
      <c r="BB63" s="12">
        <f>VLOOKUP(A63,'Données projet'!$A$87:$I$107,9,0)</f>
        <v>16.2</v>
      </c>
      <c r="BC63" s="12">
        <f t="array" ref="BC63">INDEX(BB:BB,MIN(IF(ISNUMBER(BB63:BB259),ROW(BB63:BB259),"")))</f>
        <v>16.2</v>
      </c>
      <c r="BD63" s="12">
        <f>IF('Données projet'!$A$88&gt;35,BD62+BC63-BL62,IF(A63&lt;'Données projet'!$A$88,$BA$205^A63,IF(A63='Données projet'!$A$88,'Données projet'!$B$88,BD62+BC63-BL62)))</f>
        <v>562.99999999999989</v>
      </c>
      <c r="BE63" s="13">
        <f>BD63*VLOOKUP('Données projet'!$B$11,Paramètres!$A$1:$I$89,3,0)*VLOOKUP('Données projet'!$B$11,Paramètres!$A$1:$I$89,5,0)</f>
        <v>314.71699999999993</v>
      </c>
      <c r="BF63" s="13">
        <f t="shared" si="37"/>
        <v>74.253060032718466</v>
      </c>
      <c r="BG63" s="20">
        <f t="shared" si="7"/>
        <v>677.45618789031789</v>
      </c>
      <c r="BH63" s="59">
        <f t="shared" si="8"/>
        <v>970.78952122365126</v>
      </c>
      <c r="BI63" s="59">
        <f ca="1">AVERAGE(OFFSET($BH$3,0,0,'Données projet'!$E$11+1,1))-AVERAGE(OFFSET($H$3,0,0,'Données projet'!$E$11+1,1))</f>
        <v>326.31232746914907</v>
      </c>
      <c r="BJ63" s="59">
        <f t="shared" si="38"/>
        <v>330.17137761430297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83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2.5217101466323926</v>
      </c>
      <c r="BQ63" s="21">
        <f>EXP(-LN(2)/25)*BQ62+(1-EXP(-LN(2)/25))/(LN(2)/25)*Calculateur!BL63*Calculateur!BN63*VLOOKUP('Données projet'!$B$11,Paramètres!$A$1:$I$89,3,0)*0.475*44/12</f>
        <v>13.133538555739289</v>
      </c>
      <c r="BR63" s="21">
        <f>EXP(-LN(2)/2)*BR62+(1-EXP(-LN(2)/2))/(LN(2)/2)*BL63*BO63*VLOOKUP('Données projet'!$B$11,Paramètres!$A$1:$I$89,3,0)*0.475*44/12</f>
        <v>9.9249537263291143E-4</v>
      </c>
      <c r="BS63" s="22">
        <f t="shared" si="9"/>
        <v>15.656241197744315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361</v>
      </c>
      <c r="BW63" s="12">
        <f>VLOOKUP(A63,'Données projet'!$A$113:$I$133,9,0)</f>
        <v>7.9</v>
      </c>
      <c r="BX63" s="12">
        <f t="array" ref="BX63">INDEX(BW:BW,MIN(IF(ISNUMBER(BW63:BW259),ROW(BW63:BW259),"")))</f>
        <v>7.9</v>
      </c>
      <c r="BY63" s="12">
        <f>IF('Données projet'!$A$114&gt;35,BY62+BX63-CG62,IF(A63&lt;'Données projet'!$A$114,$BV$205^A63,IF(A63='Données projet'!$A$114,'Données projet'!$B$114,BY62+BX63-CG62)))</f>
        <v>360.99999999999977</v>
      </c>
      <c r="BZ63" s="13">
        <f>BY63*VLOOKUP('Données projet'!$B$12,Paramètres!$A$1:$I$89,3,0)*VLOOKUP('Données projet'!$B$12,Paramètres!$A$1:$I$89,5,0)</f>
        <v>287.21159999999986</v>
      </c>
      <c r="CA63" s="13">
        <f t="shared" si="39"/>
        <v>68.488764395100958</v>
      </c>
      <c r="CB63" s="20">
        <f t="shared" si="10"/>
        <v>619.51146798813386</v>
      </c>
      <c r="CC63" s="59">
        <f t="shared" si="11"/>
        <v>912.84480132146723</v>
      </c>
      <c r="CD63" s="59">
        <f ca="1">AVERAGE(OFFSET($CC$3,0,0,'Données projet'!$E$12+1,1))-AVERAGE(OFFSET($H$3,0,0,'Données projet'!$E$12+1,1))</f>
        <v>314.94704727988847</v>
      </c>
      <c r="CE63" s="59">
        <f t="shared" si="40"/>
        <v>366.49199094166454</v>
      </c>
      <c r="CF63" s="15">
        <f>IF(ISNA(VLOOKUP(A63,'Données projet'!$A$113:$I$133,3,0)),0,VLOOKUP(A63,'Données projet'!$A$113:$I$133,3,0))</f>
        <v>6</v>
      </c>
      <c r="CG63" s="15">
        <f>IF(ISNA(VLOOKUP(A63,'Données projet'!$A$113:$I$133,4,0)),0,VLOOKUP(A63,'Données projet'!$A$113:$I$133,4,0))</f>
        <v>35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2.1615800823511697</v>
      </c>
      <c r="CL63" s="21">
        <f>EXP(-LN(2)/25)*CL62+(1-EXP(-LN(2)/25))/(LN(2)/25)*Calculateur!CG63*Calculateur!CI63*VLOOKUP('Données projet'!$B$12,Paramètres!$A$1:$I$89,3,0)*0.475*44/12</f>
        <v>11.058992454259633</v>
      </c>
      <c r="CM63" s="21">
        <f>EXP(-LN(2)/2)*CM62+(1-EXP(-LN(2)/2))/(LN(2)/2)*CG63*CJ63*VLOOKUP('Données projet'!$B$12,Paramètres!$A$1:$I$89,3,0)*0.475*44/12</f>
        <v>8.8101918276230239E-4</v>
      </c>
      <c r="CN63" s="22">
        <f t="shared" si="12"/>
        <v>13.221453555793564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301</v>
      </c>
      <c r="CR63" s="12">
        <f>VLOOKUP(A63,'Données projet'!$A$139:$I$159,9,0)</f>
        <v>9.8000000000000007</v>
      </c>
      <c r="CS63" s="12">
        <f t="array" ref="CS63">INDEX(CR:CR,MIN(IF(ISNUMBER(CR63:CR259),ROW(CR63:CR259),"")))</f>
        <v>9.8000000000000007</v>
      </c>
      <c r="CT63" s="12">
        <f>IF('Données projet'!$A$140&gt;35,CT62+CS63-DB62,IF(A63&lt;'Données projet'!$A$140,$CQ$205^A63,IF(A63='Données projet'!$A$140,'Données projet'!$B$140,CT62+CS63-DB62)))</f>
        <v>301</v>
      </c>
      <c r="CU63" s="17">
        <f>CT63*VLOOKUP('Données projet'!$B$13,Paramètres!$A$1:$I$89,3,0)*VLOOKUP('Données projet'!$B$13,Paramètres!$A$1:$I$89,5,0)</f>
        <v>234.78</v>
      </c>
      <c r="CV63" s="13">
        <f t="shared" si="41"/>
        <v>57.314988725508954</v>
      </c>
      <c r="CW63" s="20">
        <f t="shared" si="13"/>
        <v>508.73210536359471</v>
      </c>
      <c r="CX63" s="59">
        <f t="shared" si="14"/>
        <v>802.06543869692803</v>
      </c>
      <c r="CY63" s="59">
        <f ca="1">AVERAGE(OFFSET($CX$3,0,0,'Données projet'!$E$13+1,1))-AVERAGE(OFFSET($H$3,0,0,'Données projet'!$E$13+1,1))</f>
        <v>261.59434871103355</v>
      </c>
      <c r="CZ63" s="59">
        <f t="shared" si="42"/>
        <v>194.97518096665976</v>
      </c>
      <c r="DA63" s="15">
        <f>IF(ISNA(VLOOKUP(A63,'Données projet'!$A$139:$I$159,3,0)),0,VLOOKUP(A63,'Données projet'!$A$139:$I$159,3,0))</f>
        <v>5</v>
      </c>
      <c r="DB63" s="15">
        <f>IF(ISNA(VLOOKUP(A63,'Données projet'!$A$139:$I$159,4,0)),0,VLOOKUP(A63,'Données projet'!$A$139:$I$159,4,0))</f>
        <v>56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1.1462318848329052</v>
      </c>
      <c r="DG63" s="21">
        <f>EXP(-LN(2)/25)*DG62+(1-EXP(-LN(2)/25))/(LN(2)/25)*Calculateur!DB63*Calculateur!DD63*VLOOKUP('Données projet'!$B$13,Paramètres!$A$1:$I$89,3,0)*0.475*44/12</f>
        <v>5.0865337894682598</v>
      </c>
      <c r="DH63" s="21">
        <f>EXP(-LN(2)/2)*DH62+(1-EXP(-LN(2)/2))/(LN(2)/2)*DB63*DE63*VLOOKUP('Données projet'!$B$13,Paramètres!$A$1:$I$89,3,0)*0.475*44/12</f>
        <v>5.7194372607737216E-4</v>
      </c>
      <c r="DI63" s="22">
        <f t="shared" si="15"/>
        <v>6.2333376180272424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7</v>
      </c>
      <c r="N64" s="13">
        <f>IF('Données projet'!$A$36&gt;35,N63+M64-V63,IF(A64&lt;'Données projet'!$A$36,$K$205^A64,IF(A64='Données projet'!$A$36,'Données projet'!$B$36,N63+M64-V63)))</f>
        <v>200.00000000000017</v>
      </c>
      <c r="O64" s="13">
        <f>N64*VLOOKUP('Données projet'!$B$9,Paramètres!$A$1:$I$89,3,0)*VLOOKUP('Données projet'!$B$9,Paramètres!$A$1:$I$89,5,0)</f>
        <v>180.96000000000015</v>
      </c>
      <c r="P64" s="13">
        <f t="shared" si="33"/>
        <v>45.535702314871806</v>
      </c>
      <c r="Q64" s="20">
        <f t="shared" si="53"/>
        <v>394.48001486506865</v>
      </c>
      <c r="R64" s="59">
        <f t="shared" si="0"/>
        <v>687.81334819840197</v>
      </c>
      <c r="S64" s="59">
        <f ca="1">AVERAGE(OFFSET($R$3,0,0,'Données projet'!$E$9+1,1))-AVERAGE(OFFSET($H$3,0,0,'Données projet'!$E$9+1,1))</f>
        <v>237.22177246688199</v>
      </c>
      <c r="T64" s="59">
        <f t="shared" si="34"/>
        <v>149.27472147904302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1.3149692940218327</v>
      </c>
      <c r="AB64" s="21">
        <f>EXP(-LN(2)/2)*AB63+(1-EXP(-LN(2)/2))/(LN(2)/2)*V64*Y64*VLOOKUP('Données projet'!$B$9,Paramètres!$A$1:$I$89,3,0)*0.475*44/12</f>
        <v>1.3356109127773283E-4</v>
      </c>
      <c r="AC64" s="22">
        <f t="shared" si="3"/>
        <v>1.3151028551131105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5.6</v>
      </c>
      <c r="AI64" s="13">
        <f>IF('Données projet'!$A$62&gt;35,AI63+AH64-AQ63,IF(A64&lt;'Données projet'!$A$62,$AF$205^A64,IF(A64='Données projet'!$A$62,'Données projet'!$B$62,AI63+AH64-AQ63)))</f>
        <v>221.59999999999997</v>
      </c>
      <c r="AJ64" s="13">
        <f>AI64*VLOOKUP('Données projet'!$B$10,Paramètres!$A$1:$I$89,3,0)*VLOOKUP('Données projet'!$B$10,Paramètres!$A$1:$I$89,5,0)</f>
        <v>193.58975999999998</v>
      </c>
      <c r="AK64" s="13">
        <f t="shared" si="35"/>
        <v>48.332731202087039</v>
      </c>
      <c r="AL64" s="20">
        <f t="shared" si="4"/>
        <v>421.34833884363485</v>
      </c>
      <c r="AM64" s="59">
        <f t="shared" si="5"/>
        <v>714.68167217696816</v>
      </c>
      <c r="AN64" s="59">
        <f ca="1">AVERAGE(OFFSET($AM$3,0,0,'Données projet'!$E$10+1,1))-AVERAGE(OFFSET($H$3,0,0,'Données projet'!$E$10+1,1))</f>
        <v>243.38048563215585</v>
      </c>
      <c r="AO64" s="59">
        <f t="shared" si="36"/>
        <v>372.1604147006675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3.9556175179971924</v>
      </c>
      <c r="AV64" s="21">
        <f>EXP(-LN(2)/25)*AV63+(1-EXP(-LN(2)/25))/(LN(2)/25)*Calculateur!AQ64*Calculateur!AS64*VLOOKUP('Données projet'!$B$10,Paramètres!$A$1:$I$89,3,0)*0.475*44/12</f>
        <v>8.1975227987271868</v>
      </c>
      <c r="AW64" s="21">
        <f>EXP(-LN(2)/2)*AW63+(1-EXP(-LN(2)/2))/(LN(2)/2)*AQ64*AT64*VLOOKUP('Données projet'!$B$10,Paramètres!$A$1:$I$89,3,0)*0.475*44/12</f>
        <v>6.3259253868708492E-4</v>
      </c>
      <c r="AX64" s="21">
        <f t="shared" si="6"/>
        <v>12.153772909263067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13.4</v>
      </c>
      <c r="BD64" s="12">
        <f>IF('Données projet'!$A$88&gt;35,BD63+BC64-BL63,IF(A64&lt;'Données projet'!$A$88,$BA$205^A64,IF(A64='Données projet'!$A$88,'Données projet'!$B$88,BD63+BC64-BL63)))</f>
        <v>493.39999999999986</v>
      </c>
      <c r="BE64" s="13">
        <f>BD64*VLOOKUP('Données projet'!$B$11,Paramètres!$A$1:$I$89,3,0)*VLOOKUP('Données projet'!$B$11,Paramètres!$A$1:$I$89,5,0)</f>
        <v>275.81059999999997</v>
      </c>
      <c r="BF64" s="13">
        <f t="shared" si="37"/>
        <v>66.080892951487996</v>
      </c>
      <c r="BG64" s="20">
        <f t="shared" si="7"/>
        <v>595.46101689050818</v>
      </c>
      <c r="BH64" s="59">
        <f t="shared" si="8"/>
        <v>888.79435022384155</v>
      </c>
      <c r="BI64" s="59">
        <f ca="1">AVERAGE(OFFSET($BH$3,0,0,'Données projet'!$E$11+1,1))-AVERAGE(OFFSET($H$3,0,0,'Données projet'!$E$11+1,1))</f>
        <v>326.31232746914907</v>
      </c>
      <c r="BJ64" s="59">
        <f t="shared" si="38"/>
        <v>330.17137761430297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2.472260948748247</v>
      </c>
      <c r="BQ64" s="21">
        <f>EXP(-LN(2)/25)*BQ63+(1-EXP(-LN(2)/25))/(LN(2)/25)*Calculateur!BL64*Calculateur!BN64*VLOOKUP('Données projet'!$B$11,Paramètres!$A$1:$I$89,3,0)*0.475*44/12</f>
        <v>12.774401253269822</v>
      </c>
      <c r="BR64" s="21">
        <f>EXP(-LN(2)/2)*BR63+(1-EXP(-LN(2)/2))/(LN(2)/2)*BL64*BO64*VLOOKUP('Données projet'!$B$11,Paramètres!$A$1:$I$89,3,0)*0.475*44/12</f>
        <v>7.0180020828500105E-4</v>
      </c>
      <c r="BS64" s="22">
        <f t="shared" si="9"/>
        <v>15.247364002226353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5.6</v>
      </c>
      <c r="BY64" s="12">
        <f>IF('Données projet'!$A$114&gt;35,BY63+BX64-CG63,IF(A64&lt;'Données projet'!$A$114,$BV$205^A64,IF(A64='Données projet'!$A$114,'Données projet'!$B$114,BY63+BX64-CG63)))</f>
        <v>331.5999999999998</v>
      </c>
      <c r="BZ64" s="13">
        <f>BY64*VLOOKUP('Données projet'!$B$12,Paramètres!$A$1:$I$89,3,0)*VLOOKUP('Données projet'!$B$12,Paramètres!$A$1:$I$89,5,0)</f>
        <v>263.82095999999984</v>
      </c>
      <c r="CA64" s="13">
        <f t="shared" si="39"/>
        <v>63.536159374372303</v>
      </c>
      <c r="CB64" s="20">
        <f t="shared" si="10"/>
        <v>570.14698291036473</v>
      </c>
      <c r="CC64" s="59">
        <f t="shared" si="11"/>
        <v>863.4803162436981</v>
      </c>
      <c r="CD64" s="59">
        <f ca="1">AVERAGE(OFFSET($CC$3,0,0,'Données projet'!$E$12+1,1))-AVERAGE(OFFSET($H$3,0,0,'Données projet'!$E$12+1,1))</f>
        <v>314.94704727988847</v>
      </c>
      <c r="CE64" s="59">
        <f t="shared" si="40"/>
        <v>366.49199094166454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2.1191928153699289</v>
      </c>
      <c r="CL64" s="21">
        <f>EXP(-LN(2)/25)*CL63+(1-EXP(-LN(2)/25))/(LN(2)/25)*Calculateur!CG64*Calculateur!CI64*VLOOKUP('Données projet'!$B$12,Paramètres!$A$1:$I$89,3,0)*0.475*44/12</f>
        <v>10.756583724030765</v>
      </c>
      <c r="CM64" s="21">
        <f>EXP(-LN(2)/2)*CM63+(1-EXP(-LN(2)/2))/(LN(2)/2)*CG64*CJ64*VLOOKUP('Données projet'!$B$12,Paramètres!$A$1:$I$89,3,0)*0.475*44/12</f>
        <v>6.2297463848665427E-4</v>
      </c>
      <c r="CN64" s="22">
        <f t="shared" si="12"/>
        <v>12.87639951403918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8.5</v>
      </c>
      <c r="CT64" s="12">
        <f>IF('Données projet'!$A$140&gt;35,CT63+CS64-DB63,IF(A64&lt;'Données projet'!$A$140,$CQ$205^A64,IF(A64='Données projet'!$A$140,'Données projet'!$B$140,CT63+CS64-DB63)))</f>
        <v>253.5</v>
      </c>
      <c r="CU64" s="17">
        <f>CT64*VLOOKUP('Données projet'!$B$13,Paramètres!$A$1:$I$89,3,0)*VLOOKUP('Données projet'!$B$13,Paramètres!$A$1:$I$89,5,0)</f>
        <v>197.73000000000002</v>
      </c>
      <c r="CV64" s="13">
        <f t="shared" si="41"/>
        <v>49.244959487759665</v>
      </c>
      <c r="CW64" s="20">
        <f t="shared" si="13"/>
        <v>430.14805444118139</v>
      </c>
      <c r="CX64" s="59">
        <f t="shared" si="14"/>
        <v>723.4813877745147</v>
      </c>
      <c r="CY64" s="59">
        <f ca="1">AVERAGE(OFFSET($CX$3,0,0,'Données projet'!$E$13+1,1))-AVERAGE(OFFSET($H$3,0,0,'Données projet'!$E$13+1,1))</f>
        <v>261.59434871103355</v>
      </c>
      <c r="CZ64" s="59">
        <f t="shared" si="42"/>
        <v>194.97518096665976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1.123754976703748</v>
      </c>
      <c r="DG64" s="21">
        <f>EXP(-LN(2)/25)*DG63+(1-EXP(-LN(2)/25))/(LN(2)/25)*Calculateur!DB64*Calculateur!DD64*VLOOKUP('Données projet'!$B$13,Paramètres!$A$1:$I$89,3,0)*0.475*44/12</f>
        <v>4.947442255506064</v>
      </c>
      <c r="DH64" s="21">
        <f>EXP(-LN(2)/2)*DH63+(1-EXP(-LN(2)/2))/(LN(2)/2)*DB64*DE64*VLOOKUP('Données projet'!$B$13,Paramètres!$A$1:$I$89,3,0)*0.475*44/12</f>
        <v>4.0442528716641107E-4</v>
      </c>
      <c r="DI64" s="22">
        <f t="shared" si="15"/>
        <v>6.071601657496978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7</v>
      </c>
      <c r="N65" s="13">
        <f>IF('Données projet'!$A$36&gt;35,N64+M65-V64,IF(A65&lt;'Données projet'!$A$36,$K$205^A65,IF(A65='Données projet'!$A$36,'Données projet'!$B$36,N64+M65-V64)))</f>
        <v>207.00000000000017</v>
      </c>
      <c r="O65" s="13">
        <f>N65*VLOOKUP('Données projet'!$B$9,Paramètres!$A$1:$I$89,3,0)*VLOOKUP('Données projet'!$B$9,Paramètres!$A$1:$I$89,5,0)</f>
        <v>187.29360000000014</v>
      </c>
      <c r="P65" s="13">
        <f t="shared" si="33"/>
        <v>46.941107550760456</v>
      </c>
      <c r="Q65" s="20">
        <f t="shared" si="53"/>
        <v>407.95878231757462</v>
      </c>
      <c r="R65" s="59">
        <f t="shared" si="0"/>
        <v>701.29211565090793</v>
      </c>
      <c r="S65" s="59">
        <f ca="1">AVERAGE(OFFSET($R$3,0,0,'Données projet'!$E$9+1,1))-AVERAGE(OFFSET($H$3,0,0,'Données projet'!$E$9+1,1))</f>
        <v>237.22177246688199</v>
      </c>
      <c r="T65" s="59">
        <f t="shared" si="34"/>
        <v>149.27472147904302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1.2790113895255759</v>
      </c>
      <c r="AB65" s="21">
        <f>EXP(-LN(2)/2)*AB64+(1-EXP(-LN(2)/2))/(LN(2)/2)*V65*Y65*VLOOKUP('Données projet'!$B$9,Paramètres!$A$1:$I$89,3,0)*0.475*44/12</f>
        <v>9.4441953345160328E-5</v>
      </c>
      <c r="AC65" s="22">
        <f t="shared" si="3"/>
        <v>1.279105831478921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5.6</v>
      </c>
      <c r="AI65" s="13">
        <f>IF('Données projet'!$A$62&gt;35,AI64+AH65-AQ64,IF(A65&lt;'Données projet'!$A$62,$AF$205^A65,IF(A65='Données projet'!$A$62,'Données projet'!$B$62,AI64+AH65-AQ64)))</f>
        <v>227.19999999999996</v>
      </c>
      <c r="AJ65" s="13">
        <f>AI65*VLOOKUP('Données projet'!$B$10,Paramètres!$A$1:$I$89,3,0)*VLOOKUP('Données projet'!$B$10,Paramètres!$A$1:$I$89,5,0)</f>
        <v>198.48191999999997</v>
      </c>
      <c r="AK65" s="13">
        <f t="shared" si="35"/>
        <v>49.410391887159271</v>
      </c>
      <c r="AL65" s="20">
        <f t="shared" si="4"/>
        <v>431.74577653680234</v>
      </c>
      <c r="AM65" s="59">
        <f t="shared" si="5"/>
        <v>725.07910987013565</v>
      </c>
      <c r="AN65" s="59">
        <f ca="1">AVERAGE(OFFSET($AM$3,0,0,'Données projet'!$E$10+1,1))-AVERAGE(OFFSET($H$3,0,0,'Données projet'!$E$10+1,1))</f>
        <v>243.38048563215585</v>
      </c>
      <c r="AO65" s="59">
        <f t="shared" si="36"/>
        <v>372.1604147006675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3.8780502711577203</v>
      </c>
      <c r="AV65" s="21">
        <f>EXP(-LN(2)/25)*AV64+(1-EXP(-LN(2)/25))/(LN(2)/25)*Calculateur!AQ65*Calculateur!AS65*VLOOKUP('Données projet'!$B$10,Paramètres!$A$1:$I$89,3,0)*0.475*44/12</f>
        <v>7.9733611067070038</v>
      </c>
      <c r="AW65" s="21">
        <f>EXP(-LN(2)/2)*AW64+(1-EXP(-LN(2)/2))/(LN(2)/2)*AQ65*AT65*VLOOKUP('Données projet'!$B$10,Paramètres!$A$1:$I$89,3,0)*0.475*44/12</f>
        <v>4.4731047383365116E-4</v>
      </c>
      <c r="AX65" s="21">
        <f t="shared" si="6"/>
        <v>11.851858688338559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13.4</v>
      </c>
      <c r="BD65" s="12">
        <f>IF('Données projet'!$A$88&gt;35,BD64+BC65-BL64,IF(A65&lt;'Données projet'!$A$88,$BA$205^A65,IF(A65='Données projet'!$A$88,'Données projet'!$B$88,BD64+BC65-BL64)))</f>
        <v>506.79999999999984</v>
      </c>
      <c r="BE65" s="13">
        <f>BD65*VLOOKUP('Données projet'!$B$11,Paramètres!$A$1:$I$89,3,0)*VLOOKUP('Données projet'!$B$11,Paramètres!$A$1:$I$89,5,0)</f>
        <v>283.30119999999988</v>
      </c>
      <c r="BF65" s="13">
        <f t="shared" si="37"/>
        <v>67.664170722499449</v>
      </c>
      <c r="BG65" s="20">
        <f t="shared" si="7"/>
        <v>611.26468734168623</v>
      </c>
      <c r="BH65" s="59">
        <f t="shared" si="8"/>
        <v>904.5980206750196</v>
      </c>
      <c r="BI65" s="59">
        <f ca="1">AVERAGE(OFFSET($BH$3,0,0,'Données projet'!$E$11+1,1))-AVERAGE(OFFSET($H$3,0,0,'Données projet'!$E$11+1,1))</f>
        <v>326.31232746914907</v>
      </c>
      <c r="BJ65" s="59">
        <f t="shared" si="38"/>
        <v>330.17137761430297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2.4237814194735767</v>
      </c>
      <c r="BQ65" s="21">
        <f>EXP(-LN(2)/25)*BQ64+(1-EXP(-LN(2)/25))/(LN(2)/25)*Calculateur!BL65*Calculateur!BN65*VLOOKUP('Données projet'!$B$11,Paramètres!$A$1:$I$89,3,0)*0.475*44/12</f>
        <v>12.425084579222593</v>
      </c>
      <c r="BR65" s="21">
        <f>EXP(-LN(2)/2)*BR64+(1-EXP(-LN(2)/2))/(LN(2)/2)*BL65*BO65*VLOOKUP('Données projet'!$B$11,Paramètres!$A$1:$I$89,3,0)*0.475*44/12</f>
        <v>4.9624768631645571E-4</v>
      </c>
      <c r="BS65" s="22">
        <f t="shared" si="9"/>
        <v>14.849362246382485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5.6</v>
      </c>
      <c r="BY65" s="12">
        <f>IF('Données projet'!$A$114&gt;35,BY64+BX65-CG64,IF(A65&lt;'Données projet'!$A$114,$BV$205^A65,IF(A65='Données projet'!$A$114,'Données projet'!$B$114,BY64+BX65-CG64)))</f>
        <v>337.19999999999982</v>
      </c>
      <c r="BZ65" s="13">
        <f>BY65*VLOOKUP('Données projet'!$B$12,Paramètres!$A$1:$I$89,3,0)*VLOOKUP('Données projet'!$B$12,Paramètres!$A$1:$I$89,5,0)</f>
        <v>268.27631999999988</v>
      </c>
      <c r="CA65" s="13">
        <f t="shared" si="39"/>
        <v>64.483324649413319</v>
      </c>
      <c r="CB65" s="20">
        <f t="shared" si="10"/>
        <v>579.55638109772792</v>
      </c>
      <c r="CC65" s="59">
        <f t="shared" si="11"/>
        <v>872.88971443106129</v>
      </c>
      <c r="CD65" s="59">
        <f ca="1">AVERAGE(OFFSET($CC$3,0,0,'Données projet'!$E$12+1,1))-AVERAGE(OFFSET($H$3,0,0,'Données projet'!$E$12+1,1))</f>
        <v>314.94704727988847</v>
      </c>
      <c r="CE65" s="59">
        <f t="shared" si="40"/>
        <v>366.49199094166454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2.0776367368405104</v>
      </c>
      <c r="CL65" s="21">
        <f>EXP(-LN(2)/25)*CL64+(1-EXP(-LN(2)/25))/(LN(2)/25)*Calculateur!CG65*Calculateur!CI65*VLOOKUP('Données projet'!$B$12,Paramètres!$A$1:$I$89,3,0)*0.475*44/12</f>
        <v>10.462444376432991</v>
      </c>
      <c r="CM65" s="21">
        <f>EXP(-LN(2)/2)*CM64+(1-EXP(-LN(2)/2))/(LN(2)/2)*CG65*CJ65*VLOOKUP('Données projet'!$B$12,Paramètres!$A$1:$I$89,3,0)*0.475*44/12</f>
        <v>4.405095913811512E-4</v>
      </c>
      <c r="CN65" s="22">
        <f t="shared" si="12"/>
        <v>12.540521622864883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8.5</v>
      </c>
      <c r="CT65" s="12">
        <f>IF('Données projet'!$A$140&gt;35,CT64+CS65-DB64,IF(A65&lt;'Données projet'!$A$140,$CQ$205^A65,IF(A65='Données projet'!$A$140,'Données projet'!$B$140,CT64+CS65-DB64)))</f>
        <v>262</v>
      </c>
      <c r="CU65" s="17">
        <f>CT65*VLOOKUP('Données projet'!$B$13,Paramètres!$A$1:$I$89,3,0)*VLOOKUP('Données projet'!$B$13,Paramètres!$A$1:$I$89,5,0)</f>
        <v>204.36</v>
      </c>
      <c r="CV65" s="13">
        <f t="shared" si="41"/>
        <v>50.701157790815216</v>
      </c>
      <c r="CW65" s="20">
        <f t="shared" si="13"/>
        <v>444.23151648566983</v>
      </c>
      <c r="CX65" s="59">
        <f t="shared" si="14"/>
        <v>737.56484981900314</v>
      </c>
      <c r="CY65" s="59">
        <f ca="1">AVERAGE(OFFSET($CX$3,0,0,'Données projet'!$E$13+1,1))-AVERAGE(OFFSET($H$3,0,0,'Données projet'!$E$13+1,1))</f>
        <v>261.59434871103355</v>
      </c>
      <c r="CZ65" s="59">
        <f t="shared" si="42"/>
        <v>194.97518096665976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1.1017188270334435</v>
      </c>
      <c r="DG65" s="21">
        <f>EXP(-LN(2)/25)*DG64+(1-EXP(-LN(2)/25))/(LN(2)/25)*Calculateur!DB65*Calculateur!DD65*VLOOKUP('Données projet'!$B$13,Paramètres!$A$1:$I$89,3,0)*0.475*44/12</f>
        <v>4.8121541868545696</v>
      </c>
      <c r="DH65" s="21">
        <f>EXP(-LN(2)/2)*DH64+(1-EXP(-LN(2)/2))/(LN(2)/2)*DB65*DE65*VLOOKUP('Données projet'!$B$13,Paramètres!$A$1:$I$89,3,0)*0.475*44/12</f>
        <v>2.8597186303868608E-4</v>
      </c>
      <c r="DI65" s="22">
        <f t="shared" si="15"/>
        <v>5.9141589857510519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7</v>
      </c>
      <c r="N66" s="13">
        <f>IF('Données projet'!$A$36&gt;35,N65+M66-V65,IF(A66&lt;'Données projet'!$A$36,$K$205^A66,IF(A66='Données projet'!$A$36,'Données projet'!$B$36,N65+M66-V65)))</f>
        <v>214.00000000000017</v>
      </c>
      <c r="O66" s="13">
        <f>N66*VLOOKUP('Données projet'!$B$9,Paramètres!$A$1:$I$89,3,0)*VLOOKUP('Données projet'!$B$9,Paramètres!$A$1:$I$89,5,0)</f>
        <v>193.62720000000016</v>
      </c>
      <c r="P66" s="13">
        <f t="shared" si="33"/>
        <v>48.340990547231236</v>
      </c>
      <c r="Q66" s="20">
        <f t="shared" si="53"/>
        <v>421.42793186976132</v>
      </c>
      <c r="R66" s="59">
        <f t="shared" si="0"/>
        <v>714.76126520309458</v>
      </c>
      <c r="S66" s="59">
        <f ca="1">AVERAGE(OFFSET($R$3,0,0,'Données projet'!$E$9+1,1))-AVERAGE(OFFSET($H$3,0,0,'Données projet'!$E$9+1,1))</f>
        <v>237.22177246688199</v>
      </c>
      <c r="T66" s="59">
        <f t="shared" si="34"/>
        <v>149.27472147904302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1.2440367558187133</v>
      </c>
      <c r="AB66" s="21">
        <f>EXP(-LN(2)/2)*AB65+(1-EXP(-LN(2)/2))/(LN(2)/2)*V66*Y66*VLOOKUP('Données projet'!$B$9,Paramètres!$A$1:$I$89,3,0)*0.475*44/12</f>
        <v>6.6780545638866413E-5</v>
      </c>
      <c r="AC66" s="22">
        <f t="shared" si="3"/>
        <v>1.2441035363643522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5.6</v>
      </c>
      <c r="AI66" s="13">
        <f>IF('Données projet'!$A$62&gt;35,AI65+AH66-AQ65,IF(A66&lt;'Données projet'!$A$62,$AF$205^A66,IF(A66='Données projet'!$A$62,'Données projet'!$B$62,AI65+AH66-AQ65)))</f>
        <v>232.79999999999995</v>
      </c>
      <c r="AJ66" s="13">
        <f>AI66*VLOOKUP('Données projet'!$B$10,Paramètres!$A$1:$I$89,3,0)*VLOOKUP('Données projet'!$B$10,Paramètres!$A$1:$I$89,5,0)</f>
        <v>203.37407999999999</v>
      </c>
      <c r="AK66" s="13">
        <f t="shared" si="35"/>
        <v>50.484964849140574</v>
      </c>
      <c r="AL66" s="20">
        <f t="shared" si="4"/>
        <v>442.1378364455864</v>
      </c>
      <c r="AM66" s="59">
        <f t="shared" si="5"/>
        <v>735.47116977891972</v>
      </c>
      <c r="AN66" s="59">
        <f ca="1">AVERAGE(OFFSET($AM$3,0,0,'Données projet'!$E$10+1,1))-AVERAGE(OFFSET($H$3,0,0,'Données projet'!$E$10+1,1))</f>
        <v>243.38048563215585</v>
      </c>
      <c r="AO66" s="59">
        <f t="shared" si="36"/>
        <v>372.1604147006675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3.8020040707174214</v>
      </c>
      <c r="AV66" s="21">
        <f>EXP(-LN(2)/25)*AV65+(1-EXP(-LN(2)/25))/(LN(2)/25)*Calculateur!AQ66*Calculateur!AS66*VLOOKUP('Données projet'!$B$10,Paramètres!$A$1:$I$89,3,0)*0.475*44/12</f>
        <v>7.7553291279432637</v>
      </c>
      <c r="AW66" s="21">
        <f>EXP(-LN(2)/2)*AW65+(1-EXP(-LN(2)/2))/(LN(2)/2)*AQ66*AT66*VLOOKUP('Données projet'!$B$10,Paramètres!$A$1:$I$89,3,0)*0.475*44/12</f>
        <v>3.1629626934354246E-4</v>
      </c>
      <c r="AX66" s="21">
        <f t="shared" si="6"/>
        <v>11.557649494930029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13.4</v>
      </c>
      <c r="BD66" s="12">
        <f>IF('Données projet'!$A$88&gt;35,BD65+BC66-BL65,IF(A66&lt;'Données projet'!$A$88,$BA$205^A66,IF(A66='Données projet'!$A$88,'Données projet'!$B$88,BD65+BC66-BL65)))</f>
        <v>520.19999999999982</v>
      </c>
      <c r="BE66" s="13">
        <f>BD66*VLOOKUP('Données projet'!$B$11,Paramètres!$A$1:$I$89,3,0)*VLOOKUP('Données projet'!$B$11,Paramètres!$A$1:$I$89,5,0)</f>
        <v>290.79179999999991</v>
      </c>
      <c r="BF66" s="13">
        <f t="shared" si="37"/>
        <v>69.242582588470327</v>
      </c>
      <c r="BG66" s="20">
        <f t="shared" si="7"/>
        <v>627.05988300825231</v>
      </c>
      <c r="BH66" s="59">
        <f t="shared" si="8"/>
        <v>920.39321634158568</v>
      </c>
      <c r="BI66" s="59">
        <f ca="1">AVERAGE(OFFSET($BH$3,0,0,'Données projet'!$E$11+1,1))-AVERAGE(OFFSET($H$3,0,0,'Données projet'!$E$11+1,1))</f>
        <v>326.31232746914907</v>
      </c>
      <c r="BJ66" s="59">
        <f t="shared" si="38"/>
        <v>330.17137761430297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2.3762525441983899</v>
      </c>
      <c r="BQ66" s="21">
        <f>EXP(-LN(2)/25)*BQ65+(1-EXP(-LN(2)/25))/(LN(2)/25)*Calculateur!BL66*Calculateur!BN66*VLOOKUP('Données projet'!$B$11,Paramètres!$A$1:$I$89,3,0)*0.475*44/12</f>
        <v>12.085319987996952</v>
      </c>
      <c r="BR66" s="21">
        <f>EXP(-LN(2)/2)*BR65+(1-EXP(-LN(2)/2))/(LN(2)/2)*BL66*BO66*VLOOKUP('Données projet'!$B$11,Paramètres!$A$1:$I$89,3,0)*0.475*44/12</f>
        <v>3.5090010414250052E-4</v>
      </c>
      <c r="BS66" s="22">
        <f t="shared" si="9"/>
        <v>14.461923432299486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5.6</v>
      </c>
      <c r="BY66" s="12">
        <f>IF('Données projet'!$A$114&gt;35,BY65+BX66-CG65,IF(A66&lt;'Données projet'!$A$114,$BV$205^A66,IF(A66='Données projet'!$A$114,'Données projet'!$B$114,BY65+BX66-CG65)))</f>
        <v>342.79999999999984</v>
      </c>
      <c r="BZ66" s="13">
        <f>BY66*VLOOKUP('Données projet'!$B$12,Paramètres!$A$1:$I$89,3,0)*VLOOKUP('Données projet'!$B$12,Paramètres!$A$1:$I$89,5,0)</f>
        <v>272.73167999999987</v>
      </c>
      <c r="CA66" s="13">
        <f t="shared" si="39"/>
        <v>65.428660642640267</v>
      </c>
      <c r="CB66" s="20">
        <f t="shared" si="10"/>
        <v>588.96259328593146</v>
      </c>
      <c r="CC66" s="59">
        <f t="shared" si="11"/>
        <v>882.29592661926472</v>
      </c>
      <c r="CD66" s="59">
        <f ca="1">AVERAGE(OFFSET($CC$3,0,0,'Données projet'!$E$12+1,1))-AVERAGE(OFFSET($H$3,0,0,'Données projet'!$E$12+1,1))</f>
        <v>314.94704727988847</v>
      </c>
      <c r="CE66" s="59">
        <f t="shared" si="40"/>
        <v>366.49199094166454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2.0368955476643484</v>
      </c>
      <c r="CL66" s="21">
        <f>EXP(-LN(2)/25)*CL65+(1-EXP(-LN(2)/25))/(LN(2)/25)*Calculateur!CG66*Calculateur!CI66*VLOOKUP('Données projet'!$B$12,Paramètres!$A$1:$I$89,3,0)*0.475*44/12</f>
        <v>10.176348284763394</v>
      </c>
      <c r="CM66" s="21">
        <f>EXP(-LN(2)/2)*CM65+(1-EXP(-LN(2)/2))/(LN(2)/2)*CG66*CJ66*VLOOKUP('Données projet'!$B$12,Paramètres!$A$1:$I$89,3,0)*0.475*44/12</f>
        <v>3.1148731924332713E-4</v>
      </c>
      <c r="CN66" s="22">
        <f t="shared" si="12"/>
        <v>12.213555319746986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8.5</v>
      </c>
      <c r="CT66" s="12">
        <f>IF('Données projet'!$A$140&gt;35,CT65+CS66-DB65,IF(A66&lt;'Données projet'!$A$140,$CQ$205^A66,IF(A66='Données projet'!$A$140,'Données projet'!$B$140,CT65+CS66-DB65)))</f>
        <v>270.5</v>
      </c>
      <c r="CU66" s="17">
        <f>CT66*VLOOKUP('Données projet'!$B$13,Paramètres!$A$1:$I$89,3,0)*VLOOKUP('Données projet'!$B$13,Paramètres!$A$1:$I$89,5,0)</f>
        <v>210.99</v>
      </c>
      <c r="CV66" s="13">
        <f t="shared" si="41"/>
        <v>52.151866352722827</v>
      </c>
      <c r="CW66" s="20">
        <f t="shared" si="13"/>
        <v>458.30541723099219</v>
      </c>
      <c r="CX66" s="59">
        <f t="shared" si="14"/>
        <v>751.63875056432551</v>
      </c>
      <c r="CY66" s="59">
        <f ca="1">AVERAGE(OFFSET($CX$3,0,0,'Données projet'!$E$13+1,1))-AVERAGE(OFFSET($H$3,0,0,'Données projet'!$E$13+1,1))</f>
        <v>261.59434871103355</v>
      </c>
      <c r="CZ66" s="59">
        <f t="shared" si="42"/>
        <v>194.97518096665976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1.0801147928174495</v>
      </c>
      <c r="DG66" s="21">
        <f>EXP(-LN(2)/25)*DG65+(1-EXP(-LN(2)/25))/(LN(2)/25)*Calculateur!DB66*Calculateur!DD66*VLOOKUP('Données projet'!$B$13,Paramètres!$A$1:$I$89,3,0)*0.475*44/12</f>
        <v>4.6805655775548409</v>
      </c>
      <c r="DH66" s="21">
        <f>EXP(-LN(2)/2)*DH65+(1-EXP(-LN(2)/2))/(LN(2)/2)*DB66*DE66*VLOOKUP('Données projet'!$B$13,Paramètres!$A$1:$I$89,3,0)*0.475*44/12</f>
        <v>2.0221264358320554E-4</v>
      </c>
      <c r="DI66" s="22">
        <f t="shared" si="15"/>
        <v>5.7608825830158734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7</v>
      </c>
      <c r="N67" s="13">
        <f>IF('Données projet'!$A$36&gt;35,N66+M67-V66,IF(A67&lt;'Données projet'!$A$36,$K$205^A67,IF(A67='Données projet'!$A$36,'Données projet'!$B$36,N66+M67-V66)))</f>
        <v>221.00000000000017</v>
      </c>
      <c r="O67" s="13">
        <f>N67*VLOOKUP('Données projet'!$B$9,Paramètres!$A$1:$I$89,3,0)*VLOOKUP('Données projet'!$B$9,Paramètres!$A$1:$I$89,5,0)</f>
        <v>199.96080000000015</v>
      </c>
      <c r="P67" s="13">
        <f t="shared" si="33"/>
        <v>49.735552653569265</v>
      </c>
      <c r="Q67" s="20">
        <f t="shared" ref="Q67:Q98" si="54">(O67+P67)*0.475*44/12</f>
        <v>434.88781420496679</v>
      </c>
      <c r="R67" s="59">
        <f t="shared" ref="R67:R130" si="55">Q67+(I67+J67)*44/12</f>
        <v>728.2211475383001</v>
      </c>
      <c r="S67" s="59">
        <f ca="1">AVERAGE(OFFSET($R$3,0,0,'Données projet'!$E$9+1,1))-AVERAGE(OFFSET($H$3,0,0,'Données projet'!$E$9+1,1))</f>
        <v>237.22177246688199</v>
      </c>
      <c r="T67" s="59">
        <f t="shared" si="34"/>
        <v>149.27472147904302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1.2100185053098009</v>
      </c>
      <c r="AB67" s="21">
        <f>EXP(-LN(2)/2)*AB66+(1-EXP(-LN(2)/2))/(LN(2)/2)*V67*Y67*VLOOKUP('Données projet'!$B$9,Paramètres!$A$1:$I$89,3,0)*0.475*44/12</f>
        <v>4.7220976672580164E-5</v>
      </c>
      <c r="AC67" s="22">
        <f t="shared" si="3"/>
        <v>1.2100657262864736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5.6</v>
      </c>
      <c r="AI67" s="13">
        <f>IF('Données projet'!$A$62&gt;35,AI66+AH67-AQ66,IF(A67&lt;'Données projet'!$A$62,$AF$205^A67,IF(A67='Données projet'!$A$62,'Données projet'!$B$62,AI66+AH67-AQ66)))</f>
        <v>238.39999999999995</v>
      </c>
      <c r="AJ67" s="13">
        <f>AI67*VLOOKUP('Données projet'!$B$10,Paramètres!$A$1:$I$89,3,0)*VLOOKUP('Données projet'!$B$10,Paramètres!$A$1:$I$89,5,0)</f>
        <v>208.26623999999998</v>
      </c>
      <c r="AK67" s="13">
        <f t="shared" si="35"/>
        <v>51.556532908951887</v>
      </c>
      <c r="AL67" s="20">
        <f t="shared" si="4"/>
        <v>452.5246628164245</v>
      </c>
      <c r="AM67" s="59">
        <f t="shared" si="5"/>
        <v>745.85799614975781</v>
      </c>
      <c r="AN67" s="59">
        <f ca="1">AVERAGE(OFFSET($AM$3,0,0,'Données projet'!$E$10+1,1))-AVERAGE(OFFSET($H$3,0,0,'Données projet'!$E$10+1,1))</f>
        <v>243.38048563215585</v>
      </c>
      <c r="AO67" s="59">
        <f t="shared" si="36"/>
        <v>372.1604147006675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3.7274490898841544</v>
      </c>
      <c r="AV67" s="21">
        <f>EXP(-LN(2)/25)*AV66+(1-EXP(-LN(2)/25))/(LN(2)/25)*Calculateur!AQ67*Calculateur!AS67*VLOOKUP('Données projet'!$B$10,Paramètres!$A$1:$I$89,3,0)*0.475*44/12</f>
        <v>7.543259245104621</v>
      </c>
      <c r="AW67" s="21">
        <f>EXP(-LN(2)/2)*AW66+(1-EXP(-LN(2)/2))/(LN(2)/2)*AQ67*AT67*VLOOKUP('Données projet'!$B$10,Paramètres!$A$1:$I$89,3,0)*0.475*44/12</f>
        <v>2.2365523691682558E-4</v>
      </c>
      <c r="AX67" s="21">
        <f t="shared" si="6"/>
        <v>11.270931990225693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13.4</v>
      </c>
      <c r="BD67" s="12">
        <f>IF('Données projet'!$A$88&gt;35,BD66+BC67-BL66,IF(A67&lt;'Données projet'!$A$88,$BA$205^A67,IF(A67='Données projet'!$A$88,'Données projet'!$B$88,BD66+BC67-BL66)))</f>
        <v>533.5999999999998</v>
      </c>
      <c r="BE67" s="13">
        <f>BD67*VLOOKUP('Données projet'!$B$11,Paramètres!$A$1:$I$89,3,0)*VLOOKUP('Données projet'!$B$11,Paramètres!$A$1:$I$89,5,0)</f>
        <v>298.28239999999988</v>
      </c>
      <c r="BF67" s="13">
        <f t="shared" si="37"/>
        <v>70.816268303381889</v>
      </c>
      <c r="BG67" s="20">
        <f t="shared" si="7"/>
        <v>642.84684729505659</v>
      </c>
      <c r="BH67" s="59">
        <f t="shared" si="8"/>
        <v>936.18018062838996</v>
      </c>
      <c r="BI67" s="59">
        <f ca="1">AVERAGE(OFFSET($BH$3,0,0,'Données projet'!$E$11+1,1))-AVERAGE(OFFSET($H$3,0,0,'Données projet'!$E$11+1,1))</f>
        <v>326.31232746914907</v>
      </c>
      <c r="BJ67" s="59">
        <f t="shared" si="38"/>
        <v>330.17137761430297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2.3296556811775981</v>
      </c>
      <c r="BQ67" s="21">
        <f>EXP(-LN(2)/25)*BQ66+(1-EXP(-LN(2)/25))/(LN(2)/25)*Calculateur!BL67*Calculateur!BN67*VLOOKUP('Données projet'!$B$11,Paramètres!$A$1:$I$89,3,0)*0.475*44/12</f>
        <v>11.754846277385818</v>
      </c>
      <c r="BR67" s="21">
        <f>EXP(-LN(2)/2)*BR66+(1-EXP(-LN(2)/2))/(LN(2)/2)*BL67*BO67*VLOOKUP('Données projet'!$B$11,Paramètres!$A$1:$I$89,3,0)*0.475*44/12</f>
        <v>2.4812384315822786E-4</v>
      </c>
      <c r="BS67" s="22">
        <f t="shared" si="9"/>
        <v>14.084750082406575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5.6</v>
      </c>
      <c r="BY67" s="12">
        <f>IF('Données projet'!$A$114&gt;35,BY66+BX67-CG66,IF(A67&lt;'Données projet'!$A$114,$BV$205^A67,IF(A67='Données projet'!$A$114,'Données projet'!$B$114,BY66+BX67-CG66)))</f>
        <v>348.39999999999986</v>
      </c>
      <c r="BZ67" s="13">
        <f>BY67*VLOOKUP('Données projet'!$B$12,Paramètres!$A$1:$I$89,3,0)*VLOOKUP('Données projet'!$B$12,Paramètres!$A$1:$I$89,5,0)</f>
        <v>277.18703999999991</v>
      </c>
      <c r="CA67" s="13">
        <f t="shared" si="39"/>
        <v>66.372200687001879</v>
      </c>
      <c r="CB67" s="20">
        <f t="shared" si="10"/>
        <v>598.36567752986139</v>
      </c>
      <c r="CC67" s="59">
        <f t="shared" si="11"/>
        <v>891.69901086319464</v>
      </c>
      <c r="CD67" s="59">
        <f ca="1">AVERAGE(OFFSET($CC$3,0,0,'Données projet'!$E$12+1,1))-AVERAGE(OFFSET($H$3,0,0,'Données projet'!$E$12+1,1))</f>
        <v>314.94704727988847</v>
      </c>
      <c r="CE67" s="59">
        <f t="shared" si="40"/>
        <v>366.49199094166454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1.9969532683582594</v>
      </c>
      <c r="CL67" s="21">
        <f>EXP(-LN(2)/25)*CL66+(1-EXP(-LN(2)/25))/(LN(2)/25)*Calculateur!CG67*Calculateur!CI67*VLOOKUP('Données projet'!$B$12,Paramètres!$A$1:$I$89,3,0)*0.475*44/12</f>
        <v>9.8980755057656413</v>
      </c>
      <c r="CM67" s="21">
        <f>EXP(-LN(2)/2)*CM66+(1-EXP(-LN(2)/2))/(LN(2)/2)*CG67*CJ67*VLOOKUP('Données projet'!$B$12,Paramètres!$A$1:$I$89,3,0)*0.475*44/12</f>
        <v>2.202547956905756E-4</v>
      </c>
      <c r="CN67" s="22">
        <f t="shared" si="12"/>
        <v>11.895249028919592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8.5</v>
      </c>
      <c r="CT67" s="12">
        <f>IF('Données projet'!$A$140&gt;35,CT66+CS67-DB66,IF(A67&lt;'Données projet'!$A$140,$CQ$205^A67,IF(A67='Données projet'!$A$140,'Données projet'!$B$140,CT66+CS67-DB66)))</f>
        <v>279</v>
      </c>
      <c r="CU67" s="17">
        <f>CT67*VLOOKUP('Données projet'!$B$13,Paramètres!$A$1:$I$89,3,0)*VLOOKUP('Données projet'!$B$13,Paramètres!$A$1:$I$89,5,0)</f>
        <v>217.62</v>
      </c>
      <c r="CV67" s="13">
        <f t="shared" si="41"/>
        <v>53.597277471320098</v>
      </c>
      <c r="CW67" s="20">
        <f t="shared" si="13"/>
        <v>472.37009159588257</v>
      </c>
      <c r="CX67" s="59">
        <f t="shared" si="14"/>
        <v>765.70342492921588</v>
      </c>
      <c r="CY67" s="59">
        <f ca="1">AVERAGE(OFFSET($CX$3,0,0,'Données projet'!$E$13+1,1))-AVERAGE(OFFSET($H$3,0,0,'Données projet'!$E$13+1,1))</f>
        <v>261.59434871103355</v>
      </c>
      <c r="CZ67" s="59">
        <f t="shared" si="42"/>
        <v>194.97518096665976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1.0589344005352714</v>
      </c>
      <c r="DG67" s="21">
        <f>EXP(-LN(2)/25)*DG66+(1-EXP(-LN(2)/25))/(LN(2)/25)*Calculateur!DB67*Calculateur!DD67*VLOOKUP('Données projet'!$B$13,Paramètres!$A$1:$I$89,3,0)*0.475*44/12</f>
        <v>4.5525752656963574</v>
      </c>
      <c r="DH67" s="21">
        <f>EXP(-LN(2)/2)*DH66+(1-EXP(-LN(2)/2))/(LN(2)/2)*DB67*DE67*VLOOKUP('Données projet'!$B$13,Paramètres!$A$1:$I$89,3,0)*0.475*44/12</f>
        <v>1.4298593151934304E-4</v>
      </c>
      <c r="DI67" s="22">
        <f t="shared" si="15"/>
        <v>5.6116526521631478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7</v>
      </c>
      <c r="N68" s="13">
        <f>IF('Données projet'!$A$36&gt;35,N67+M68-V67,IF(A68&lt;'Données projet'!$A$36,$K$205^A68,IF(A68='Données projet'!$A$36,'Données projet'!$B$36,N67+M68-V67)))</f>
        <v>228.00000000000017</v>
      </c>
      <c r="O68" s="13">
        <f>N68*VLOOKUP('Données projet'!$B$9,Paramètres!$A$1:$I$89,3,0)*VLOOKUP('Données projet'!$B$9,Paramètres!$A$1:$I$89,5,0)</f>
        <v>206.29440000000017</v>
      </c>
      <c r="P68" s="13">
        <f t="shared" si="33"/>
        <v>51.124981739560774</v>
      </c>
      <c r="Q68" s="20">
        <f t="shared" si="54"/>
        <v>448.33875652973529</v>
      </c>
      <c r="R68" s="59">
        <f t="shared" si="55"/>
        <v>741.67208986306855</v>
      </c>
      <c r="S68" s="59">
        <f ca="1">AVERAGE(OFFSET($R$3,0,0,'Données projet'!$E$9+1,1))-AVERAGE(OFFSET($H$3,0,0,'Données projet'!$E$9+1,1))</f>
        <v>237.22177246688199</v>
      </c>
      <c r="T68" s="59">
        <f t="shared" si="34"/>
        <v>149.27472147904302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1.1769304856499967</v>
      </c>
      <c r="AB68" s="21">
        <f>EXP(-LN(2)/2)*AB67+(1-EXP(-LN(2)/2))/(LN(2)/2)*V68*Y68*VLOOKUP('Données projet'!$B$9,Paramètres!$A$1:$I$89,3,0)*0.475*44/12</f>
        <v>3.3390272819433207E-5</v>
      </c>
      <c r="AC68" s="22">
        <f t="shared" ref="AC68:AC131" si="57">SUM(Z68:AB68)</f>
        <v>1.176963875922816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5.6</v>
      </c>
      <c r="AI68" s="13">
        <f>IF('Données projet'!$A$62&gt;35,AI67+AH68-AQ67,IF(A68&lt;'Données projet'!$A$62,$AF$205^A68,IF(A68='Données projet'!$A$62,'Données projet'!$B$62,AI67+AH68-AQ67)))</f>
        <v>243.99999999999994</v>
      </c>
      <c r="AJ68" s="13">
        <f>AI68*VLOOKUP('Données projet'!$B$10,Paramètres!$A$1:$I$89,3,0)*VLOOKUP('Données projet'!$B$10,Paramètres!$A$1:$I$89,5,0)</f>
        <v>213.15839999999997</v>
      </c>
      <c r="AK68" s="13">
        <f t="shared" si="35"/>
        <v>52.62517477463237</v>
      </c>
      <c r="AL68" s="20">
        <f t="shared" ref="AL68:AL131" si="58">(AJ68+AK68)*0.475*44/12</f>
        <v>462.90639273248468</v>
      </c>
      <c r="AM68" s="59">
        <f t="shared" ref="AM68:AM131" si="59">AL68+(AD68+AE68)*44/12</f>
        <v>756.23972606581799</v>
      </c>
      <c r="AN68" s="59">
        <f ca="1">AVERAGE(OFFSET($AM$3,0,0,'Données projet'!$E$10+1,1))-AVERAGE(OFFSET($H$3,0,0,'Données projet'!$E$10+1,1))</f>
        <v>243.38048563215585</v>
      </c>
      <c r="AO68" s="59">
        <f t="shared" si="36"/>
        <v>372.1604147006675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3.6543560867509797</v>
      </c>
      <c r="AV68" s="21">
        <f>EXP(-LN(2)/25)*AV67+(1-EXP(-LN(2)/25))/(LN(2)/25)*Calculateur!AQ68*Calculateur!AS68*VLOOKUP('Données projet'!$B$10,Paramètres!$A$1:$I$89,3,0)*0.475*44/12</f>
        <v>7.3369884243644714</v>
      </c>
      <c r="AW68" s="21">
        <f>EXP(-LN(2)/2)*AW67+(1-EXP(-LN(2)/2))/(LN(2)/2)*AQ68*AT68*VLOOKUP('Données projet'!$B$10,Paramètres!$A$1:$I$89,3,0)*0.475*44/12</f>
        <v>1.5814813467177123E-4</v>
      </c>
      <c r="AX68" s="21">
        <f t="shared" ref="AX68:AX131" si="60">SUM(AU68:AW68)</f>
        <v>10.991502659250122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13.4</v>
      </c>
      <c r="BD68" s="12">
        <f>IF('Données projet'!$A$88&gt;35,BD67+BC68-BL67,IF(A68&lt;'Données projet'!$A$88,$BA$205^A68,IF(A68='Données projet'!$A$88,'Données projet'!$B$88,BD67+BC68-BL67)))</f>
        <v>546.99999999999977</v>
      </c>
      <c r="BE68" s="13">
        <f>BD68*VLOOKUP('Données projet'!$B$11,Paramètres!$A$1:$I$89,3,0)*VLOOKUP('Données projet'!$B$11,Paramètres!$A$1:$I$89,5,0)</f>
        <v>305.77299999999985</v>
      </c>
      <c r="BF68" s="13">
        <f t="shared" si="37"/>
        <v>72.385360202068057</v>
      </c>
      <c r="BG68" s="20">
        <f t="shared" ref="BG68:BG131" si="61">(BE68+BF68)*0.475*44/12</f>
        <v>658.62581068526822</v>
      </c>
      <c r="BH68" s="59">
        <f t="shared" ref="BH68:BH131" si="62">BG68+(AY68+AZ68)*44/12</f>
        <v>951.95914401860159</v>
      </c>
      <c r="BI68" s="59">
        <f ca="1">AVERAGE(OFFSET($BH$3,0,0,'Données projet'!$E$11+1,1))-AVERAGE(OFFSET($H$3,0,0,'Données projet'!$E$11+1,1))</f>
        <v>326.31232746914907</v>
      </c>
      <c r="BJ68" s="59">
        <f t="shared" si="38"/>
        <v>330.17137761430297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2.2839725542193636</v>
      </c>
      <c r="BQ68" s="21">
        <f>EXP(-LN(2)/25)*BQ67+(1-EXP(-LN(2)/25))/(LN(2)/25)*Calculateur!BL68*Calculateur!BN68*VLOOKUP('Données projet'!$B$11,Paramètres!$A$1:$I$89,3,0)*0.475*44/12</f>
        <v>11.433409387770203</v>
      </c>
      <c r="BR68" s="21">
        <f>EXP(-LN(2)/2)*BR67+(1-EXP(-LN(2)/2))/(LN(2)/2)*BL68*BO68*VLOOKUP('Données projet'!$B$11,Paramètres!$A$1:$I$89,3,0)*0.475*44/12</f>
        <v>1.7545005207125026E-4</v>
      </c>
      <c r="BS68" s="22">
        <f t="shared" ref="BS68:BS131" si="63">SUM(BP68:BR68)</f>
        <v>13.717557392041638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5.6</v>
      </c>
      <c r="BY68" s="12">
        <f>IF('Données projet'!$A$114&gt;35,BY67+BX68-CG67,IF(A68&lt;'Données projet'!$A$114,$BV$205^A68,IF(A68='Données projet'!$A$114,'Données projet'!$B$114,BY67+BX68-CG67)))</f>
        <v>353.99999999999989</v>
      </c>
      <c r="BZ68" s="13">
        <f>BY68*VLOOKUP('Données projet'!$B$12,Paramètres!$A$1:$I$89,3,0)*VLOOKUP('Données projet'!$B$12,Paramètres!$A$1:$I$89,5,0)</f>
        <v>281.6423999999999</v>
      </c>
      <c r="CA68" s="13">
        <f t="shared" si="39"/>
        <v>67.313976982444089</v>
      </c>
      <c r="CB68" s="20">
        <f t="shared" ref="CB68:CB131" si="64">(BZ68+CA68)*0.475*44/12</f>
        <v>607.76568991108991</v>
      </c>
      <c r="CC68" s="59">
        <f t="shared" ref="CC68:CC131" si="65">CB68+(BT68+BU68)*44/12</f>
        <v>901.09902324442328</v>
      </c>
      <c r="CD68" s="59">
        <f ca="1">AVERAGE(OFFSET($CC$3,0,0,'Données projet'!$E$12+1,1))-AVERAGE(OFFSET($H$3,0,0,'Données projet'!$E$12+1,1))</f>
        <v>314.94704727988847</v>
      </c>
      <c r="CE68" s="59">
        <f t="shared" si="40"/>
        <v>366.49199094166454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1.957794232786978</v>
      </c>
      <c r="CL68" s="21">
        <f>EXP(-LN(2)/25)*CL67+(1-EXP(-LN(2)/25))/(LN(2)/25)*Calculateur!CG68*Calculateur!CI68*VLOOKUP('Données projet'!$B$12,Paramètres!$A$1:$I$89,3,0)*0.475*44/12</f>
        <v>9.627412110543311</v>
      </c>
      <c r="CM68" s="21">
        <f>EXP(-LN(2)/2)*CM67+(1-EXP(-LN(2)/2))/(LN(2)/2)*CG68*CJ68*VLOOKUP('Données projet'!$B$12,Paramètres!$A$1:$I$89,3,0)*0.475*44/12</f>
        <v>1.5574365962166357E-4</v>
      </c>
      <c r="CN68" s="22">
        <f t="shared" ref="CN68:CN131" si="66">SUM(CK68:CM68)</f>
        <v>11.58536208698991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8.5</v>
      </c>
      <c r="CT68" s="12">
        <f>IF('Données projet'!$A$140&gt;35,CT67+CS68-DB67,IF(A68&lt;'Données projet'!$A$140,$CQ$205^A68,IF(A68='Données projet'!$A$140,'Données projet'!$B$140,CT67+CS68-DB67)))</f>
        <v>287.5</v>
      </c>
      <c r="CU68" s="17">
        <f>CT68*VLOOKUP('Données projet'!$B$13,Paramètres!$A$1:$I$89,3,0)*VLOOKUP('Données projet'!$B$13,Paramètres!$A$1:$I$89,5,0)</f>
        <v>224.25</v>
      </c>
      <c r="CV68" s="13">
        <f t="shared" si="41"/>
        <v>55.037571061589858</v>
      </c>
      <c r="CW68" s="20">
        <f t="shared" ref="CW68:CW131" si="67">(CU68+CV68)*0.475*44/12</f>
        <v>486.42585293226904</v>
      </c>
      <c r="CX68" s="59">
        <f t="shared" ref="CX68:CX131" si="68">CW68+(CO68+CP68)*44/12</f>
        <v>779.75918626560235</v>
      </c>
      <c r="CY68" s="59">
        <f ca="1">AVERAGE(OFFSET($CX$3,0,0,'Données projet'!$E$13+1,1))-AVERAGE(OFFSET($H$3,0,0,'Données projet'!$E$13+1,1))</f>
        <v>261.59434871103355</v>
      </c>
      <c r="CZ68" s="59">
        <f t="shared" si="42"/>
        <v>194.97518096665976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1.0381693428269831</v>
      </c>
      <c r="DG68" s="21">
        <f>EXP(-LN(2)/25)*DG67+(1-EXP(-LN(2)/25))/(LN(2)/25)*Calculateur!DB68*Calculateur!DD68*VLOOKUP('Données projet'!$B$13,Paramètres!$A$1:$I$89,3,0)*0.475*44/12</f>
        <v>4.4280848556463619</v>
      </c>
      <c r="DH68" s="21">
        <f>EXP(-LN(2)/2)*DH67+(1-EXP(-LN(2)/2))/(LN(2)/2)*DB68*DE68*VLOOKUP('Données projet'!$B$13,Paramètres!$A$1:$I$89,3,0)*0.475*44/12</f>
        <v>1.0110632179160277E-4</v>
      </c>
      <c r="DI68" s="22">
        <f t="shared" ref="DI68:DI131" si="69">SUM(DF68:DH68)</f>
        <v>5.4663553047951368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7</v>
      </c>
      <c r="N69" s="13">
        <f>IF('Données projet'!$A$36&gt;35,N68+M69-V68,IF(A69&lt;'Données projet'!$A$36,$K$205^A69,IF(A69='Données projet'!$A$36,'Données projet'!$B$36,N68+M69-V68)))</f>
        <v>235.00000000000017</v>
      </c>
      <c r="O69" s="13">
        <f>N69*VLOOKUP('Données projet'!$B$9,Paramètres!$A$1:$I$89,3,0)*VLOOKUP('Données projet'!$B$9,Paramètres!$A$1:$I$89,5,0)</f>
        <v>212.62800000000016</v>
      </c>
      <c r="P69" s="13">
        <f t="shared" ref="P69:P132" si="87">EXP(-1.0587+0.8836*LN(O69)+0.284)</f>
        <v>52.509453483719085</v>
      </c>
      <c r="Q69" s="20">
        <f t="shared" si="54"/>
        <v>461.78106481747767</v>
      </c>
      <c r="R69" s="59">
        <f t="shared" si="55"/>
        <v>755.11439815081098</v>
      </c>
      <c r="S69" s="59">
        <f ca="1">AVERAGE(OFFSET($R$3,0,0,'Données projet'!$E$9+1,1))-AVERAGE(OFFSET($H$3,0,0,'Données projet'!$E$9+1,1))</f>
        <v>237.22177246688199</v>
      </c>
      <c r="T69" s="59">
        <f t="shared" ref="T69:T132" si="88">$T$3</f>
        <v>149.27472147904302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1.1447472596278132</v>
      </c>
      <c r="AB69" s="21">
        <f>EXP(-LN(2)/2)*AB68+(1-EXP(-LN(2)/2))/(LN(2)/2)*V69*Y69*VLOOKUP('Données projet'!$B$9,Paramètres!$A$1:$I$89,3,0)*0.475*44/12</f>
        <v>2.3610488336290082E-5</v>
      </c>
      <c r="AC69" s="22">
        <f t="shared" si="57"/>
        <v>1.1447708701161494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5.6</v>
      </c>
      <c r="AI69" s="13">
        <f>IF('Données projet'!$A$62&gt;35,AI68+AH69-AQ68,IF(A69&lt;'Données projet'!$A$62,$AF$205^A69,IF(A69='Données projet'!$A$62,'Données projet'!$B$62,AI68+AH69-AQ68)))</f>
        <v>249.59999999999994</v>
      </c>
      <c r="AJ69" s="13">
        <f>AI69*VLOOKUP('Données projet'!$B$10,Paramètres!$A$1:$I$89,3,0)*VLOOKUP('Données projet'!$B$10,Paramètres!$A$1:$I$89,5,0)</f>
        <v>218.05055999999999</v>
      </c>
      <c r="AK69" s="13">
        <f t="shared" ref="AK69:AK132" si="89">EXP(-1.0587+0.8836*LN(AJ69)+0.284)</f>
        <v>53.690965335220028</v>
      </c>
      <c r="AL69" s="20">
        <f t="shared" si="58"/>
        <v>473.28315662550813</v>
      </c>
      <c r="AM69" s="59">
        <f t="shared" si="59"/>
        <v>766.61648995884138</v>
      </c>
      <c r="AN69" s="59">
        <f ca="1">AVERAGE(OFFSET($AM$3,0,0,'Données projet'!$E$10+1,1))-AVERAGE(OFFSET($H$3,0,0,'Données projet'!$E$10+1,1))</f>
        <v>243.38048563215585</v>
      </c>
      <c r="AO69" s="59">
        <f t="shared" ref="AO69:AO132" si="90">$AO$3</f>
        <v>372.1604147006675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3.5826963928269167</v>
      </c>
      <c r="AV69" s="21">
        <f>EXP(-LN(2)/25)*AV68+(1-EXP(-LN(2)/25))/(LN(2)/25)*Calculateur!AQ69*Calculateur!AS69*VLOOKUP('Données projet'!$B$10,Paramètres!$A$1:$I$89,3,0)*0.475*44/12</f>
        <v>7.136358090064773</v>
      </c>
      <c r="AW69" s="21">
        <f>EXP(-LN(2)/2)*AW68+(1-EXP(-LN(2)/2))/(LN(2)/2)*AQ69*AT69*VLOOKUP('Données projet'!$B$10,Paramètres!$A$1:$I$89,3,0)*0.475*44/12</f>
        <v>1.1182761845841279E-4</v>
      </c>
      <c r="AX69" s="21">
        <f t="shared" si="60"/>
        <v>10.719166310510147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13.4</v>
      </c>
      <c r="BD69" s="12">
        <f>IF('Données projet'!$A$88&gt;35,BD68+BC69-BL68,IF(A69&lt;'Données projet'!$A$88,$BA$205^A69,IF(A69='Données projet'!$A$88,'Données projet'!$B$88,BD68+BC69-BL68)))</f>
        <v>560.39999999999975</v>
      </c>
      <c r="BE69" s="13">
        <f>BD69*VLOOKUP('Données projet'!$B$11,Paramètres!$A$1:$I$89,3,0)*VLOOKUP('Données projet'!$B$11,Paramètres!$A$1:$I$89,5,0)</f>
        <v>313.26359999999988</v>
      </c>
      <c r="BF69" s="13">
        <f t="shared" ref="BF69:BF132" si="91">EXP(-1.0587+0.8836*LN(BE69)+0.284)</f>
        <v>73.949983766039026</v>
      </c>
      <c r="BG69" s="20">
        <f t="shared" si="61"/>
        <v>674.39699172585108</v>
      </c>
      <c r="BH69" s="59">
        <f t="shared" si="62"/>
        <v>967.73032505918445</v>
      </c>
      <c r="BI69" s="59">
        <f ca="1">AVERAGE(OFFSET($BH$3,0,0,'Données projet'!$E$11+1,1))-AVERAGE(OFFSET($H$3,0,0,'Données projet'!$E$11+1,1))</f>
        <v>326.31232746914907</v>
      </c>
      <c r="BJ69" s="59">
        <f t="shared" ref="BJ69:BJ132" si="92">$BJ$3</f>
        <v>330.17137761430297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2.2391852455168242</v>
      </c>
      <c r="BQ69" s="21">
        <f>EXP(-LN(2)/25)*BQ68+(1-EXP(-LN(2)/25))/(LN(2)/25)*Calculateur!BL69*Calculateur!BN69*VLOOKUP('Données projet'!$B$11,Paramètres!$A$1:$I$89,3,0)*0.475*44/12</f>
        <v>11.120762206804759</v>
      </c>
      <c r="BR69" s="21">
        <f>EXP(-LN(2)/2)*BR68+(1-EXP(-LN(2)/2))/(LN(2)/2)*BL69*BO69*VLOOKUP('Données projet'!$B$11,Paramètres!$A$1:$I$89,3,0)*0.475*44/12</f>
        <v>1.2406192157911393E-4</v>
      </c>
      <c r="BS69" s="22">
        <f t="shared" si="63"/>
        <v>13.360071514243161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5.6</v>
      </c>
      <c r="BY69" s="12">
        <f>IF('Données projet'!$A$114&gt;35,BY68+BX69-CG68,IF(A69&lt;'Données projet'!$A$114,$BV$205^A69,IF(A69='Données projet'!$A$114,'Données projet'!$B$114,BY68+BX69-CG68)))</f>
        <v>359.59999999999991</v>
      </c>
      <c r="BZ69" s="13">
        <f>BY69*VLOOKUP('Données projet'!$B$12,Paramètres!$A$1:$I$89,3,0)*VLOOKUP('Données projet'!$B$12,Paramètres!$A$1:$I$89,5,0)</f>
        <v>286.09775999999994</v>
      </c>
      <c r="CA69" s="13">
        <f t="shared" ref="CA69:CA132" si="93">EXP(-1.0587+0.8836*LN(BZ69)+0.284)</f>
        <v>68.254020651723678</v>
      </c>
      <c r="CB69" s="20">
        <f t="shared" si="64"/>
        <v>617.16268463508527</v>
      </c>
      <c r="CC69" s="59">
        <f t="shared" si="65"/>
        <v>910.49601796841853</v>
      </c>
      <c r="CD69" s="59">
        <f ca="1">AVERAGE(OFFSET($CC$3,0,0,'Données projet'!$E$12+1,1))-AVERAGE(OFFSET($H$3,0,0,'Données projet'!$E$12+1,1))</f>
        <v>314.94704727988847</v>
      </c>
      <c r="CE69" s="59">
        <f t="shared" ref="CE69:CE132" si="94">$CE$3</f>
        <v>366.49199094166454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1.9194030820185961</v>
      </c>
      <c r="CL69" s="21">
        <f>EXP(-LN(2)/25)*CL68+(1-EXP(-LN(2)/25))/(LN(2)/25)*Calculateur!CG69*Calculateur!CI69*VLOOKUP('Données projet'!$B$12,Paramètres!$A$1:$I$89,3,0)*0.475*44/12</f>
        <v>9.3641500200969059</v>
      </c>
      <c r="CM69" s="21">
        <f>EXP(-LN(2)/2)*CM68+(1-EXP(-LN(2)/2))/(LN(2)/2)*CG69*CJ69*VLOOKUP('Données projet'!$B$12,Paramètres!$A$1:$I$89,3,0)*0.475*44/12</f>
        <v>1.101273978452878E-4</v>
      </c>
      <c r="CN69" s="22">
        <f t="shared" si="66"/>
        <v>11.283663229513346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8.5</v>
      </c>
      <c r="CT69" s="12">
        <f>IF('Données projet'!$A$140&gt;35,CT68+CS69-DB68,IF(A69&lt;'Données projet'!$A$140,$CQ$205^A69,IF(A69='Données projet'!$A$140,'Données projet'!$B$140,CT68+CS69-DB68)))</f>
        <v>296</v>
      </c>
      <c r="CU69" s="17">
        <f>CT69*VLOOKUP('Données projet'!$B$13,Paramètres!$A$1:$I$89,3,0)*VLOOKUP('Données projet'!$B$13,Paramètres!$A$1:$I$89,5,0)</f>
        <v>230.88</v>
      </c>
      <c r="CV69" s="13">
        <f t="shared" ref="CV69:CV132" si="95">EXP(-1.0587+0.8836*LN(CU69)+0.284)</f>
        <v>56.472915795293673</v>
      </c>
      <c r="CW69" s="20">
        <f t="shared" si="67"/>
        <v>500.4729950101364</v>
      </c>
      <c r="CX69" s="59">
        <f t="shared" si="68"/>
        <v>793.80632834346966</v>
      </c>
      <c r="CY69" s="59">
        <f ca="1">AVERAGE(OFFSET($CX$3,0,0,'Données projet'!$E$13+1,1))-AVERAGE(OFFSET($H$3,0,0,'Données projet'!$E$13+1,1))</f>
        <v>261.59434871103355</v>
      </c>
      <c r="CZ69" s="59">
        <f t="shared" ref="CZ69:CZ132" si="96">$CZ$3</f>
        <v>194.97518096665976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1.0178114752349197</v>
      </c>
      <c r="DG69" s="21">
        <f>EXP(-LN(2)/25)*DG68+(1-EXP(-LN(2)/25))/(LN(2)/25)*Calculateur!DB69*Calculateur!DD69*VLOOKUP('Données projet'!$B$13,Paramètres!$A$1:$I$89,3,0)*0.475*44/12</f>
        <v>4.3069986424058504</v>
      </c>
      <c r="DH69" s="21">
        <f>EXP(-LN(2)/2)*DH68+(1-EXP(-LN(2)/2))/(LN(2)/2)*DB69*DE69*VLOOKUP('Données projet'!$B$13,Paramètres!$A$1:$I$89,3,0)*0.475*44/12</f>
        <v>7.149296575967152E-5</v>
      </c>
      <c r="DI69" s="22">
        <f t="shared" si="69"/>
        <v>5.3248816106065302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7</v>
      </c>
      <c r="N70" s="13">
        <f>IF('Données projet'!$A$36&gt;35,N69+M70-V69,IF(A70&lt;'Données projet'!$A$36,$K$205^A70,IF(A70='Données projet'!$A$36,'Données projet'!$B$36,N69+M70-V69)))</f>
        <v>242.00000000000017</v>
      </c>
      <c r="O70" s="13">
        <f>N70*VLOOKUP('Données projet'!$B$9,Paramètres!$A$1:$I$89,3,0)*VLOOKUP('Données projet'!$B$9,Paramètres!$A$1:$I$89,5,0)</f>
        <v>218.96160000000017</v>
      </c>
      <c r="P70" s="13">
        <f t="shared" si="87"/>
        <v>53.889132503707479</v>
      </c>
      <c r="Q70" s="20">
        <f t="shared" si="54"/>
        <v>475.2150257772908</v>
      </c>
      <c r="R70" s="59">
        <f t="shared" si="55"/>
        <v>768.54835911062412</v>
      </c>
      <c r="S70" s="59">
        <f ca="1">AVERAGE(OFFSET($R$3,0,0,'Données projet'!$E$9+1,1))-AVERAGE(OFFSET($H$3,0,0,'Données projet'!$E$9+1,1))</f>
        <v>237.22177246688199</v>
      </c>
      <c r="T70" s="59">
        <f t="shared" si="88"/>
        <v>149.27472147904302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1.1134440856136487</v>
      </c>
      <c r="AB70" s="21">
        <f>EXP(-LN(2)/2)*AB69+(1-EXP(-LN(2)/2))/(LN(2)/2)*V70*Y70*VLOOKUP('Données projet'!$B$9,Paramètres!$A$1:$I$89,3,0)*0.475*44/12</f>
        <v>1.6695136409716603E-5</v>
      </c>
      <c r="AC70" s="22">
        <f t="shared" si="57"/>
        <v>1.1134607807500585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5.6</v>
      </c>
      <c r="AI70" s="13">
        <f>IF('Données projet'!$A$62&gt;35,AI69+AH70-AQ69,IF(A70&lt;'Données projet'!$A$62,$AF$205^A70,IF(A70='Données projet'!$A$62,'Données projet'!$B$62,AI69+AH70-AQ69)))</f>
        <v>255.19999999999993</v>
      </c>
      <c r="AJ70" s="13">
        <f>AI70*VLOOKUP('Données projet'!$B$10,Paramètres!$A$1:$I$89,3,0)*VLOOKUP('Données projet'!$B$10,Paramètres!$A$1:$I$89,5,0)</f>
        <v>222.94271999999998</v>
      </c>
      <c r="AK70" s="13">
        <f t="shared" si="89"/>
        <v>54.753975927514929</v>
      </c>
      <c r="AL70" s="20">
        <f t="shared" si="58"/>
        <v>483.65507874042174</v>
      </c>
      <c r="AM70" s="59">
        <f t="shared" si="59"/>
        <v>776.98841207375506</v>
      </c>
      <c r="AN70" s="59">
        <f ca="1">AVERAGE(OFFSET($AM$3,0,0,'Données projet'!$E$10+1,1))-AVERAGE(OFFSET($H$3,0,0,'Données projet'!$E$10+1,1))</f>
        <v>243.38048563215585</v>
      </c>
      <c r="AO70" s="59">
        <f t="shared" si="90"/>
        <v>372.1604147006675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3.5124419017926072</v>
      </c>
      <c r="AV70" s="21">
        <f>EXP(-LN(2)/25)*AV69+(1-EXP(-LN(2)/25))/(LN(2)/25)*Calculateur!AQ70*Calculateur!AS70*VLOOKUP('Données projet'!$B$10,Paramètres!$A$1:$I$89,3,0)*0.475*44/12</f>
        <v>6.9412140028071905</v>
      </c>
      <c r="AW70" s="21">
        <f>EXP(-LN(2)/2)*AW69+(1-EXP(-LN(2)/2))/(LN(2)/2)*AQ70*AT70*VLOOKUP('Données projet'!$B$10,Paramètres!$A$1:$I$89,3,0)*0.475*44/12</f>
        <v>7.9074067335885615E-5</v>
      </c>
      <c r="AX70" s="21">
        <f t="shared" si="60"/>
        <v>10.453734978667134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13.4</v>
      </c>
      <c r="BD70" s="12">
        <f>IF('Données projet'!$A$88&gt;35,BD69+BC70-BL69,IF(A70&lt;'Données projet'!$A$88,$BA$205^A70,IF(A70='Données projet'!$A$88,'Données projet'!$B$88,BD69+BC70-BL69)))</f>
        <v>573.79999999999973</v>
      </c>
      <c r="BE70" s="13">
        <f>BD70*VLOOKUP('Données projet'!$B$11,Paramètres!$A$1:$I$89,3,0)*VLOOKUP('Données projet'!$B$11,Paramètres!$A$1:$I$89,5,0)</f>
        <v>320.75419999999986</v>
      </c>
      <c r="BF70" s="13">
        <f t="shared" si="91"/>
        <v>75.510258133660997</v>
      </c>
      <c r="BG70" s="20">
        <f t="shared" si="61"/>
        <v>690.16059791612599</v>
      </c>
      <c r="BH70" s="59">
        <f t="shared" si="62"/>
        <v>983.49393124945937</v>
      </c>
      <c r="BI70" s="59">
        <f ca="1">AVERAGE(OFFSET($BH$3,0,0,'Données projet'!$E$11+1,1))-AVERAGE(OFFSET($H$3,0,0,'Données projet'!$E$11+1,1))</f>
        <v>326.31232746914907</v>
      </c>
      <c r="BJ70" s="59">
        <f t="shared" si="92"/>
        <v>330.17137761430297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2.1952761886203804</v>
      </c>
      <c r="BQ70" s="21">
        <f>EXP(-LN(2)/25)*BQ69+(1-EXP(-LN(2)/25))/(LN(2)/25)*Calculateur!BL70*Calculateur!BN70*VLOOKUP('Données projet'!$B$11,Paramètres!$A$1:$I$89,3,0)*0.475*44/12</f>
        <v>10.816664379444216</v>
      </c>
      <c r="BR70" s="21">
        <f>EXP(-LN(2)/2)*BR69+(1-EXP(-LN(2)/2))/(LN(2)/2)*BL70*BO70*VLOOKUP('Données projet'!$B$11,Paramètres!$A$1:$I$89,3,0)*0.475*44/12</f>
        <v>8.7725026035625131E-5</v>
      </c>
      <c r="BS70" s="22">
        <f t="shared" si="63"/>
        <v>13.012028293090632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5.6</v>
      </c>
      <c r="BY70" s="12">
        <f>IF('Données projet'!$A$114&gt;35,BY69+BX70-CG69,IF(A70&lt;'Données projet'!$A$114,$BV$205^A70,IF(A70='Données projet'!$A$114,'Données projet'!$B$114,BY69+BX70-CG69)))</f>
        <v>365.19999999999993</v>
      </c>
      <c r="BZ70" s="13">
        <f>BY70*VLOOKUP('Données projet'!$B$12,Paramètres!$A$1:$I$89,3,0)*VLOOKUP('Données projet'!$B$12,Paramètres!$A$1:$I$89,5,0)</f>
        <v>290.55311999999998</v>
      </c>
      <c r="CA70" s="13">
        <f t="shared" si="93"/>
        <v>69.192361792646295</v>
      </c>
      <c r="CB70" s="20">
        <f t="shared" si="64"/>
        <v>626.55671412219226</v>
      </c>
      <c r="CC70" s="59">
        <f t="shared" si="65"/>
        <v>919.89004745552552</v>
      </c>
      <c r="CD70" s="59">
        <f ca="1">AVERAGE(OFFSET($CC$3,0,0,'Données projet'!$E$12+1,1))-AVERAGE(OFFSET($H$3,0,0,'Données projet'!$E$12+1,1))</f>
        <v>314.94704727988847</v>
      </c>
      <c r="CE70" s="59">
        <f t="shared" si="94"/>
        <v>366.49199094166454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1.8817647583004924</v>
      </c>
      <c r="CL70" s="21">
        <f>EXP(-LN(2)/25)*CL69+(1-EXP(-LN(2)/25))/(LN(2)/25)*Calculateur!CG70*Calculateur!CI70*VLOOKUP('Données projet'!$B$12,Paramètres!$A$1:$I$89,3,0)*0.475*44/12</f>
        <v>9.108086845358109</v>
      </c>
      <c r="CM70" s="21">
        <f>EXP(-LN(2)/2)*CM69+(1-EXP(-LN(2)/2))/(LN(2)/2)*CG70*CJ70*VLOOKUP('Données projet'!$B$12,Paramètres!$A$1:$I$89,3,0)*0.475*44/12</f>
        <v>7.7871829810831784E-5</v>
      </c>
      <c r="CN70" s="22">
        <f t="shared" si="66"/>
        <v>10.989929475488413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8.5</v>
      </c>
      <c r="CT70" s="12">
        <f>IF('Données projet'!$A$140&gt;35,CT69+CS70-DB69,IF(A70&lt;'Données projet'!$A$140,$CQ$205^A70,IF(A70='Données projet'!$A$140,'Données projet'!$B$140,CT69+CS70-DB69)))</f>
        <v>304.5</v>
      </c>
      <c r="CU70" s="17">
        <f>CT70*VLOOKUP('Données projet'!$B$13,Paramètres!$A$1:$I$89,3,0)*VLOOKUP('Données projet'!$B$13,Paramètres!$A$1:$I$89,5,0)</f>
        <v>237.51000000000002</v>
      </c>
      <c r="CV70" s="13">
        <f t="shared" si="95"/>
        <v>57.90347010602175</v>
      </c>
      <c r="CW70" s="20">
        <f t="shared" si="67"/>
        <v>514.51179376798791</v>
      </c>
      <c r="CX70" s="59">
        <f t="shared" si="68"/>
        <v>807.84512710132117</v>
      </c>
      <c r="CY70" s="59">
        <f ca="1">AVERAGE(OFFSET($CX$3,0,0,'Données projet'!$E$13+1,1))-AVERAGE(OFFSET($H$3,0,0,'Données projet'!$E$13+1,1))</f>
        <v>261.59434871103355</v>
      </c>
      <c r="CZ70" s="59">
        <f t="shared" si="96"/>
        <v>194.97518096665976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0.99785281300926354</v>
      </c>
      <c r="DG70" s="21">
        <f>EXP(-LN(2)/25)*DG69+(1-EXP(-LN(2)/25))/(LN(2)/25)*Calculateur!DB70*Calculateur!DD70*VLOOKUP('Données projet'!$B$13,Paramètres!$A$1:$I$89,3,0)*0.475*44/12</f>
        <v>4.1892235380340477</v>
      </c>
      <c r="DH70" s="21">
        <f>EXP(-LN(2)/2)*DH69+(1-EXP(-LN(2)/2))/(LN(2)/2)*DB70*DE70*VLOOKUP('Données projet'!$B$13,Paramètres!$A$1:$I$89,3,0)*0.475*44/12</f>
        <v>5.0553160895801384E-5</v>
      </c>
      <c r="DI70" s="22">
        <f t="shared" si="69"/>
        <v>5.1871269042042067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7</v>
      </c>
      <c r="N71" s="13">
        <f>IF('Données projet'!$A$36&gt;35,N70+M71-V70,IF(A71&lt;'Données projet'!$A$36,$K$205^A71,IF(A71='Données projet'!$A$36,'Données projet'!$B$36,N70+M71-V70)))</f>
        <v>249.00000000000017</v>
      </c>
      <c r="O71" s="13">
        <f>N71*VLOOKUP('Données projet'!$B$9,Paramètres!$A$1:$I$89,3,0)*VLOOKUP('Données projet'!$B$9,Paramètres!$A$1:$I$89,5,0)</f>
        <v>225.29520000000016</v>
      </c>
      <c r="P71" s="13">
        <f t="shared" si="87"/>
        <v>55.264173352293128</v>
      </c>
      <c r="Q71" s="20">
        <f t="shared" si="54"/>
        <v>488.64090858857736</v>
      </c>
      <c r="R71" s="59">
        <f t="shared" si="55"/>
        <v>781.97424192191068</v>
      </c>
      <c r="S71" s="59">
        <f ca="1">AVERAGE(OFFSET($R$3,0,0,'Données projet'!$E$9+1,1))-AVERAGE(OFFSET($H$3,0,0,'Données projet'!$E$9+1,1))</f>
        <v>237.22177246688199</v>
      </c>
      <c r="T71" s="59">
        <f t="shared" si="88"/>
        <v>149.27472147904302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1.0829968985390639</v>
      </c>
      <c r="AB71" s="21">
        <f>EXP(-LN(2)/2)*AB70+(1-EXP(-LN(2)/2))/(LN(2)/2)*V71*Y71*VLOOKUP('Données projet'!$B$9,Paramètres!$A$1:$I$89,3,0)*0.475*44/12</f>
        <v>1.1805244168145041E-5</v>
      </c>
      <c r="AC71" s="22">
        <f t="shared" si="57"/>
        <v>1.0830087037832321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5.6</v>
      </c>
      <c r="AI71" s="13">
        <f>IF('Données projet'!$A$62&gt;35,AI70+AH71-AQ70,IF(A71&lt;'Données projet'!$A$62,$AF$205^A71,IF(A71='Données projet'!$A$62,'Données projet'!$B$62,AI70+AH71-AQ70)))</f>
        <v>260.79999999999995</v>
      </c>
      <c r="AJ71" s="13">
        <f>AI71*VLOOKUP('Données projet'!$B$10,Paramètres!$A$1:$I$89,3,0)*VLOOKUP('Données projet'!$B$10,Paramètres!$A$1:$I$89,5,0)</f>
        <v>227.83488</v>
      </c>
      <c r="AK71" s="13">
        <f t="shared" si="89"/>
        <v>55.814274578766934</v>
      </c>
      <c r="AL71" s="20">
        <f t="shared" si="58"/>
        <v>494.02227755801908</v>
      </c>
      <c r="AM71" s="59">
        <f t="shared" si="59"/>
        <v>787.3556108913524</v>
      </c>
      <c r="AN71" s="59">
        <f ca="1">AVERAGE(OFFSET($AM$3,0,0,'Données projet'!$E$10+1,1))-AVERAGE(OFFSET($H$3,0,0,'Données projet'!$E$10+1,1))</f>
        <v>243.38048563215585</v>
      </c>
      <c r="AO71" s="59">
        <f t="shared" si="90"/>
        <v>372.1604147006675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3.4435650584764721</v>
      </c>
      <c r="AV71" s="21">
        <f>EXP(-LN(2)/25)*AV70+(1-EXP(-LN(2)/25))/(LN(2)/25)*Calculateur!AQ71*Calculateur!AS71*VLOOKUP('Données projet'!$B$10,Paramètres!$A$1:$I$89,3,0)*0.475*44/12</f>
        <v>6.7514061408778474</v>
      </c>
      <c r="AW71" s="21">
        <f>EXP(-LN(2)/2)*AW70+(1-EXP(-LN(2)/2))/(LN(2)/2)*AQ71*AT71*VLOOKUP('Données projet'!$B$10,Paramètres!$A$1:$I$89,3,0)*0.475*44/12</f>
        <v>5.5913809229206395E-5</v>
      </c>
      <c r="AX71" s="21">
        <f t="shared" si="60"/>
        <v>10.195027113163549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13.4</v>
      </c>
      <c r="BD71" s="12">
        <f>IF('Données projet'!$A$88&gt;35,BD70+BC71-BL70,IF(A71&lt;'Données projet'!$A$88,$BA$205^A71,IF(A71='Données projet'!$A$88,'Données projet'!$B$88,BD70+BC71-BL70)))</f>
        <v>587.1999999999997</v>
      </c>
      <c r="BE71" s="13">
        <f>BD71*VLOOKUP('Données projet'!$B$11,Paramètres!$A$1:$I$89,3,0)*VLOOKUP('Données projet'!$B$11,Paramètres!$A$1:$I$89,5,0)</f>
        <v>328.24479999999983</v>
      </c>
      <c r="BF71" s="13">
        <f t="shared" si="91"/>
        <v>77.066296561336628</v>
      </c>
      <c r="BG71" s="20">
        <f t="shared" si="61"/>
        <v>705.91682651099427</v>
      </c>
      <c r="BH71" s="59">
        <f t="shared" si="62"/>
        <v>999.25015984432753</v>
      </c>
      <c r="BI71" s="59">
        <f ca="1">AVERAGE(OFFSET($BH$3,0,0,'Données projet'!$E$11+1,1))-AVERAGE(OFFSET($H$3,0,0,'Données projet'!$E$11+1,1))</f>
        <v>326.31232746914907</v>
      </c>
      <c r="BJ71" s="59">
        <f t="shared" si="92"/>
        <v>330.17137761430297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2.1522281615477961</v>
      </c>
      <c r="BQ71" s="21">
        <f>EXP(-LN(2)/25)*BQ70+(1-EXP(-LN(2)/25))/(LN(2)/25)*Calculateur!BL71*Calculateur!BN71*VLOOKUP('Données projet'!$B$11,Paramètres!$A$1:$I$89,3,0)*0.475*44/12</f>
        <v>10.520882123164656</v>
      </c>
      <c r="BR71" s="21">
        <f>EXP(-LN(2)/2)*BR70+(1-EXP(-LN(2)/2))/(LN(2)/2)*BL71*BO71*VLOOKUP('Données projet'!$B$11,Paramètres!$A$1:$I$89,3,0)*0.475*44/12</f>
        <v>6.2030960789556964E-5</v>
      </c>
      <c r="BS71" s="22">
        <f t="shared" si="63"/>
        <v>12.673172315673241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5.6</v>
      </c>
      <c r="BY71" s="12">
        <f>IF('Données projet'!$A$114&gt;35,BY70+BX71-CG70,IF(A71&lt;'Données projet'!$A$114,$BV$205^A71,IF(A71='Données projet'!$A$114,'Données projet'!$B$114,BY70+BX71-CG70)))</f>
        <v>370.79999999999995</v>
      </c>
      <c r="BZ71" s="13">
        <f>BY71*VLOOKUP('Données projet'!$B$12,Paramètres!$A$1:$I$89,3,0)*VLOOKUP('Données projet'!$B$12,Paramètres!$A$1:$I$89,5,0)</f>
        <v>295.00847999999996</v>
      </c>
      <c r="CA71" s="13">
        <f t="shared" si="93"/>
        <v>70.12902952701063</v>
      </c>
      <c r="CB71" s="20">
        <f t="shared" si="64"/>
        <v>635.94782909287676</v>
      </c>
      <c r="CC71" s="59">
        <f t="shared" si="65"/>
        <v>929.28116242621013</v>
      </c>
      <c r="CD71" s="59">
        <f ca="1">AVERAGE(OFFSET($CC$3,0,0,'Données projet'!$E$12+1,1))-AVERAGE(OFFSET($H$3,0,0,'Données projet'!$E$12+1,1))</f>
        <v>314.94704727988847</v>
      </c>
      <c r="CE71" s="59">
        <f t="shared" si="94"/>
        <v>366.49199094166454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1.84486449915339</v>
      </c>
      <c r="CL71" s="21">
        <f>EXP(-LN(2)/25)*CL70+(1-EXP(-LN(2)/25))/(LN(2)/25)*Calculateur!CG71*Calculateur!CI71*VLOOKUP('Données projet'!$B$12,Paramètres!$A$1:$I$89,3,0)*0.475*44/12</f>
        <v>8.8590257315983205</v>
      </c>
      <c r="CM71" s="21">
        <f>EXP(-LN(2)/2)*CM70+(1-EXP(-LN(2)/2))/(LN(2)/2)*CG71*CJ71*VLOOKUP('Données projet'!$B$12,Paramètres!$A$1:$I$89,3,0)*0.475*44/12</f>
        <v>5.5063698922643899E-5</v>
      </c>
      <c r="CN71" s="22">
        <f t="shared" si="66"/>
        <v>10.703945294450634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8.5</v>
      </c>
      <c r="CT71" s="12">
        <f>IF('Données projet'!$A$140&gt;35,CT70+CS71-DB70,IF(A71&lt;'Données projet'!$A$140,$CQ$205^A71,IF(A71='Données projet'!$A$140,'Données projet'!$B$140,CT70+CS71-DB70)))</f>
        <v>313</v>
      </c>
      <c r="CU71" s="17">
        <f>CT71*VLOOKUP('Données projet'!$B$13,Paramètres!$A$1:$I$89,3,0)*VLOOKUP('Données projet'!$B$13,Paramètres!$A$1:$I$89,5,0)</f>
        <v>244.14000000000001</v>
      </c>
      <c r="CV71" s="13">
        <f t="shared" si="95"/>
        <v>59.329383078866108</v>
      </c>
      <c r="CW71" s="20">
        <f t="shared" si="67"/>
        <v>528.54250886235855</v>
      </c>
      <c r="CX71" s="59">
        <f t="shared" si="68"/>
        <v>821.8758421956918</v>
      </c>
      <c r="CY71" s="59">
        <f ca="1">AVERAGE(OFFSET($CX$3,0,0,'Données projet'!$E$13+1,1))-AVERAGE(OFFSET($H$3,0,0,'Données projet'!$E$13+1,1))</f>
        <v>261.59434871103355</v>
      </c>
      <c r="CZ71" s="59">
        <f t="shared" si="96"/>
        <v>194.97518096665976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0.97828552797627055</v>
      </c>
      <c r="DG71" s="21">
        <f>EXP(-LN(2)/25)*DG70+(1-EXP(-LN(2)/25))/(LN(2)/25)*Calculateur!DB71*Calculateur!DD71*VLOOKUP('Données projet'!$B$13,Paramètres!$A$1:$I$89,3,0)*0.475*44/12</f>
        <v>4.0746690000848158</v>
      </c>
      <c r="DH71" s="21">
        <f>EXP(-LN(2)/2)*DH70+(1-EXP(-LN(2)/2))/(LN(2)/2)*DB71*DE71*VLOOKUP('Données projet'!$B$13,Paramètres!$A$1:$I$89,3,0)*0.475*44/12</f>
        <v>3.574648287983576E-5</v>
      </c>
      <c r="DI71" s="22">
        <f t="shared" si="69"/>
        <v>5.0529902745439657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7</v>
      </c>
      <c r="N72" s="13">
        <f>IF('Données projet'!$A$36&gt;35,N71+M72-V71,IF(A72&lt;'Données projet'!$A$36,$K$205^A72,IF(A72='Données projet'!$A$36,'Données projet'!$B$36,N71+M72-V71)))</f>
        <v>256.00000000000017</v>
      </c>
      <c r="O72" s="13">
        <f>N72*VLOOKUP('Données projet'!$B$9,Paramètres!$A$1:$I$89,3,0)*VLOOKUP('Données projet'!$B$9,Paramètres!$A$1:$I$89,5,0)</f>
        <v>231.62880000000013</v>
      </c>
      <c r="P72" s="13">
        <f t="shared" si="87"/>
        <v>56.63472139815827</v>
      </c>
      <c r="Q72" s="20">
        <f t="shared" si="54"/>
        <v>502.0589664351258</v>
      </c>
      <c r="R72" s="59">
        <f t="shared" si="55"/>
        <v>795.39229976845911</v>
      </c>
      <c r="S72" s="59">
        <f ca="1">AVERAGE(OFFSET($R$3,0,0,'Données projet'!$E$9+1,1))-AVERAGE(OFFSET($H$3,0,0,'Données projet'!$E$9+1,1))</f>
        <v>237.22177246688199</v>
      </c>
      <c r="T72" s="59">
        <f t="shared" si="88"/>
        <v>149.27472147904302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1.0533822913961814</v>
      </c>
      <c r="AB72" s="21">
        <f>EXP(-LN(2)/2)*AB71+(1-EXP(-LN(2)/2))/(LN(2)/2)*V72*Y72*VLOOKUP('Données projet'!$B$9,Paramètres!$A$1:$I$89,3,0)*0.475*44/12</f>
        <v>8.3475682048583016E-6</v>
      </c>
      <c r="AC72" s="22">
        <f t="shared" si="57"/>
        <v>1.0533906389643863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5.6</v>
      </c>
      <c r="AI72" s="13">
        <f>IF('Données projet'!$A$62&gt;35,AI71+AH72-AQ71,IF(A72&lt;'Données projet'!$A$62,$AF$205^A72,IF(A72='Données projet'!$A$62,'Données projet'!$B$62,AI71+AH72-AQ71)))</f>
        <v>266.39999999999998</v>
      </c>
      <c r="AJ72" s="13">
        <f>AI72*VLOOKUP('Données projet'!$B$10,Paramètres!$A$1:$I$89,3,0)*VLOOKUP('Données projet'!$B$10,Paramètres!$A$1:$I$89,5,0)</f>
        <v>232.72704000000002</v>
      </c>
      <c r="AK72" s="13">
        <f t="shared" si="89"/>
        <v>56.871926227931105</v>
      </c>
      <c r="AL72" s="20">
        <f t="shared" si="58"/>
        <v>504.38486618031328</v>
      </c>
      <c r="AM72" s="59">
        <f t="shared" si="59"/>
        <v>797.7181995136466</v>
      </c>
      <c r="AN72" s="59">
        <f ca="1">AVERAGE(OFFSET($AM$3,0,0,'Données projet'!$E$10+1,1))-AVERAGE(OFFSET($H$3,0,0,'Données projet'!$E$10+1,1))</f>
        <v>243.38048563215585</v>
      </c>
      <c r="AO72" s="59">
        <f t="shared" si="90"/>
        <v>372.1604147006675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3.37603884804704</v>
      </c>
      <c r="AV72" s="21">
        <f>EXP(-LN(2)/25)*AV71+(1-EXP(-LN(2)/25))/(LN(2)/25)*Calculateur!AQ72*Calculateur!AS72*VLOOKUP('Données projet'!$B$10,Paramètres!$A$1:$I$89,3,0)*0.475*44/12</f>
        <v>6.5667885849145247</v>
      </c>
      <c r="AW72" s="21">
        <f>EXP(-LN(2)/2)*AW71+(1-EXP(-LN(2)/2))/(LN(2)/2)*AQ72*AT72*VLOOKUP('Données projet'!$B$10,Paramètres!$A$1:$I$89,3,0)*0.475*44/12</f>
        <v>3.9537033667942807E-5</v>
      </c>
      <c r="AX72" s="21">
        <f t="shared" si="60"/>
        <v>9.942866969995233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13.4</v>
      </c>
      <c r="BD72" s="12">
        <f>IF('Données projet'!$A$88&gt;35,BD71+BC72-BL71,IF(A72&lt;'Données projet'!$A$88,$BA$205^A72,IF(A72='Données projet'!$A$88,'Données projet'!$B$88,BD71+BC72-BL71)))</f>
        <v>600.59999999999968</v>
      </c>
      <c r="BE72" s="13">
        <f>BD72*VLOOKUP('Données projet'!$B$11,Paramètres!$A$1:$I$89,3,0)*VLOOKUP('Données projet'!$B$11,Paramètres!$A$1:$I$89,5,0)</f>
        <v>335.73539999999986</v>
      </c>
      <c r="BF72" s="13">
        <f t="shared" si="91"/>
        <v>78.618206841401843</v>
      </c>
      <c r="BG72" s="20">
        <f t="shared" si="61"/>
        <v>721.66586524877459</v>
      </c>
      <c r="BH72" s="59">
        <f t="shared" si="62"/>
        <v>1014.999198582108</v>
      </c>
      <c r="BI72" s="59">
        <f ca="1">AVERAGE(OFFSET($BH$3,0,0,'Données projet'!$E$11+1,1))-AVERAGE(OFFSET($H$3,0,0,'Données projet'!$E$11+1,1))</f>
        <v>326.31232746914907</v>
      </c>
      <c r="BJ72" s="59">
        <f t="shared" si="92"/>
        <v>330.17137761430297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2.1100242800294011</v>
      </c>
      <c r="BQ72" s="21">
        <f>EXP(-LN(2)/25)*BQ71+(1-EXP(-LN(2)/25))/(LN(2)/25)*Calculateur!BL72*Calculateur!BN72*VLOOKUP('Données projet'!$B$11,Paramètres!$A$1:$I$89,3,0)*0.475*44/12</f>
        <v>10.233188048237572</v>
      </c>
      <c r="BR72" s="21">
        <f>EXP(-LN(2)/2)*BR71+(1-EXP(-LN(2)/2))/(LN(2)/2)*BL72*BO72*VLOOKUP('Données projet'!$B$11,Paramètres!$A$1:$I$89,3,0)*0.475*44/12</f>
        <v>4.3862513017812565E-5</v>
      </c>
      <c r="BS72" s="22">
        <f t="shared" si="63"/>
        <v>12.343256190779991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5.6</v>
      </c>
      <c r="BY72" s="12">
        <f>IF('Données projet'!$A$114&gt;35,BY71+BX72-CG71,IF(A72&lt;'Données projet'!$A$114,$BV$205^A72,IF(A72='Données projet'!$A$114,'Données projet'!$B$114,BY71+BX72-CG71)))</f>
        <v>376.4</v>
      </c>
      <c r="BZ72" s="13">
        <f>BY72*VLOOKUP('Données projet'!$B$12,Paramètres!$A$1:$I$89,3,0)*VLOOKUP('Données projet'!$B$12,Paramètres!$A$1:$I$89,5,0)</f>
        <v>299.46384</v>
      </c>
      <c r="CA72" s="13">
        <f t="shared" si="93"/>
        <v>71.064052046510113</v>
      </c>
      <c r="CB72" s="20">
        <f t="shared" si="64"/>
        <v>645.3360786476718</v>
      </c>
      <c r="CC72" s="59">
        <f t="shared" si="65"/>
        <v>938.66941198100517</v>
      </c>
      <c r="CD72" s="59">
        <f ca="1">AVERAGE(OFFSET($CC$3,0,0,'Données projet'!$E$12+1,1))-AVERAGE(OFFSET($H$3,0,0,'Données projet'!$E$12+1,1))</f>
        <v>314.94704727988847</v>
      </c>
      <c r="CE72" s="59">
        <f t="shared" si="94"/>
        <v>366.49199094166454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1.8086878315812267</v>
      </c>
      <c r="CL72" s="21">
        <f>EXP(-LN(2)/25)*CL71+(1-EXP(-LN(2)/25))/(LN(2)/25)*Calculateur!CG72*Calculateur!CI72*VLOOKUP('Données projet'!$B$12,Paramètres!$A$1:$I$89,3,0)*0.475*44/12</f>
        <v>8.6167752070918482</v>
      </c>
      <c r="CM72" s="21">
        <f>EXP(-LN(2)/2)*CM71+(1-EXP(-LN(2)/2))/(LN(2)/2)*CG72*CJ72*VLOOKUP('Données projet'!$B$12,Paramètres!$A$1:$I$89,3,0)*0.475*44/12</f>
        <v>3.8935914905415892E-5</v>
      </c>
      <c r="CN72" s="22">
        <f t="shared" si="66"/>
        <v>10.425501974587979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8.5</v>
      </c>
      <c r="CT72" s="12">
        <f>IF('Données projet'!$A$140&gt;35,CT71+CS72-DB71,IF(A72&lt;'Données projet'!$A$140,$CQ$205^A72,IF(A72='Données projet'!$A$140,'Données projet'!$B$140,CT71+CS72-DB71)))</f>
        <v>321.5</v>
      </c>
      <c r="CU72" s="17">
        <f>CT72*VLOOKUP('Données projet'!$B$13,Paramètres!$A$1:$I$89,3,0)*VLOOKUP('Données projet'!$B$13,Paramètres!$A$1:$I$89,5,0)</f>
        <v>250.77</v>
      </c>
      <c r="CV72" s="13">
        <f t="shared" si="95"/>
        <v>60.750795240734419</v>
      </c>
      <c r="CW72" s="20">
        <f t="shared" si="67"/>
        <v>542.56538504427908</v>
      </c>
      <c r="CX72" s="59">
        <f t="shared" si="68"/>
        <v>835.89871837761234</v>
      </c>
      <c r="CY72" s="59">
        <f ca="1">AVERAGE(OFFSET($CX$3,0,0,'Données projet'!$E$13+1,1))-AVERAGE(OFFSET($H$3,0,0,'Données projet'!$E$13+1,1))</f>
        <v>261.59434871103355</v>
      </c>
      <c r="CZ72" s="59">
        <f t="shared" si="96"/>
        <v>194.97518096665976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0.95910194546790917</v>
      </c>
      <c r="DG72" s="21">
        <f>EXP(-LN(2)/25)*DG71+(1-EXP(-LN(2)/25))/(LN(2)/25)*Calculateur!DB72*Calculateur!DD72*VLOOKUP('Données projet'!$B$13,Paramètres!$A$1:$I$89,3,0)*0.475*44/12</f>
        <v>3.9632469619999666</v>
      </c>
      <c r="DH72" s="21">
        <f>EXP(-LN(2)/2)*DH71+(1-EXP(-LN(2)/2))/(LN(2)/2)*DB72*DE72*VLOOKUP('Données projet'!$B$13,Paramètres!$A$1:$I$89,3,0)*0.475*44/12</f>
        <v>2.5276580447900692E-5</v>
      </c>
      <c r="DI72" s="22">
        <f t="shared" si="69"/>
        <v>4.9223741840483237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263</v>
      </c>
      <c r="L73" s="12">
        <f>VLOOKUP(A73,'Données projet'!$A$35:$I$55,9,0)</f>
        <v>7</v>
      </c>
      <c r="M73" s="12">
        <f t="array" ref="M73">INDEX(L:L,MIN(IF(ISNUMBER(L73:L269),ROW(L73:L269),"")))</f>
        <v>7</v>
      </c>
      <c r="N73" s="13">
        <f>IF('Données projet'!$A$36&gt;35,N72+M73-V72,IF(A73&lt;'Données projet'!$A$36,$K$205^A73,IF(A73='Données projet'!$A$36,'Données projet'!$B$36,N72+M73-V72)))</f>
        <v>263.00000000000017</v>
      </c>
      <c r="O73" s="13">
        <f>N73*VLOOKUP('Données projet'!$B$9,Paramètres!$A$1:$I$89,3,0)*VLOOKUP('Données projet'!$B$9,Paramètres!$A$1:$I$89,5,0)</f>
        <v>237.96240000000012</v>
      </c>
      <c r="P73" s="13">
        <f t="shared" si="87"/>
        <v>58.000913607663399</v>
      </c>
      <c r="Q73" s="20">
        <f t="shared" si="54"/>
        <v>515.46943786668055</v>
      </c>
      <c r="R73" s="59">
        <f t="shared" si="55"/>
        <v>808.80277120001392</v>
      </c>
      <c r="S73" s="59">
        <f ca="1">AVERAGE(OFFSET($R$3,0,0,'Données projet'!$E$9+1,1))-AVERAGE(OFFSET($H$3,0,0,'Données projet'!$E$9+1,1))</f>
        <v>237.22177246688199</v>
      </c>
      <c r="T73" s="59">
        <f t="shared" si="88"/>
        <v>149.27472147904302</v>
      </c>
      <c r="U73" s="15">
        <f>IF(ISNA(VLOOKUP(A73,'Données projet'!$A$35:$I$55,3,0)),0,VLOOKUP(A73,'Données projet'!$A$35:$I$55,3,0))</f>
        <v>5</v>
      </c>
      <c r="V73" s="15">
        <f>IF(ISNA(VLOOKUP(A73,'Données projet'!$A$35:$I$55,4,0)),0,VLOOKUP(A73,'Données projet'!$A$35:$I$55,4,0))</f>
        <v>42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</v>
      </c>
      <c r="AA73" s="21">
        <f>EXP(-LN(2)/25)*AA72+(1-EXP(-LN(2)/25))/(LN(2)/25)*Calculateur!V73*Calculateur!X73*VLOOKUP('Données projet'!$B$9,Paramètres!$A$1:$I$89,3,0)*0.475*44/12</f>
        <v>1.0245774972429857</v>
      </c>
      <c r="AB73" s="21">
        <f>EXP(-LN(2)/2)*AB72+(1-EXP(-LN(2)/2))/(LN(2)/2)*V73*Y73*VLOOKUP('Données projet'!$B$9,Paramètres!$A$1:$I$89,3,0)*0.475*44/12</f>
        <v>5.9026220840725205E-6</v>
      </c>
      <c r="AC73" s="22">
        <f t="shared" si="57"/>
        <v>1.0245833998650697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272</v>
      </c>
      <c r="AG73" s="12">
        <f>VLOOKUP(A73,'Données projet'!$A$61:$I$81,9,0)</f>
        <v>5.6</v>
      </c>
      <c r="AH73" s="12">
        <f t="array" ref="AH73">INDEX(AG:AG,MIN(IF(ISNUMBER(AG73:AG269),ROW(AG73:AG269),"")))</f>
        <v>5.6</v>
      </c>
      <c r="AI73" s="13">
        <f>IF('Données projet'!$A$62&gt;35,AI72+AH73-AQ72,IF(A73&lt;'Données projet'!$A$62,$AF$205^A73,IF(A73='Données projet'!$A$62,'Données projet'!$B$62,AI72+AH73-AQ72)))</f>
        <v>272</v>
      </c>
      <c r="AJ73" s="13">
        <f>AI73*VLOOKUP('Données projet'!$B$10,Paramètres!$A$1:$I$89,3,0)*VLOOKUP('Données projet'!$B$10,Paramètres!$A$1:$I$89,5,0)</f>
        <v>237.61920000000003</v>
      </c>
      <c r="AK73" s="13">
        <f t="shared" si="89"/>
        <v>57.926992927794117</v>
      </c>
      <c r="AL73" s="20">
        <f t="shared" si="58"/>
        <v>514.74295268257481</v>
      </c>
      <c r="AM73" s="59">
        <f t="shared" si="59"/>
        <v>808.07628601590818</v>
      </c>
      <c r="AN73" s="59">
        <f ca="1">AVERAGE(OFFSET($AM$3,0,0,'Données projet'!$E$10+1,1))-AVERAGE(OFFSET($H$3,0,0,'Données projet'!$E$10+1,1))</f>
        <v>243.38048563215585</v>
      </c>
      <c r="AO73" s="59">
        <f t="shared" si="90"/>
        <v>372.1604147006675</v>
      </c>
      <c r="AP73" s="15">
        <f>IF(ISNA(VLOOKUP(A73,'Données projet'!$A$61:$I$81,3,0)),0,VLOOKUP(A73,'Données projet'!$A$61:$I$81,3,0))</f>
        <v>7</v>
      </c>
      <c r="AQ73" s="15">
        <f>IF(ISNA(VLOOKUP(A73,'Données projet'!$A$61:$I$81,4,0)),0,VLOOKUP(A73,'Données projet'!$A$61:$I$81,4,0))</f>
        <v>272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3.3098367854172075</v>
      </c>
      <c r="AV73" s="21">
        <f>EXP(-LN(2)/25)*AV72+(1-EXP(-LN(2)/25))/(LN(2)/25)*Calculateur!AQ73*Calculateur!AS73*VLOOKUP('Données projet'!$B$10,Paramètres!$A$1:$I$89,3,0)*0.475*44/12</f>
        <v>6.3872194057276337</v>
      </c>
      <c r="AW73" s="21">
        <f>EXP(-LN(2)/2)*AW72+(1-EXP(-LN(2)/2))/(LN(2)/2)*AQ73*AT73*VLOOKUP('Données projet'!$B$10,Paramètres!$A$1:$I$89,3,0)*0.475*44/12</f>
        <v>2.7956904614603198E-5</v>
      </c>
      <c r="AX73" s="21">
        <f t="shared" si="60"/>
        <v>9.6970841480494574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614</v>
      </c>
      <c r="BB73" s="12">
        <f>VLOOKUP(A73,'Données projet'!$A$87:$I$107,9,0)</f>
        <v>13.4</v>
      </c>
      <c r="BC73" s="12">
        <f t="array" ref="BC73">INDEX(BB:BB,MIN(IF(ISNUMBER(BB73:BB269),ROW(BB73:BB269),"")))</f>
        <v>13.4</v>
      </c>
      <c r="BD73" s="12">
        <f>IF('Données projet'!$A$88&gt;35,BD72+BC73-BL72,IF(A73&lt;'Données projet'!$A$88,$BA$205^A73,IF(A73='Données projet'!$A$88,'Données projet'!$B$88,BD72+BC73-BL72)))</f>
        <v>613.99999999999966</v>
      </c>
      <c r="BE73" s="13">
        <f>BD73*VLOOKUP('Données projet'!$B$11,Paramètres!$A$1:$I$89,3,0)*VLOOKUP('Données projet'!$B$11,Paramètres!$A$1:$I$89,5,0)</f>
        <v>343.22599999999983</v>
      </c>
      <c r="BF73" s="13">
        <f t="shared" si="91"/>
        <v>80.166091681676377</v>
      </c>
      <c r="BG73" s="20">
        <f t="shared" si="61"/>
        <v>737.40789301225266</v>
      </c>
      <c r="BH73" s="59">
        <f t="shared" si="62"/>
        <v>1030.741226345586</v>
      </c>
      <c r="BI73" s="59">
        <f ca="1">AVERAGE(OFFSET($BH$3,0,0,'Données projet'!$E$11+1,1))-AVERAGE(OFFSET($H$3,0,0,'Données projet'!$E$11+1,1))</f>
        <v>326.31232746914907</v>
      </c>
      <c r="BJ73" s="59">
        <f t="shared" si="92"/>
        <v>330.17137761430297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67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2.068647990885756</v>
      </c>
      <c r="BQ73" s="21">
        <f>EXP(-LN(2)/25)*BQ72+(1-EXP(-LN(2)/25))/(LN(2)/25)*Calculateur!BL73*Calculateur!BN73*VLOOKUP('Données projet'!$B$11,Paramètres!$A$1:$I$89,3,0)*0.475*44/12</f>
        <v>9.9533609829185448</v>
      </c>
      <c r="BR73" s="21">
        <f>EXP(-LN(2)/2)*BR72+(1-EXP(-LN(2)/2))/(LN(2)/2)*BL73*BO73*VLOOKUP('Données projet'!$B$11,Paramètres!$A$1:$I$89,3,0)*0.475*44/12</f>
        <v>3.1015480394778482E-5</v>
      </c>
      <c r="BS73" s="22">
        <f t="shared" si="63"/>
        <v>12.022039989284696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382</v>
      </c>
      <c r="BW73" s="12">
        <f>VLOOKUP(A73,'Données projet'!$A$113:$I$133,9,0)</f>
        <v>5.6</v>
      </c>
      <c r="BX73" s="12">
        <f t="array" ref="BX73">INDEX(BW:BW,MIN(IF(ISNUMBER(BW73:BW269),ROW(BW73:BW269),"")))</f>
        <v>5.6</v>
      </c>
      <c r="BY73" s="12">
        <f>IF('Données projet'!$A$114&gt;35,BY72+BX73-CG72,IF(A73&lt;'Données projet'!$A$114,$BV$205^A73,IF(A73='Données projet'!$A$114,'Données projet'!$B$114,BY72+BX73-CG72)))</f>
        <v>382</v>
      </c>
      <c r="BZ73" s="13">
        <f>BY73*VLOOKUP('Données projet'!$B$12,Paramètres!$A$1:$I$89,3,0)*VLOOKUP('Données projet'!$B$12,Paramètres!$A$1:$I$89,5,0)</f>
        <v>303.91919999999999</v>
      </c>
      <c r="CA73" s="13">
        <f t="shared" si="93"/>
        <v>71.997456655827349</v>
      </c>
      <c r="CB73" s="20">
        <f t="shared" si="64"/>
        <v>654.72151034223259</v>
      </c>
      <c r="CC73" s="59">
        <f t="shared" si="65"/>
        <v>948.05484367556596</v>
      </c>
      <c r="CD73" s="59">
        <f ca="1">AVERAGE(OFFSET($CC$3,0,0,'Données projet'!$E$12+1,1))-AVERAGE(OFFSET($H$3,0,0,'Données projet'!$E$12+1,1))</f>
        <v>314.94704727988847</v>
      </c>
      <c r="CE73" s="59">
        <f t="shared" si="94"/>
        <v>366.49199094166454</v>
      </c>
      <c r="CF73" s="15">
        <f>IF(ISNA(VLOOKUP(A73,'Données projet'!$A$113:$I$133,3,0)),0,VLOOKUP(A73,'Données projet'!$A$113:$I$133,3,0))</f>
        <v>7</v>
      </c>
      <c r="CG73" s="15">
        <f>IF(ISNA(VLOOKUP(A73,'Données projet'!$A$113:$I$133,4,0)),0,VLOOKUP(A73,'Données projet'!$A$113:$I$133,4,0))</f>
        <v>31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1.773220566394565</v>
      </c>
      <c r="CL73" s="21">
        <f>EXP(-LN(2)/25)*CL72+(1-EXP(-LN(2)/25))/(LN(2)/25)*Calculateur!CG73*Calculateur!CI73*VLOOKUP('Données projet'!$B$12,Paramètres!$A$1:$I$89,3,0)*0.475*44/12</f>
        <v>8.3811490359174066</v>
      </c>
      <c r="CM73" s="21">
        <f>EXP(-LN(2)/2)*CM72+(1-EXP(-LN(2)/2))/(LN(2)/2)*CG73*CJ73*VLOOKUP('Données projet'!$B$12,Paramètres!$A$1:$I$89,3,0)*0.475*44/12</f>
        <v>2.753184946132195E-5</v>
      </c>
      <c r="CN73" s="22">
        <f t="shared" si="66"/>
        <v>10.154397134161433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330</v>
      </c>
      <c r="CR73" s="12">
        <f>VLOOKUP(A73,'Données projet'!$A$139:$I$159,9,0)</f>
        <v>8.5</v>
      </c>
      <c r="CS73" s="12">
        <f t="array" ref="CS73">INDEX(CR:CR,MIN(IF(ISNUMBER(CR73:CR269),ROW(CR73:CR269),"")))</f>
        <v>8.5</v>
      </c>
      <c r="CT73" s="12">
        <f>IF('Données projet'!$A$140&gt;35,CT72+CS73-DB72,IF(A73&lt;'Données projet'!$A$140,$CQ$205^A73,IF(A73='Données projet'!$A$140,'Données projet'!$B$140,CT72+CS73-DB72)))</f>
        <v>330</v>
      </c>
      <c r="CU73" s="17">
        <f>CT73*VLOOKUP('Données projet'!$B$13,Paramètres!$A$1:$I$89,3,0)*VLOOKUP('Données projet'!$B$13,Paramètres!$A$1:$I$89,5,0)</f>
        <v>257.40000000000003</v>
      </c>
      <c r="CV73" s="13">
        <f t="shared" si="95"/>
        <v>62.167839264733466</v>
      </c>
      <c r="CW73" s="20">
        <f t="shared" si="67"/>
        <v>556.58065338607753</v>
      </c>
      <c r="CX73" s="59">
        <f t="shared" si="68"/>
        <v>849.91398671941079</v>
      </c>
      <c r="CY73" s="59">
        <f ca="1">AVERAGE(OFFSET($CX$3,0,0,'Données projet'!$E$13+1,1))-AVERAGE(OFFSET($H$3,0,0,'Données projet'!$E$13+1,1))</f>
        <v>261.59434871103355</v>
      </c>
      <c r="CZ73" s="59">
        <f t="shared" si="96"/>
        <v>194.97518096665976</v>
      </c>
      <c r="DA73" s="15">
        <f>IF(ISNA(VLOOKUP(A73,'Données projet'!$A$139:$I$159,3,0)),0,VLOOKUP(A73,'Données projet'!$A$139:$I$159,3,0))</f>
        <v>6</v>
      </c>
      <c r="DB73" s="15">
        <f>IF(ISNA(VLOOKUP(A73,'Données projet'!$A$139:$I$159,4,0)),0,VLOOKUP(A73,'Données projet'!$A$139:$I$159,4,0))</f>
        <v>56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0.94029454131170676</v>
      </c>
      <c r="DG73" s="21">
        <f>EXP(-LN(2)/25)*DG72+(1-EXP(-LN(2)/25))/(LN(2)/25)*Calculateur!DB73*Calculateur!DD73*VLOOKUP('Données projet'!$B$13,Paramètres!$A$1:$I$89,3,0)*0.475*44/12</f>
        <v>3.8548717654059779</v>
      </c>
      <c r="DH73" s="21">
        <f>EXP(-LN(2)/2)*DH72+(1-EXP(-LN(2)/2))/(LN(2)/2)*DB73*DE73*VLOOKUP('Données projet'!$B$13,Paramètres!$A$1:$I$89,3,0)*0.475*44/12</f>
        <v>1.787324143991788E-5</v>
      </c>
      <c r="DI73" s="22">
        <f t="shared" si="69"/>
        <v>4.7951841799591239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6.1</v>
      </c>
      <c r="N74" s="13">
        <f>IF('Données projet'!$A$36&gt;35,N73+M74-V73,IF(A74&lt;'Données projet'!$A$36,$K$205^A74,IF(A74='Données projet'!$A$36,'Données projet'!$B$36,N73+M74-V73)))</f>
        <v>227.10000000000019</v>
      </c>
      <c r="O74" s="13">
        <f>N74*VLOOKUP('Données projet'!$B$9,Paramètres!$A$1:$I$89,3,0)*VLOOKUP('Données projet'!$B$9,Paramètres!$A$1:$I$89,5,0)</f>
        <v>205.48008000000016</v>
      </c>
      <c r="P74" s="13">
        <f t="shared" si="87"/>
        <v>50.94662215818515</v>
      </c>
      <c r="Q74" s="20">
        <f t="shared" si="54"/>
        <v>446.6098395921727</v>
      </c>
      <c r="R74" s="59">
        <f t="shared" si="55"/>
        <v>739.94317292550602</v>
      </c>
      <c r="S74" s="59">
        <f ca="1">AVERAGE(OFFSET($R$3,0,0,'Données projet'!$E$9+1,1))-AVERAGE(OFFSET($H$3,0,0,'Données projet'!$E$9+1,1))</f>
        <v>237.22177246688199</v>
      </c>
      <c r="T74" s="59">
        <f t="shared" si="88"/>
        <v>149.27472147904302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</v>
      </c>
      <c r="AA74" s="21">
        <f>EXP(-LN(2)/25)*AA73+(1-EXP(-LN(2)/25))/(LN(2)/25)*Calculateur!V74*Calculateur!X74*VLOOKUP('Données projet'!$B$9,Paramètres!$A$1:$I$89,3,0)*0.475*44/12</f>
        <v>0.99656037170068745</v>
      </c>
      <c r="AB74" s="21">
        <f>EXP(-LN(2)/2)*AB73+(1-EXP(-LN(2)/2))/(LN(2)/2)*V74*Y74*VLOOKUP('Données projet'!$B$9,Paramètres!$A$1:$I$89,3,0)*0.475*44/12</f>
        <v>4.1737841024291508E-6</v>
      </c>
      <c r="AC74" s="22">
        <f t="shared" si="57"/>
        <v>0.9965645454847899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>
        <f>AI74*VLOOKUP('Données projet'!$B$10,Paramètres!$A$1:$I$89,3,0)*VLOOKUP('Données projet'!$B$10,Paramètres!$A$1:$I$89,5,0)</f>
        <v>0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243.38048563215585</v>
      </c>
      <c r="AO74" s="59">
        <f t="shared" si="90"/>
        <v>372.1604147006675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3.2449329048562752</v>
      </c>
      <c r="AV74" s="21">
        <f>EXP(-LN(2)/25)*AV73+(1-EXP(-LN(2)/25))/(LN(2)/25)*Calculateur!AQ74*Calculateur!AS74*VLOOKUP('Données projet'!$B$10,Paramètres!$A$1:$I$89,3,0)*0.475*44/12</f>
        <v>6.2125605551887411</v>
      </c>
      <c r="AW74" s="21">
        <f>EXP(-LN(2)/2)*AW73+(1-EXP(-LN(2)/2))/(LN(2)/2)*AQ74*AT74*VLOOKUP('Données projet'!$B$10,Paramètres!$A$1:$I$89,3,0)*0.475*44/12</f>
        <v>1.9768516833971404E-5</v>
      </c>
      <c r="AX74" s="21">
        <f t="shared" si="60"/>
        <v>9.4575132285618508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10.4</v>
      </c>
      <c r="BD74" s="12">
        <f>IF('Données projet'!$A$88&gt;35,BD73+BC74-BL73,IF(A74&lt;'Données projet'!$A$88,$BA$205^A74,IF(A74='Données projet'!$A$88,'Données projet'!$B$88,BD73+BC74-BL73)))</f>
        <v>557.39999999999964</v>
      </c>
      <c r="BE74" s="13">
        <f>BD74*VLOOKUP('Données projet'!$B$11,Paramètres!$A$1:$I$89,3,0)*VLOOKUP('Données projet'!$B$11,Paramètres!$A$1:$I$89,5,0)</f>
        <v>311.58659999999981</v>
      </c>
      <c r="BF74" s="13">
        <f t="shared" si="91"/>
        <v>73.60007688942116</v>
      </c>
      <c r="BG74" s="20">
        <f t="shared" si="61"/>
        <v>670.86679558240803</v>
      </c>
      <c r="BH74" s="59">
        <f t="shared" si="62"/>
        <v>964.20012891574129</v>
      </c>
      <c r="BI74" s="59">
        <f ca="1">AVERAGE(OFFSET($BH$3,0,0,'Données projet'!$E$11+1,1))-AVERAGE(OFFSET($H$3,0,0,'Données projet'!$E$11+1,1))</f>
        <v>326.31232746914907</v>
      </c>
      <c r="BJ74" s="59">
        <f t="shared" si="92"/>
        <v>330.17137761430297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2.0280830655351734</v>
      </c>
      <c r="BQ74" s="21">
        <f>EXP(-LN(2)/25)*BQ73+(1-EXP(-LN(2)/25))/(LN(2)/25)*Calculateur!BL74*Calculateur!BN74*VLOOKUP('Données projet'!$B$11,Paramètres!$A$1:$I$89,3,0)*0.475*44/12</f>
        <v>9.6811858034161311</v>
      </c>
      <c r="BR74" s="21">
        <f>EXP(-LN(2)/2)*BR73+(1-EXP(-LN(2)/2))/(LN(2)/2)*BL74*BO74*VLOOKUP('Données projet'!$B$11,Paramètres!$A$1:$I$89,3,0)*0.475*44/12</f>
        <v>2.1931256508906283E-5</v>
      </c>
      <c r="BS74" s="22">
        <f t="shared" si="63"/>
        <v>11.709290800207814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4.4000000000000004</v>
      </c>
      <c r="BY74" s="12">
        <f>IF('Données projet'!$A$114&gt;35,BY73+BX74-CG73,IF(A74&lt;'Données projet'!$A$114,$BV$205^A74,IF(A74='Données projet'!$A$114,'Données projet'!$B$114,BY73+BX74-CG73)))</f>
        <v>355.4</v>
      </c>
      <c r="BZ74" s="13">
        <f>BY74*VLOOKUP('Données projet'!$B$12,Paramètres!$A$1:$I$89,3,0)*VLOOKUP('Données projet'!$B$12,Paramètres!$A$1:$I$89,5,0)</f>
        <v>282.75623999999999</v>
      </c>
      <c r="CA74" s="13">
        <f t="shared" si="93"/>
        <v>67.549149140642555</v>
      </c>
      <c r="CB74" s="20">
        <f t="shared" si="64"/>
        <v>610.11521941995238</v>
      </c>
      <c r="CC74" s="59">
        <f t="shared" si="65"/>
        <v>903.44855275328564</v>
      </c>
      <c r="CD74" s="59">
        <f ca="1">AVERAGE(OFFSET($CC$3,0,0,'Données projet'!$E$12+1,1))-AVERAGE(OFFSET($H$3,0,0,'Données projet'!$E$12+1,1))</f>
        <v>314.94704727988847</v>
      </c>
      <c r="CE74" s="59">
        <f t="shared" si="94"/>
        <v>366.49199094166454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1.7384487926453183</v>
      </c>
      <c r="CL74" s="21">
        <f>EXP(-LN(2)/25)*CL73+(1-EXP(-LN(2)/25))/(LN(2)/25)*Calculateur!CG74*Calculateur!CI74*VLOOKUP('Données projet'!$B$12,Paramètres!$A$1:$I$89,3,0)*0.475*44/12</f>
        <v>8.151966074784772</v>
      </c>
      <c r="CM74" s="21">
        <f>EXP(-LN(2)/2)*CM73+(1-EXP(-LN(2)/2))/(LN(2)/2)*CG74*CJ74*VLOOKUP('Données projet'!$B$12,Paramètres!$A$1:$I$89,3,0)*0.475*44/12</f>
        <v>1.9467957452707946E-5</v>
      </c>
      <c r="CN74" s="22">
        <f t="shared" si="66"/>
        <v>9.8904343353875426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7.4</v>
      </c>
      <c r="CT74" s="12">
        <f>IF('Données projet'!$A$140&gt;35,CT73+CS74-DB73,IF(A74&lt;'Données projet'!$A$140,$CQ$205^A74,IF(A74='Données projet'!$A$140,'Données projet'!$B$140,CT73+CS74-DB73)))</f>
        <v>281.39999999999998</v>
      </c>
      <c r="CU74" s="17">
        <f>CT74*VLOOKUP('Données projet'!$B$13,Paramètres!$A$1:$I$89,3,0)*VLOOKUP('Données projet'!$B$13,Paramètres!$A$1:$I$89,5,0)</f>
        <v>219.49199999999999</v>
      </c>
      <c r="CV74" s="13">
        <f t="shared" si="95"/>
        <v>54.004459579686618</v>
      </c>
      <c r="CW74" s="20">
        <f t="shared" si="67"/>
        <v>476.33966710128743</v>
      </c>
      <c r="CX74" s="59">
        <f t="shared" si="68"/>
        <v>769.67300043462069</v>
      </c>
      <c r="CY74" s="59">
        <f ca="1">AVERAGE(OFFSET($CX$3,0,0,'Données projet'!$E$13+1,1))-AVERAGE(OFFSET($H$3,0,0,'Données projet'!$E$13+1,1))</f>
        <v>261.59434871103355</v>
      </c>
      <c r="CZ74" s="59">
        <f t="shared" si="96"/>
        <v>194.97518096665976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0.92185593887962369</v>
      </c>
      <c r="DG74" s="21">
        <f>EXP(-LN(2)/25)*DG73+(1-EXP(-LN(2)/25))/(LN(2)/25)*Calculateur!DB74*Calculateur!DD74*VLOOKUP('Données projet'!$B$13,Paramètres!$A$1:$I$89,3,0)*0.475*44/12</f>
        <v>3.7494600942620555</v>
      </c>
      <c r="DH74" s="21">
        <f>EXP(-LN(2)/2)*DH73+(1-EXP(-LN(2)/2))/(LN(2)/2)*DB74*DE74*VLOOKUP('Données projet'!$B$13,Paramètres!$A$1:$I$89,3,0)*0.475*44/12</f>
        <v>1.2638290223950346E-5</v>
      </c>
      <c r="DI74" s="22">
        <f t="shared" si="69"/>
        <v>4.6713286714319029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6.1</v>
      </c>
      <c r="N75" s="13">
        <f>IF('Données projet'!$A$36&gt;35,N74+M75-V74,IF(A75&lt;'Données projet'!$A$36,$K$205^A75,IF(A75='Données projet'!$A$36,'Données projet'!$B$36,N74+M75-V74)))</f>
        <v>233.20000000000019</v>
      </c>
      <c r="O75" s="13">
        <f>N75*VLOOKUP('Données projet'!$B$9,Paramètres!$A$1:$I$89,3,0)*VLOOKUP('Données projet'!$B$9,Paramètres!$A$1:$I$89,5,0)</f>
        <v>210.99936000000014</v>
      </c>
      <c r="P75" s="13">
        <f t="shared" si="87"/>
        <v>52.153910623486667</v>
      </c>
      <c r="Q75" s="20">
        <f t="shared" si="54"/>
        <v>458.32527966923953</v>
      </c>
      <c r="R75" s="59">
        <f t="shared" si="55"/>
        <v>751.65861300257279</v>
      </c>
      <c r="S75" s="59">
        <f ca="1">AVERAGE(OFFSET($R$3,0,0,'Données projet'!$E$9+1,1))-AVERAGE(OFFSET($H$3,0,0,'Données projet'!$E$9+1,1))</f>
        <v>237.22177246688199</v>
      </c>
      <c r="T75" s="59">
        <f t="shared" si="88"/>
        <v>149.27472147904302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</v>
      </c>
      <c r="AA75" s="21">
        <f>EXP(-LN(2)/25)*AA74+(1-EXP(-LN(2)/25))/(LN(2)/25)*Calculateur!V75*Calculateur!X75*VLOOKUP('Données projet'!$B$9,Paramètres!$A$1:$I$89,3,0)*0.475*44/12</f>
        <v>0.9693093759296999</v>
      </c>
      <c r="AB75" s="21">
        <f>EXP(-LN(2)/2)*AB74+(1-EXP(-LN(2)/2))/(LN(2)/2)*V75*Y75*VLOOKUP('Données projet'!$B$9,Paramètres!$A$1:$I$89,3,0)*0.475*44/12</f>
        <v>2.9513110420362603E-6</v>
      </c>
      <c r="AC75" s="22">
        <f t="shared" si="57"/>
        <v>0.9693123272407419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>
        <f>AI75*VLOOKUP('Données projet'!$B$10,Paramètres!$A$1:$I$89,3,0)*VLOOKUP('Données projet'!$B$10,Paramètres!$A$1:$I$89,5,0)</f>
        <v>0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243.38048563215585</v>
      </c>
      <c r="AO75" s="59">
        <f t="shared" si="90"/>
        <v>372.1604147006675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3.1813017498056846</v>
      </c>
      <c r="AV75" s="21">
        <f>EXP(-LN(2)/25)*AV74+(1-EXP(-LN(2)/25))/(LN(2)/25)*Calculateur!AQ75*Calculateur!AS75*VLOOKUP('Données projet'!$B$10,Paramètres!$A$1:$I$89,3,0)*0.475*44/12</f>
        <v>6.0426777601027446</v>
      </c>
      <c r="AW75" s="21">
        <f>EXP(-LN(2)/2)*AW74+(1-EXP(-LN(2)/2))/(LN(2)/2)*AQ75*AT75*VLOOKUP('Données projet'!$B$10,Paramètres!$A$1:$I$89,3,0)*0.475*44/12</f>
        <v>1.3978452307301599E-5</v>
      </c>
      <c r="AX75" s="21">
        <f t="shared" si="60"/>
        <v>9.2239934883607351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10.4</v>
      </c>
      <c r="BD75" s="12">
        <f>IF('Données projet'!$A$88&gt;35,BD74+BC75-BL74,IF(A75&lt;'Données projet'!$A$88,$BA$205^A75,IF(A75='Données projet'!$A$88,'Données projet'!$B$88,BD74+BC75-BL74)))</f>
        <v>567.79999999999961</v>
      </c>
      <c r="BE75" s="13">
        <f>BD75*VLOOKUP('Données projet'!$B$11,Paramètres!$A$1:$I$89,3,0)*VLOOKUP('Données projet'!$B$11,Paramètres!$A$1:$I$89,5,0)</f>
        <v>317.40019999999976</v>
      </c>
      <c r="BF75" s="13">
        <f t="shared" si="91"/>
        <v>74.812158158961168</v>
      </c>
      <c r="BG75" s="20">
        <f t="shared" si="61"/>
        <v>683.10319046019015</v>
      </c>
      <c r="BH75" s="59">
        <f t="shared" si="62"/>
        <v>976.43652379352352</v>
      </c>
      <c r="BI75" s="59">
        <f ca="1">AVERAGE(OFFSET($BH$3,0,0,'Données projet'!$E$11+1,1))-AVERAGE(OFFSET($H$3,0,0,'Données projet'!$E$11+1,1))</f>
        <v>326.31232746914907</v>
      </c>
      <c r="BJ75" s="59">
        <f t="shared" si="92"/>
        <v>330.17137761430297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1.9883135936285541</v>
      </c>
      <c r="BQ75" s="21">
        <f>EXP(-LN(2)/25)*BQ74+(1-EXP(-LN(2)/25))/(LN(2)/25)*Calculateur!BL75*Calculateur!BN75*VLOOKUP('Données projet'!$B$11,Paramètres!$A$1:$I$89,3,0)*0.475*44/12</f>
        <v>9.4164532685102831</v>
      </c>
      <c r="BR75" s="21">
        <f>EXP(-LN(2)/2)*BR74+(1-EXP(-LN(2)/2))/(LN(2)/2)*BL75*BO75*VLOOKUP('Données projet'!$B$11,Paramètres!$A$1:$I$89,3,0)*0.475*44/12</f>
        <v>1.5507740197389241E-5</v>
      </c>
      <c r="BS75" s="22">
        <f t="shared" si="63"/>
        <v>11.404782369879035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4.4000000000000004</v>
      </c>
      <c r="BY75" s="12">
        <f>IF('Données projet'!$A$114&gt;35,BY74+BX75-CG74,IF(A75&lt;'Données projet'!$A$114,$BV$205^A75,IF(A75='Données projet'!$A$114,'Données projet'!$B$114,BY74+BX75-CG74)))</f>
        <v>359.79999999999995</v>
      </c>
      <c r="BZ75" s="13">
        <f>BY75*VLOOKUP('Données projet'!$B$12,Paramètres!$A$1:$I$89,3,0)*VLOOKUP('Données projet'!$B$12,Paramètres!$A$1:$I$89,5,0)</f>
        <v>286.25687999999997</v>
      </c>
      <c r="CA75" s="13">
        <f t="shared" si="93"/>
        <v>68.287561975908019</v>
      </c>
      <c r="CB75" s="20">
        <f t="shared" si="64"/>
        <v>617.49823644137302</v>
      </c>
      <c r="CC75" s="59">
        <f t="shared" si="65"/>
        <v>910.8315697747064</v>
      </c>
      <c r="CD75" s="59">
        <f ca="1">AVERAGE(OFFSET($CC$3,0,0,'Données projet'!$E$12+1,1))-AVERAGE(OFFSET($H$3,0,0,'Données projet'!$E$12+1,1))</f>
        <v>314.94704727988847</v>
      </c>
      <c r="CE75" s="59">
        <f t="shared" si="94"/>
        <v>366.49199094166454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1.7043588721706062</v>
      </c>
      <c r="CL75" s="21">
        <f>EXP(-LN(2)/25)*CL74+(1-EXP(-LN(2)/25))/(LN(2)/25)*Calculateur!CG75*Calculateur!CI75*VLOOKUP('Données projet'!$B$12,Paramètres!$A$1:$I$89,3,0)*0.475*44/12</f>
        <v>7.929050133776518</v>
      </c>
      <c r="CM75" s="21">
        <f>EXP(-LN(2)/2)*CM74+(1-EXP(-LN(2)/2))/(LN(2)/2)*CG75*CJ75*VLOOKUP('Données projet'!$B$12,Paramètres!$A$1:$I$89,3,0)*0.475*44/12</f>
        <v>1.3765924730660975E-5</v>
      </c>
      <c r="CN75" s="22">
        <f t="shared" si="66"/>
        <v>9.6334227718718548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7.4</v>
      </c>
      <c r="CT75" s="12">
        <f>IF('Données projet'!$A$140&gt;35,CT74+CS75-DB74,IF(A75&lt;'Données projet'!$A$140,$CQ$205^A75,IF(A75='Données projet'!$A$140,'Données projet'!$B$140,CT74+CS75-DB74)))</f>
        <v>288.79999999999995</v>
      </c>
      <c r="CU75" s="17">
        <f>CT75*VLOOKUP('Données projet'!$B$13,Paramètres!$A$1:$I$89,3,0)*VLOOKUP('Données projet'!$B$13,Paramètres!$A$1:$I$89,5,0)</f>
        <v>225.26399999999998</v>
      </c>
      <c r="CV75" s="13">
        <f t="shared" si="95"/>
        <v>55.257410879343809</v>
      </c>
      <c r="CW75" s="20">
        <f t="shared" si="67"/>
        <v>488.57479061485702</v>
      </c>
      <c r="CX75" s="59">
        <f t="shared" si="68"/>
        <v>781.90812394819034</v>
      </c>
      <c r="CY75" s="59">
        <f ca="1">AVERAGE(OFFSET($CX$3,0,0,'Données projet'!$E$13+1,1))-AVERAGE(OFFSET($H$3,0,0,'Données projet'!$E$13+1,1))</f>
        <v>261.59434871103355</v>
      </c>
      <c r="CZ75" s="59">
        <f t="shared" si="96"/>
        <v>194.97518096665976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0.90377890619479684</v>
      </c>
      <c r="DG75" s="21">
        <f>EXP(-LN(2)/25)*DG74+(1-EXP(-LN(2)/25))/(LN(2)/25)*Calculateur!DB75*Calculateur!DD75*VLOOKUP('Données projet'!$B$13,Paramètres!$A$1:$I$89,3,0)*0.475*44/12</f>
        <v>3.6469309108089227</v>
      </c>
      <c r="DH75" s="21">
        <f>EXP(-LN(2)/2)*DH74+(1-EXP(-LN(2)/2))/(LN(2)/2)*DB75*DE75*VLOOKUP('Données projet'!$B$13,Paramètres!$A$1:$I$89,3,0)*0.475*44/12</f>
        <v>8.93662071995894E-6</v>
      </c>
      <c r="DI75" s="22">
        <f t="shared" si="69"/>
        <v>4.5507187536244391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6.1</v>
      </c>
      <c r="N76" s="13">
        <f>IF('Données projet'!$A$36&gt;35,N75+M76-V75,IF(A76&lt;'Données projet'!$A$36,$K$205^A76,IF(A76='Données projet'!$A$36,'Données projet'!$B$36,N75+M76-V75)))</f>
        <v>239.30000000000018</v>
      </c>
      <c r="O76" s="13">
        <f>N76*VLOOKUP('Données projet'!$B$9,Paramètres!$A$1:$I$89,3,0)*VLOOKUP('Données projet'!$B$9,Paramètres!$A$1:$I$89,5,0)</f>
        <v>216.51864000000015</v>
      </c>
      <c r="P76" s="13">
        <f t="shared" si="87"/>
        <v>53.357528323079173</v>
      </c>
      <c r="Q76" s="20">
        <f t="shared" si="54"/>
        <v>470.03432649602973</v>
      </c>
      <c r="R76" s="59">
        <f t="shared" si="55"/>
        <v>763.36765982936299</v>
      </c>
      <c r="S76" s="59">
        <f ca="1">AVERAGE(OFFSET($R$3,0,0,'Données projet'!$E$9+1,1))-AVERAGE(OFFSET($H$3,0,0,'Données projet'!$E$9+1,1))</f>
        <v>237.22177246688199</v>
      </c>
      <c r="T76" s="59">
        <f t="shared" si="88"/>
        <v>149.27472147904302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</v>
      </c>
      <c r="AA76" s="21">
        <f>EXP(-LN(2)/25)*AA75+(1-EXP(-LN(2)/25))/(LN(2)/25)*Calculateur!V76*Calculateur!X76*VLOOKUP('Données projet'!$B$9,Paramètres!$A$1:$I$89,3,0)*0.475*44/12</f>
        <v>0.94280356007113753</v>
      </c>
      <c r="AB76" s="21">
        <f>EXP(-LN(2)/2)*AB75+(1-EXP(-LN(2)/2))/(LN(2)/2)*V76*Y76*VLOOKUP('Données projet'!$B$9,Paramètres!$A$1:$I$89,3,0)*0.475*44/12</f>
        <v>2.0868920512145754E-6</v>
      </c>
      <c r="AC76" s="22">
        <f t="shared" si="57"/>
        <v>0.94280564696318869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>
        <f>AI76*VLOOKUP('Données projet'!$B$10,Paramètres!$A$1:$I$89,3,0)*VLOOKUP('Données projet'!$B$10,Paramètres!$A$1:$I$89,5,0)</f>
        <v>0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243.38048563215585</v>
      </c>
      <c r="AO76" s="59">
        <f t="shared" si="90"/>
        <v>372.1604147006675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3.1189183628944637</v>
      </c>
      <c r="AV76" s="21">
        <f>EXP(-LN(2)/25)*AV75+(1-EXP(-LN(2)/25))/(LN(2)/25)*Calculateur!AQ76*Calculateur!AS76*VLOOKUP('Données projet'!$B$10,Paramètres!$A$1:$I$89,3,0)*0.475*44/12</f>
        <v>5.8774404189821228</v>
      </c>
      <c r="AW76" s="21">
        <f>EXP(-LN(2)/2)*AW75+(1-EXP(-LN(2)/2))/(LN(2)/2)*AQ76*AT76*VLOOKUP('Données projet'!$B$10,Paramètres!$A$1:$I$89,3,0)*0.475*44/12</f>
        <v>9.8842584169857019E-6</v>
      </c>
      <c r="AX76" s="21">
        <f t="shared" si="60"/>
        <v>8.9963686661350035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10.4</v>
      </c>
      <c r="BD76" s="12">
        <f>IF('Données projet'!$A$88&gt;35,BD75+BC76-BL75,IF(A76&lt;'Données projet'!$A$88,$BA$205^A76,IF(A76='Données projet'!$A$88,'Données projet'!$B$88,BD75+BC76-BL75)))</f>
        <v>578.19999999999959</v>
      </c>
      <c r="BE76" s="13">
        <f>BD76*VLOOKUP('Données projet'!$B$11,Paramètres!$A$1:$I$89,3,0)*VLOOKUP('Données projet'!$B$11,Paramètres!$A$1:$I$89,5,0)</f>
        <v>323.21379999999982</v>
      </c>
      <c r="BF76" s="13">
        <f t="shared" si="91"/>
        <v>76.021657849237485</v>
      </c>
      <c r="BG76" s="20">
        <f t="shared" si="61"/>
        <v>695.33508908742158</v>
      </c>
      <c r="BH76" s="59">
        <f t="shared" si="62"/>
        <v>988.66842242075495</v>
      </c>
      <c r="BI76" s="59">
        <f ca="1">AVERAGE(OFFSET($BH$3,0,0,'Données projet'!$E$11+1,1))-AVERAGE(OFFSET($H$3,0,0,'Données projet'!$E$11+1,1))</f>
        <v>326.31232746914907</v>
      </c>
      <c r="BJ76" s="59">
        <f t="shared" si="92"/>
        <v>330.17137761430297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1.9493239768090409</v>
      </c>
      <c r="BQ76" s="21">
        <f>EXP(-LN(2)/25)*BQ75+(1-EXP(-LN(2)/25))/(LN(2)/25)*Calculateur!BL76*Calculateur!BN76*VLOOKUP('Données projet'!$B$11,Paramètres!$A$1:$I$89,3,0)*0.475*44/12</f>
        <v>9.1589598586931142</v>
      </c>
      <c r="BR76" s="21">
        <f>EXP(-LN(2)/2)*BR75+(1-EXP(-LN(2)/2))/(LN(2)/2)*BL76*BO76*VLOOKUP('Données projet'!$B$11,Paramètres!$A$1:$I$89,3,0)*0.475*44/12</f>
        <v>1.0965628254453141E-5</v>
      </c>
      <c r="BS76" s="22">
        <f t="shared" si="63"/>
        <v>11.108294801130409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4.4000000000000004</v>
      </c>
      <c r="BY76" s="12">
        <f>IF('Données projet'!$A$114&gt;35,BY75+BX76-CG75,IF(A76&lt;'Données projet'!$A$114,$BV$205^A76,IF(A76='Données projet'!$A$114,'Données projet'!$B$114,BY75+BX76-CG75)))</f>
        <v>364.19999999999993</v>
      </c>
      <c r="BZ76" s="13">
        <f>BY76*VLOOKUP('Données projet'!$B$12,Paramètres!$A$1:$I$89,3,0)*VLOOKUP('Données projet'!$B$12,Paramètres!$A$1:$I$89,5,0)</f>
        <v>289.75751999999994</v>
      </c>
      <c r="CA76" s="13">
        <f t="shared" si="93"/>
        <v>69.024924431959747</v>
      </c>
      <c r="CB76" s="20">
        <f t="shared" si="64"/>
        <v>624.8794240523298</v>
      </c>
      <c r="CC76" s="59">
        <f t="shared" si="65"/>
        <v>918.21275738566305</v>
      </c>
      <c r="CD76" s="59">
        <f ca="1">AVERAGE(OFFSET($CC$3,0,0,'Données projet'!$E$12+1,1))-AVERAGE(OFFSET($H$3,0,0,'Données projet'!$E$12+1,1))</f>
        <v>314.94704727988847</v>
      </c>
      <c r="CE76" s="59">
        <f t="shared" si="94"/>
        <v>366.49199094166454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1.670937434243605</v>
      </c>
      <c r="CL76" s="21">
        <f>EXP(-LN(2)/25)*CL75+(1-EXP(-LN(2)/25))/(LN(2)/25)*Calculateur!CG76*Calculateur!CI76*VLOOKUP('Données projet'!$B$12,Paramètres!$A$1:$I$89,3,0)*0.475*44/12</f>
        <v>7.7122298408977743</v>
      </c>
      <c r="CM76" s="21">
        <f>EXP(-LN(2)/2)*CM75+(1-EXP(-LN(2)/2))/(LN(2)/2)*CG76*CJ76*VLOOKUP('Données projet'!$B$12,Paramètres!$A$1:$I$89,3,0)*0.475*44/12</f>
        <v>9.733978726353973E-6</v>
      </c>
      <c r="CN76" s="22">
        <f t="shared" si="66"/>
        <v>9.3831770091201054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7.4</v>
      </c>
      <c r="CT76" s="12">
        <f>IF('Données projet'!$A$140&gt;35,CT75+CS76-DB75,IF(A76&lt;'Données projet'!$A$140,$CQ$205^A76,IF(A76='Données projet'!$A$140,'Données projet'!$B$140,CT75+CS76-DB75)))</f>
        <v>296.19999999999993</v>
      </c>
      <c r="CU76" s="17">
        <f>CT76*VLOOKUP('Données projet'!$B$13,Paramètres!$A$1:$I$89,3,0)*VLOOKUP('Données projet'!$B$13,Paramètres!$A$1:$I$89,5,0)</f>
        <v>231.03599999999994</v>
      </c>
      <c r="CV76" s="13">
        <f t="shared" si="95"/>
        <v>56.506630326798415</v>
      </c>
      <c r="CW76" s="20">
        <f t="shared" si="67"/>
        <v>500.80341448584045</v>
      </c>
      <c r="CX76" s="59">
        <f t="shared" si="68"/>
        <v>794.13674781917371</v>
      </c>
      <c r="CY76" s="59">
        <f ca="1">AVERAGE(OFFSET($CX$3,0,0,'Données projet'!$E$13+1,1))-AVERAGE(OFFSET($H$3,0,0,'Données projet'!$E$13+1,1))</f>
        <v>261.59434871103355</v>
      </c>
      <c r="CZ76" s="59">
        <f t="shared" si="96"/>
        <v>194.97518096665976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0.88605635309501818</v>
      </c>
      <c r="DG76" s="21">
        <f>EXP(-LN(2)/25)*DG75+(1-EXP(-LN(2)/25))/(LN(2)/25)*Calculateur!DB76*Calculateur!DD76*VLOOKUP('Données projet'!$B$13,Paramètres!$A$1:$I$89,3,0)*0.475*44/12</f>
        <v>3.5472053932690915</v>
      </c>
      <c r="DH76" s="21">
        <f>EXP(-LN(2)/2)*DH75+(1-EXP(-LN(2)/2))/(LN(2)/2)*DB76*DE76*VLOOKUP('Données projet'!$B$13,Paramètres!$A$1:$I$89,3,0)*0.475*44/12</f>
        <v>6.319145111975173E-6</v>
      </c>
      <c r="DI76" s="22">
        <f t="shared" si="69"/>
        <v>4.433268065509222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6.1</v>
      </c>
      <c r="N77" s="13">
        <f>IF('Données projet'!$A$36&gt;35,N76+M77-V76,IF(A77&lt;'Données projet'!$A$36,$K$205^A77,IF(A77='Données projet'!$A$36,'Données projet'!$B$36,N76+M77-V76)))</f>
        <v>245.40000000000018</v>
      </c>
      <c r="O77" s="13">
        <f>N77*VLOOKUP('Données projet'!$B$9,Paramètres!$A$1:$I$89,3,0)*VLOOKUP('Données projet'!$B$9,Paramètres!$A$1:$I$89,5,0)</f>
        <v>222.03792000000013</v>
      </c>
      <c r="P77" s="13">
        <f t="shared" si="87"/>
        <v>54.5575795882731</v>
      </c>
      <c r="Q77" s="20">
        <f t="shared" si="54"/>
        <v>481.7371617829092</v>
      </c>
      <c r="R77" s="59">
        <f t="shared" si="55"/>
        <v>775.07049511624245</v>
      </c>
      <c r="S77" s="59">
        <f ca="1">AVERAGE(OFFSET($R$3,0,0,'Données projet'!$E$9+1,1))-AVERAGE(OFFSET($H$3,0,0,'Données projet'!$E$9+1,1))</f>
        <v>237.22177246688199</v>
      </c>
      <c r="T77" s="59">
        <f t="shared" si="88"/>
        <v>149.27472147904302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</v>
      </c>
      <c r="AA77" s="21">
        <f>EXP(-LN(2)/25)*AA76+(1-EXP(-LN(2)/25))/(LN(2)/25)*Calculateur!V77*Calculateur!X77*VLOOKUP('Données projet'!$B$9,Paramètres!$A$1:$I$89,3,0)*0.475*44/12</f>
        <v>0.91702254714110787</v>
      </c>
      <c r="AB77" s="21">
        <f>EXP(-LN(2)/2)*AB76+(1-EXP(-LN(2)/2))/(LN(2)/2)*V77*Y77*VLOOKUP('Données projet'!$B$9,Paramètres!$A$1:$I$89,3,0)*0.475*44/12</f>
        <v>1.4756555210181301E-6</v>
      </c>
      <c r="AC77" s="22">
        <f t="shared" si="57"/>
        <v>0.91702402279662887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>
        <f>AI77*VLOOKUP('Données projet'!$B$10,Paramètres!$A$1:$I$89,3,0)*VLOOKUP('Données projet'!$B$10,Paramètres!$A$1:$I$89,5,0)</f>
        <v>0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243.38048563215585</v>
      </c>
      <c r="AO77" s="59">
        <f t="shared" si="90"/>
        <v>372.1604147006675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3.0577582761504627</v>
      </c>
      <c r="AV77" s="21">
        <f>EXP(-LN(2)/25)*AV76+(1-EXP(-LN(2)/25))/(LN(2)/25)*Calculateur!AQ77*Calculateur!AS77*VLOOKUP('Données projet'!$B$10,Paramètres!$A$1:$I$89,3,0)*0.475*44/12</f>
        <v>5.7167215016438977</v>
      </c>
      <c r="AW77" s="21">
        <f>EXP(-LN(2)/2)*AW76+(1-EXP(-LN(2)/2))/(LN(2)/2)*AQ77*AT77*VLOOKUP('Données projet'!$B$10,Paramètres!$A$1:$I$89,3,0)*0.475*44/12</f>
        <v>6.9892261536507994E-6</v>
      </c>
      <c r="AX77" s="21">
        <f t="shared" si="60"/>
        <v>8.7744867670205142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10.4</v>
      </c>
      <c r="BD77" s="12">
        <f>IF('Données projet'!$A$88&gt;35,BD76+BC77-BL76,IF(A77&lt;'Données projet'!$A$88,$BA$205^A77,IF(A77='Données projet'!$A$88,'Données projet'!$B$88,BD76+BC77-BL76)))</f>
        <v>588.59999999999957</v>
      </c>
      <c r="BE77" s="13">
        <f>BD77*VLOOKUP('Données projet'!$B$11,Paramètres!$A$1:$I$89,3,0)*VLOOKUP('Données projet'!$B$11,Paramètres!$A$1:$I$89,5,0)</f>
        <v>329.02739999999977</v>
      </c>
      <c r="BF77" s="13">
        <f t="shared" si="91"/>
        <v>77.228627751120342</v>
      </c>
      <c r="BG77" s="20">
        <f t="shared" si="61"/>
        <v>707.56258166653413</v>
      </c>
      <c r="BH77" s="59">
        <f t="shared" si="62"/>
        <v>1000.8959149998675</v>
      </c>
      <c r="BI77" s="59">
        <f ca="1">AVERAGE(OFFSET($BH$3,0,0,'Données projet'!$E$11+1,1))-AVERAGE(OFFSET($H$3,0,0,'Données projet'!$E$11+1,1))</f>
        <v>326.31232746914907</v>
      </c>
      <c r="BJ77" s="59">
        <f t="shared" si="92"/>
        <v>330.17137761430297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1.9110989225940405</v>
      </c>
      <c r="BQ77" s="21">
        <f>EXP(-LN(2)/25)*BQ76+(1-EXP(-LN(2)/25))/(LN(2)/25)*Calculateur!BL77*Calculateur!BN77*VLOOKUP('Données projet'!$B$11,Paramètres!$A$1:$I$89,3,0)*0.475*44/12</f>
        <v>8.9085076197083843</v>
      </c>
      <c r="BR77" s="21">
        <f>EXP(-LN(2)/2)*BR76+(1-EXP(-LN(2)/2))/(LN(2)/2)*BL77*BO77*VLOOKUP('Données projet'!$B$11,Paramètres!$A$1:$I$89,3,0)*0.475*44/12</f>
        <v>7.7538700986946205E-6</v>
      </c>
      <c r="BS77" s="22">
        <f t="shared" si="63"/>
        <v>10.819614296172524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4.4000000000000004</v>
      </c>
      <c r="BY77" s="12">
        <f>IF('Données projet'!$A$114&gt;35,BY76+BX77-CG76,IF(A77&lt;'Données projet'!$A$114,$BV$205^A77,IF(A77='Données projet'!$A$114,'Données projet'!$B$114,BY76+BX77-CG76)))</f>
        <v>368.59999999999991</v>
      </c>
      <c r="BZ77" s="13">
        <f>BY77*VLOOKUP('Données projet'!$B$12,Paramètres!$A$1:$I$89,3,0)*VLOOKUP('Données projet'!$B$12,Paramètres!$A$1:$I$89,5,0)</f>
        <v>293.25815999999998</v>
      </c>
      <c r="CA77" s="13">
        <f t="shared" si="93"/>
        <v>69.761250666559334</v>
      </c>
      <c r="CB77" s="20">
        <f t="shared" si="64"/>
        <v>632.25880691092414</v>
      </c>
      <c r="CC77" s="59">
        <f t="shared" si="65"/>
        <v>925.59214024425751</v>
      </c>
      <c r="CD77" s="59">
        <f ca="1">AVERAGE(OFFSET($CC$3,0,0,'Données projet'!$E$12+1,1))-AVERAGE(OFFSET($H$3,0,0,'Données projet'!$E$12+1,1))</f>
        <v>314.94704727988847</v>
      </c>
      <c r="CE77" s="59">
        <f t="shared" si="94"/>
        <v>366.49199094166454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1.6381713703292879</v>
      </c>
      <c r="CL77" s="21">
        <f>EXP(-LN(2)/25)*CL76+(1-EXP(-LN(2)/25))/(LN(2)/25)*Calculateur!CG77*Calculateur!CI77*VLOOKUP('Données projet'!$B$12,Paramètres!$A$1:$I$89,3,0)*0.475*44/12</f>
        <v>7.5013385103298837</v>
      </c>
      <c r="CM77" s="21">
        <f>EXP(-LN(2)/2)*CM76+(1-EXP(-LN(2)/2))/(LN(2)/2)*CG77*CJ77*VLOOKUP('Données projet'!$B$12,Paramètres!$A$1:$I$89,3,0)*0.475*44/12</f>
        <v>6.8829623653304874E-6</v>
      </c>
      <c r="CN77" s="22">
        <f t="shared" si="66"/>
        <v>9.139516763621538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7.4</v>
      </c>
      <c r="CT77" s="12">
        <f>IF('Données projet'!$A$140&gt;35,CT76+CS77-DB76,IF(A77&lt;'Données projet'!$A$140,$CQ$205^A77,IF(A77='Données projet'!$A$140,'Données projet'!$B$140,CT76+CS77-DB76)))</f>
        <v>303.59999999999991</v>
      </c>
      <c r="CU77" s="17">
        <f>CT77*VLOOKUP('Données projet'!$B$13,Paramètres!$A$1:$I$89,3,0)*VLOOKUP('Données projet'!$B$13,Paramètres!$A$1:$I$89,5,0)</f>
        <v>236.80799999999994</v>
      </c>
      <c r="CV77" s="13">
        <f t="shared" si="95"/>
        <v>57.752221878398714</v>
      </c>
      <c r="CW77" s="20">
        <f t="shared" si="67"/>
        <v>513.02571977154435</v>
      </c>
      <c r="CX77" s="59">
        <f t="shared" si="68"/>
        <v>806.3590531048776</v>
      </c>
      <c r="CY77" s="59">
        <f ca="1">AVERAGE(OFFSET($CX$3,0,0,'Données projet'!$E$13+1,1))-AVERAGE(OFFSET($H$3,0,0,'Données projet'!$E$13+1,1))</f>
        <v>261.59434871103355</v>
      </c>
      <c r="CZ77" s="59">
        <f t="shared" si="96"/>
        <v>194.97518096665976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0.8686813284518361</v>
      </c>
      <c r="DG77" s="21">
        <f>EXP(-LN(2)/25)*DG76+(1-EXP(-LN(2)/25))/(LN(2)/25)*Calculateur!DB77*Calculateur!DD77*VLOOKUP('Données projet'!$B$13,Paramètres!$A$1:$I$89,3,0)*0.475*44/12</f>
        <v>3.4502068752507236</v>
      </c>
      <c r="DH77" s="21">
        <f>EXP(-LN(2)/2)*DH76+(1-EXP(-LN(2)/2))/(LN(2)/2)*DB77*DE77*VLOOKUP('Données projet'!$B$13,Paramètres!$A$1:$I$89,3,0)*0.475*44/12</f>
        <v>4.46831035997947E-6</v>
      </c>
      <c r="DI77" s="22">
        <f t="shared" si="69"/>
        <v>4.3188926720129199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6.1</v>
      </c>
      <c r="N78" s="13">
        <f>IF('Données projet'!$A$36&gt;35,N77+M78-V77,IF(A78&lt;'Données projet'!$A$36,$K$205^A78,IF(A78='Données projet'!$A$36,'Données projet'!$B$36,N77+M78-V77)))</f>
        <v>251.50000000000017</v>
      </c>
      <c r="O78" s="13">
        <f>N78*VLOOKUP('Données projet'!$B$9,Paramètres!$A$1:$I$89,3,0)*VLOOKUP('Données projet'!$B$9,Paramètres!$A$1:$I$89,5,0)</f>
        <v>227.55720000000014</v>
      </c>
      <c r="P78" s="13">
        <f t="shared" si="87"/>
        <v>55.754163267932753</v>
      </c>
      <c r="Q78" s="20">
        <f t="shared" si="54"/>
        <v>493.43395769164982</v>
      </c>
      <c r="R78" s="59">
        <f t="shared" si="55"/>
        <v>786.76729102498314</v>
      </c>
      <c r="S78" s="59">
        <f ca="1">AVERAGE(OFFSET($R$3,0,0,'Données projet'!$E$9+1,1))-AVERAGE(OFFSET($H$3,0,0,'Données projet'!$E$9+1,1))</f>
        <v>237.22177246688199</v>
      </c>
      <c r="T78" s="59">
        <f t="shared" si="88"/>
        <v>149.27472147904302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</v>
      </c>
      <c r="AA78" s="21">
        <f>EXP(-LN(2)/25)*AA77+(1-EXP(-LN(2)/25))/(LN(2)/25)*Calculateur!V78*Calculateur!X78*VLOOKUP('Données projet'!$B$9,Paramètres!$A$1:$I$89,3,0)*0.475*44/12</f>
        <v>0.89194651736541442</v>
      </c>
      <c r="AB78" s="21">
        <f>EXP(-LN(2)/2)*AB77+(1-EXP(-LN(2)/2))/(LN(2)/2)*V78*Y78*VLOOKUP('Données projet'!$B$9,Paramètres!$A$1:$I$89,3,0)*0.475*44/12</f>
        <v>1.0434460256072877E-6</v>
      </c>
      <c r="AC78" s="22">
        <f t="shared" si="57"/>
        <v>0.89194756081144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>
        <f>AI78*VLOOKUP('Données projet'!$B$10,Paramètres!$A$1:$I$89,3,0)*VLOOKUP('Données projet'!$B$10,Paramètres!$A$1:$I$89,5,0)</f>
        <v>0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243.38048563215585</v>
      </c>
      <c r="AO78" s="59">
        <f t="shared" si="90"/>
        <v>372.1604147006675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2.9977975014035425</v>
      </c>
      <c r="AV78" s="21">
        <f>EXP(-LN(2)/25)*AV77+(1-EXP(-LN(2)/25))/(LN(2)/25)*Calculateur!AQ78*Calculateur!AS78*VLOOKUP('Données projet'!$B$10,Paramètres!$A$1:$I$89,3,0)*0.475*44/12</f>
        <v>5.5603974515521273</v>
      </c>
      <c r="AW78" s="21">
        <f>EXP(-LN(2)/2)*AW77+(1-EXP(-LN(2)/2))/(LN(2)/2)*AQ78*AT78*VLOOKUP('Données projet'!$B$10,Paramètres!$A$1:$I$89,3,0)*0.475*44/12</f>
        <v>4.9421292084928509E-6</v>
      </c>
      <c r="AX78" s="21">
        <f t="shared" si="60"/>
        <v>8.5581998950848792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10.4</v>
      </c>
      <c r="BD78" s="12">
        <f>IF('Données projet'!$A$88&gt;35,BD77+BC78-BL77,IF(A78&lt;'Données projet'!$A$88,$BA$205^A78,IF(A78='Données projet'!$A$88,'Données projet'!$B$88,BD77+BC78-BL77)))</f>
        <v>598.99999999999955</v>
      </c>
      <c r="BE78" s="13">
        <f>BD78*VLOOKUP('Données projet'!$B$11,Paramètres!$A$1:$I$89,3,0)*VLOOKUP('Données projet'!$B$11,Paramètres!$A$1:$I$89,5,0)</f>
        <v>334.84099999999978</v>
      </c>
      <c r="BF78" s="13">
        <f t="shared" si="91"/>
        <v>78.433117720461652</v>
      </c>
      <c r="BG78" s="20">
        <f t="shared" si="61"/>
        <v>719.78575502980368</v>
      </c>
      <c r="BH78" s="59">
        <f t="shared" si="62"/>
        <v>1013.1190883631371</v>
      </c>
      <c r="BI78" s="59">
        <f ca="1">AVERAGE(OFFSET($BH$3,0,0,'Données projet'!$E$11+1,1))-AVERAGE(OFFSET($H$3,0,0,'Données projet'!$E$11+1,1))</f>
        <v>326.31232746914907</v>
      </c>
      <c r="BJ78" s="59">
        <f t="shared" si="92"/>
        <v>330.17137761430297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1.8736234383772152</v>
      </c>
      <c r="BQ78" s="21">
        <f>EXP(-LN(2)/25)*BQ77+(1-EXP(-LN(2)/25))/(LN(2)/25)*Calculateur!BL78*Calculateur!BN78*VLOOKUP('Données projet'!$B$11,Paramètres!$A$1:$I$89,3,0)*0.475*44/12</f>
        <v>8.6649040103694031</v>
      </c>
      <c r="BR78" s="21">
        <f>EXP(-LN(2)/2)*BR77+(1-EXP(-LN(2)/2))/(LN(2)/2)*BL78*BO78*VLOOKUP('Données projet'!$B$11,Paramètres!$A$1:$I$89,3,0)*0.475*44/12</f>
        <v>5.4828141272265707E-6</v>
      </c>
      <c r="BS78" s="22">
        <f t="shared" si="63"/>
        <v>10.538532931560747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4.4000000000000004</v>
      </c>
      <c r="BY78" s="12">
        <f>IF('Données projet'!$A$114&gt;35,BY77+BX78-CG77,IF(A78&lt;'Données projet'!$A$114,$BV$205^A78,IF(A78='Données projet'!$A$114,'Données projet'!$B$114,BY77+BX78-CG77)))</f>
        <v>372.99999999999989</v>
      </c>
      <c r="BZ78" s="13">
        <f>BY78*VLOOKUP('Données projet'!$B$12,Paramètres!$A$1:$I$89,3,0)*VLOOKUP('Données projet'!$B$12,Paramètres!$A$1:$I$89,5,0)</f>
        <v>296.75879999999989</v>
      </c>
      <c r="CA78" s="13">
        <f t="shared" si="93"/>
        <v>70.496554480015604</v>
      </c>
      <c r="CB78" s="20">
        <f t="shared" si="64"/>
        <v>639.63640905269369</v>
      </c>
      <c r="CC78" s="59">
        <f t="shared" si="65"/>
        <v>932.96974238602706</v>
      </c>
      <c r="CD78" s="59">
        <f ca="1">AVERAGE(OFFSET($CC$3,0,0,'Données projet'!$E$12+1,1))-AVERAGE(OFFSET($H$3,0,0,'Données projet'!$E$12+1,1))</f>
        <v>314.94704727988847</v>
      </c>
      <c r="CE78" s="59">
        <f t="shared" si="94"/>
        <v>366.49199094166454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1.6060478289430051</v>
      </c>
      <c r="CL78" s="21">
        <f>EXP(-LN(2)/25)*CL77+(1-EXP(-LN(2)/25))/(LN(2)/25)*Calculateur!CG78*Calculateur!CI78*VLOOKUP('Données projet'!$B$12,Paramètres!$A$1:$I$89,3,0)*0.475*44/12</f>
        <v>7.2962140142866652</v>
      </c>
      <c r="CM78" s="21">
        <f>EXP(-LN(2)/2)*CM77+(1-EXP(-LN(2)/2))/(LN(2)/2)*CG78*CJ78*VLOOKUP('Données projet'!$B$12,Paramètres!$A$1:$I$89,3,0)*0.475*44/12</f>
        <v>4.8669893631769865E-6</v>
      </c>
      <c r="CN78" s="22">
        <f t="shared" si="66"/>
        <v>8.9022667102190329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7.4</v>
      </c>
      <c r="CT78" s="12">
        <f>IF('Données projet'!$A$140&gt;35,CT77+CS78-DB77,IF(A78&lt;'Données projet'!$A$140,$CQ$205^A78,IF(A78='Données projet'!$A$140,'Données projet'!$B$140,CT77+CS78-DB77)))</f>
        <v>310.99999999999989</v>
      </c>
      <c r="CU78" s="17">
        <f>CT78*VLOOKUP('Données projet'!$B$13,Paramètres!$A$1:$I$89,3,0)*VLOOKUP('Données projet'!$B$13,Paramètres!$A$1:$I$89,5,0)</f>
        <v>242.57999999999993</v>
      </c>
      <c r="CV78" s="13">
        <f t="shared" si="95"/>
        <v>58.994284133853952</v>
      </c>
      <c r="CW78" s="20">
        <f t="shared" si="67"/>
        <v>525.24187819979545</v>
      </c>
      <c r="CX78" s="59">
        <f t="shared" si="68"/>
        <v>818.57521153312882</v>
      </c>
      <c r="CY78" s="59">
        <f ca="1">AVERAGE(OFFSET($CX$3,0,0,'Données projet'!$E$13+1,1))-AVERAGE(OFFSET($H$3,0,0,'Données projet'!$E$13+1,1))</f>
        <v>261.59434871103355</v>
      </c>
      <c r="CZ78" s="59">
        <f t="shared" si="96"/>
        <v>194.97518096665976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0.85164701744418825</v>
      </c>
      <c r="DG78" s="21">
        <f>EXP(-LN(2)/25)*DG77+(1-EXP(-LN(2)/25))/(LN(2)/25)*Calculateur!DB78*Calculateur!DD78*VLOOKUP('Données projet'!$B$13,Paramètres!$A$1:$I$89,3,0)*0.475*44/12</f>
        <v>3.3558607868084986</v>
      </c>
      <c r="DH78" s="21">
        <f>EXP(-LN(2)/2)*DH77+(1-EXP(-LN(2)/2))/(LN(2)/2)*DB78*DE78*VLOOKUP('Données projet'!$B$13,Paramètres!$A$1:$I$89,3,0)*0.475*44/12</f>
        <v>3.1595725559875865E-6</v>
      </c>
      <c r="DI78" s="22">
        <f t="shared" si="69"/>
        <v>4.2075109638252428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6.1</v>
      </c>
      <c r="N79" s="13">
        <f>IF('Données projet'!$A$36&gt;35,N78+M79-V78,IF(A79&lt;'Données projet'!$A$36,$K$205^A79,IF(A79='Données projet'!$A$36,'Données projet'!$B$36,N78+M79-V78)))</f>
        <v>257.60000000000019</v>
      </c>
      <c r="O79" s="13">
        <f>N79*VLOOKUP('Données projet'!$B$9,Paramètres!$A$1:$I$89,3,0)*VLOOKUP('Données projet'!$B$9,Paramètres!$A$1:$I$89,5,0)</f>
        <v>233.07648000000017</v>
      </c>
      <c r="P79" s="13">
        <f t="shared" si="87"/>
        <v>56.947373142454929</v>
      </c>
      <c r="Q79" s="20">
        <f t="shared" si="54"/>
        <v>505.12487755644264</v>
      </c>
      <c r="R79" s="59">
        <f t="shared" si="55"/>
        <v>798.45821088977596</v>
      </c>
      <c r="S79" s="59">
        <f ca="1">AVERAGE(OFFSET($R$3,0,0,'Données projet'!$E$9+1,1))-AVERAGE(OFFSET($H$3,0,0,'Données projet'!$E$9+1,1))</f>
        <v>237.22177246688199</v>
      </c>
      <c r="T79" s="59">
        <f t="shared" si="88"/>
        <v>149.27472147904302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</v>
      </c>
      <c r="AA79" s="21">
        <f>EXP(-LN(2)/25)*AA78+(1-EXP(-LN(2)/25))/(LN(2)/25)*Calculateur!V79*Calculateur!X79*VLOOKUP('Données projet'!$B$9,Paramètres!$A$1:$I$89,3,0)*0.475*44/12</f>
        <v>0.86755619294262842</v>
      </c>
      <c r="AB79" s="21">
        <f>EXP(-LN(2)/2)*AB78+(1-EXP(-LN(2)/2))/(LN(2)/2)*V79*Y79*VLOOKUP('Données projet'!$B$9,Paramètres!$A$1:$I$89,3,0)*0.475*44/12</f>
        <v>7.3782776050906506E-7</v>
      </c>
      <c r="AC79" s="22">
        <f t="shared" si="57"/>
        <v>0.86755693077038898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>
        <f>AI79*VLOOKUP('Données projet'!$B$10,Paramètres!$A$1:$I$89,3,0)*VLOOKUP('Données projet'!$B$10,Paramètres!$A$1:$I$89,5,0)</f>
        <v>0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243.38048563215585</v>
      </c>
      <c r="AO79" s="59">
        <f t="shared" si="90"/>
        <v>372.1604147006675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2.9390125208769478</v>
      </c>
      <c r="AV79" s="21">
        <f>EXP(-LN(2)/25)*AV78+(1-EXP(-LN(2)/25))/(LN(2)/25)*Calculateur!AQ79*Calculateur!AS79*VLOOKUP('Données projet'!$B$10,Paramètres!$A$1:$I$89,3,0)*0.475*44/12</f>
        <v>5.4083480908308408</v>
      </c>
      <c r="AW79" s="21">
        <f>EXP(-LN(2)/2)*AW78+(1-EXP(-LN(2)/2))/(LN(2)/2)*AQ79*AT79*VLOOKUP('Données projet'!$B$10,Paramètres!$A$1:$I$89,3,0)*0.475*44/12</f>
        <v>3.4946130768253997E-6</v>
      </c>
      <c r="AX79" s="21">
        <f t="shared" si="60"/>
        <v>8.3473641063208657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10.4</v>
      </c>
      <c r="BD79" s="12">
        <f>IF('Données projet'!$A$88&gt;35,BD78+BC79-BL78,IF(A79&lt;'Données projet'!$A$88,$BA$205^A79,IF(A79='Données projet'!$A$88,'Données projet'!$B$88,BD78+BC79-BL78)))</f>
        <v>609.39999999999952</v>
      </c>
      <c r="BE79" s="13">
        <f>BD79*VLOOKUP('Données projet'!$B$11,Paramètres!$A$1:$I$89,3,0)*VLOOKUP('Données projet'!$B$11,Paramètres!$A$1:$I$89,5,0)</f>
        <v>340.65459999999973</v>
      </c>
      <c r="BF79" s="13">
        <f t="shared" si="91"/>
        <v>79.635175782709197</v>
      </c>
      <c r="BG79" s="20">
        <f t="shared" si="61"/>
        <v>732.00469282155143</v>
      </c>
      <c r="BH79" s="59">
        <f t="shared" si="62"/>
        <v>1025.3380261548848</v>
      </c>
      <c r="BI79" s="59">
        <f ca="1">AVERAGE(OFFSET($BH$3,0,0,'Données projet'!$E$11+1,1))-AVERAGE(OFFSET($H$3,0,0,'Données projet'!$E$11+1,1))</f>
        <v>326.31232746914907</v>
      </c>
      <c r="BJ79" s="59">
        <f t="shared" si="92"/>
        <v>330.17137761430297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1.8368828255480936</v>
      </c>
      <c r="BQ79" s="21">
        <f>EXP(-LN(2)/25)*BQ78+(1-EXP(-LN(2)/25))/(LN(2)/25)*Calculateur!BL79*Calculateur!BN79*VLOOKUP('Données projet'!$B$11,Paramètres!$A$1:$I$89,3,0)*0.475*44/12</f>
        <v>8.4279617545383534</v>
      </c>
      <c r="BR79" s="21">
        <f>EXP(-LN(2)/2)*BR78+(1-EXP(-LN(2)/2))/(LN(2)/2)*BL79*BO79*VLOOKUP('Données projet'!$B$11,Paramètres!$A$1:$I$89,3,0)*0.475*44/12</f>
        <v>3.8769350493473103E-6</v>
      </c>
      <c r="BS79" s="22">
        <f t="shared" si="63"/>
        <v>10.264848457021495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4.4000000000000004</v>
      </c>
      <c r="BY79" s="12">
        <f>IF('Données projet'!$A$114&gt;35,BY78+BX79-CG78,IF(A79&lt;'Données projet'!$A$114,$BV$205^A79,IF(A79='Données projet'!$A$114,'Données projet'!$B$114,BY78+BX79-CG78)))</f>
        <v>377.39999999999986</v>
      </c>
      <c r="BZ79" s="13">
        <f>BY79*VLOOKUP('Données projet'!$B$12,Paramètres!$A$1:$I$89,3,0)*VLOOKUP('Données projet'!$B$12,Paramètres!$A$1:$I$89,5,0)</f>
        <v>300.25943999999993</v>
      </c>
      <c r="CA79" s="13">
        <f t="shared" si="93"/>
        <v>71.230849328317547</v>
      </c>
      <c r="CB79" s="20">
        <f t="shared" si="64"/>
        <v>647.01225391348623</v>
      </c>
      <c r="CC79" s="59">
        <f t="shared" si="65"/>
        <v>940.3455872468196</v>
      </c>
      <c r="CD79" s="59">
        <f ca="1">AVERAGE(OFFSET($CC$3,0,0,'Données projet'!$E$12+1,1))-AVERAGE(OFFSET($H$3,0,0,'Données projet'!$E$12+1,1))</f>
        <v>314.94704727988847</v>
      </c>
      <c r="CE79" s="59">
        <f t="shared" si="94"/>
        <v>366.49199094166454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1.5745542106098818</v>
      </c>
      <c r="CL79" s="21">
        <f>EXP(-LN(2)/25)*CL78+(1-EXP(-LN(2)/25))/(LN(2)/25)*Calculateur!CG79*Calculateur!CI79*VLOOKUP('Données projet'!$B$12,Paramètres!$A$1:$I$89,3,0)*0.475*44/12</f>
        <v>7.0966986583747769</v>
      </c>
      <c r="CM79" s="21">
        <f>EXP(-LN(2)/2)*CM78+(1-EXP(-LN(2)/2))/(LN(2)/2)*CG79*CJ79*VLOOKUP('Données projet'!$B$12,Paramètres!$A$1:$I$89,3,0)*0.475*44/12</f>
        <v>3.4414811826652437E-6</v>
      </c>
      <c r="CN79" s="22">
        <f t="shared" si="66"/>
        <v>8.6712563104658411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7.4</v>
      </c>
      <c r="CT79" s="12">
        <f>IF('Données projet'!$A$140&gt;35,CT78+CS79-DB78,IF(A79&lt;'Données projet'!$A$140,$CQ$205^A79,IF(A79='Données projet'!$A$140,'Données projet'!$B$140,CT78+CS79-DB78)))</f>
        <v>318.39999999999986</v>
      </c>
      <c r="CU79" s="17">
        <f>CT79*VLOOKUP('Données projet'!$B$13,Paramètres!$A$1:$I$89,3,0)*VLOOKUP('Données projet'!$B$13,Paramètres!$A$1:$I$89,5,0)</f>
        <v>248.35199999999989</v>
      </c>
      <c r="CV79" s="13">
        <f t="shared" si="95"/>
        <v>60.2329107330429</v>
      </c>
      <c r="CW79" s="20">
        <f t="shared" si="67"/>
        <v>537.45205286004943</v>
      </c>
      <c r="CX79" s="59">
        <f t="shared" si="68"/>
        <v>830.78538619338269</v>
      </c>
      <c r="CY79" s="59">
        <f ca="1">AVERAGE(OFFSET($CX$3,0,0,'Données projet'!$E$13+1,1))-AVERAGE(OFFSET($H$3,0,0,'Données projet'!$E$13+1,1))</f>
        <v>261.59434871103355</v>
      </c>
      <c r="CZ79" s="59">
        <f t="shared" si="96"/>
        <v>194.97518096665976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0.83494673888549664</v>
      </c>
      <c r="DG79" s="21">
        <f>EXP(-LN(2)/25)*DG78+(1-EXP(-LN(2)/25))/(LN(2)/25)*Calculateur!DB79*Calculateur!DD79*VLOOKUP('Données projet'!$B$13,Paramètres!$A$1:$I$89,3,0)*0.475*44/12</f>
        <v>3.2640945971161712</v>
      </c>
      <c r="DH79" s="21">
        <f>EXP(-LN(2)/2)*DH78+(1-EXP(-LN(2)/2))/(LN(2)/2)*DB79*DE79*VLOOKUP('Données projet'!$B$13,Paramètres!$A$1:$I$89,3,0)*0.475*44/12</f>
        <v>2.234155179989735E-6</v>
      </c>
      <c r="DI79" s="22">
        <f t="shared" si="69"/>
        <v>4.0990435701568479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6.1</v>
      </c>
      <c r="N80" s="13">
        <f>IF('Données projet'!$A$36&gt;35,N79+M80-V79,IF(A80&lt;'Données projet'!$A$36,$K$205^A80,IF(A80='Données projet'!$A$36,'Données projet'!$B$36,N79+M80-V79)))</f>
        <v>263.70000000000022</v>
      </c>
      <c r="O80" s="13">
        <f>N80*VLOOKUP('Données projet'!$B$9,Paramètres!$A$1:$I$89,3,0)*VLOOKUP('Données projet'!$B$9,Paramètres!$A$1:$I$89,5,0)</f>
        <v>238.59576000000018</v>
      </c>
      <c r="P80" s="13">
        <f t="shared" si="87"/>
        <v>58.137298297430824</v>
      </c>
      <c r="Q80" s="20">
        <f t="shared" si="54"/>
        <v>516.81007653469237</v>
      </c>
      <c r="R80" s="59">
        <f t="shared" si="55"/>
        <v>810.14340986802563</v>
      </c>
      <c r="S80" s="59">
        <f ca="1">AVERAGE(OFFSET($R$3,0,0,'Données projet'!$E$9+1,1))-AVERAGE(OFFSET($H$3,0,0,'Données projet'!$E$9+1,1))</f>
        <v>237.22177246688199</v>
      </c>
      <c r="T80" s="59">
        <f t="shared" si="88"/>
        <v>149.27472147904302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</v>
      </c>
      <c r="AA80" s="21">
        <f>EXP(-LN(2)/25)*AA79+(1-EXP(-LN(2)/25))/(LN(2)/25)*Calculateur!V80*Calculateur!X80*VLOOKUP('Données projet'!$B$9,Paramètres!$A$1:$I$89,3,0)*0.475*44/12</f>
        <v>0.84383282322381492</v>
      </c>
      <c r="AB80" s="21">
        <f>EXP(-LN(2)/2)*AB79+(1-EXP(-LN(2)/2))/(LN(2)/2)*V80*Y80*VLOOKUP('Données projet'!$B$9,Paramètres!$A$1:$I$89,3,0)*0.475*44/12</f>
        <v>5.2172301280364385E-7</v>
      </c>
      <c r="AC80" s="22">
        <f t="shared" si="57"/>
        <v>0.84383334494682771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>
        <f>AI80*VLOOKUP('Données projet'!$B$10,Paramètres!$A$1:$I$89,3,0)*VLOOKUP('Données projet'!$B$10,Paramètres!$A$1:$I$89,5,0)</f>
        <v>0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243.38048563215585</v>
      </c>
      <c r="AO80" s="59">
        <f t="shared" si="90"/>
        <v>372.1604147006675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2.8813802779631819</v>
      </c>
      <c r="AV80" s="21">
        <f>EXP(-LN(2)/25)*AV79+(1-EXP(-LN(2)/25))/(LN(2)/25)*Calculateur!AQ80*Calculateur!AS80*VLOOKUP('Données projet'!$B$10,Paramètres!$A$1:$I$89,3,0)*0.475*44/12</f>
        <v>5.260456527874406</v>
      </c>
      <c r="AW80" s="21">
        <f>EXP(-LN(2)/2)*AW79+(1-EXP(-LN(2)/2))/(LN(2)/2)*AQ80*AT80*VLOOKUP('Données projet'!$B$10,Paramètres!$A$1:$I$89,3,0)*0.475*44/12</f>
        <v>2.4710646042464255E-6</v>
      </c>
      <c r="AX80" s="21">
        <f t="shared" si="60"/>
        <v>8.1418392769021928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10.4</v>
      </c>
      <c r="BD80" s="12">
        <f>IF('Données projet'!$A$88&gt;35,BD79+BC80-BL79,IF(A80&lt;'Données projet'!$A$88,$BA$205^A80,IF(A80='Données projet'!$A$88,'Données projet'!$B$88,BD79+BC80-BL79)))</f>
        <v>619.7999999999995</v>
      </c>
      <c r="BE80" s="13">
        <f>BD80*VLOOKUP('Données projet'!$B$11,Paramètres!$A$1:$I$89,3,0)*VLOOKUP('Données projet'!$B$11,Paramètres!$A$1:$I$89,5,0)</f>
        <v>346.46819999999974</v>
      </c>
      <c r="BF80" s="13">
        <f t="shared" si="91"/>
        <v>80.834848230178139</v>
      </c>
      <c r="BG80" s="20">
        <f t="shared" si="61"/>
        <v>744.21947566755978</v>
      </c>
      <c r="BH80" s="59">
        <f t="shared" si="62"/>
        <v>1037.5528090008931</v>
      </c>
      <c r="BI80" s="59">
        <f ca="1">AVERAGE(OFFSET($BH$3,0,0,'Données projet'!$E$11+1,1))-AVERAGE(OFFSET($H$3,0,0,'Données projet'!$E$11+1,1))</f>
        <v>326.31232746914907</v>
      </c>
      <c r="BJ80" s="59">
        <f t="shared" si="92"/>
        <v>330.17137761430297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1.8008626737269899</v>
      </c>
      <c r="BQ80" s="21">
        <f>EXP(-LN(2)/25)*BQ79+(1-EXP(-LN(2)/25))/(LN(2)/25)*Calculateur!BL80*Calculateur!BN80*VLOOKUP('Données projet'!$B$11,Paramètres!$A$1:$I$89,3,0)*0.475*44/12</f>
        <v>8.1974986971532555</v>
      </c>
      <c r="BR80" s="21">
        <f>EXP(-LN(2)/2)*BR79+(1-EXP(-LN(2)/2))/(LN(2)/2)*BL80*BO80*VLOOKUP('Données projet'!$B$11,Paramètres!$A$1:$I$89,3,0)*0.475*44/12</f>
        <v>2.7414070636132853E-6</v>
      </c>
      <c r="BS80" s="22">
        <f t="shared" si="63"/>
        <v>9.9983641122873088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4.4000000000000004</v>
      </c>
      <c r="BY80" s="12">
        <f>IF('Données projet'!$A$114&gt;35,BY79+BX80-CG79,IF(A80&lt;'Données projet'!$A$114,$BV$205^A80,IF(A80='Données projet'!$A$114,'Données projet'!$B$114,BY79+BX80-CG79)))</f>
        <v>381.79999999999984</v>
      </c>
      <c r="BZ80" s="13">
        <f>BY80*VLOOKUP('Données projet'!$B$12,Paramètres!$A$1:$I$89,3,0)*VLOOKUP('Données projet'!$B$12,Paramètres!$A$1:$I$89,5,0)</f>
        <v>303.7600799999999</v>
      </c>
      <c r="CA80" s="13">
        <f t="shared" si="93"/>
        <v>71.964148335636722</v>
      </c>
      <c r="CB80" s="20">
        <f t="shared" si="64"/>
        <v>654.38636435123374</v>
      </c>
      <c r="CC80" s="59">
        <f t="shared" si="65"/>
        <v>947.71969768456711</v>
      </c>
      <c r="CD80" s="59">
        <f ca="1">AVERAGE(OFFSET($CC$3,0,0,'Données projet'!$E$12+1,1))-AVERAGE(OFFSET($H$3,0,0,'Données projet'!$E$12+1,1))</f>
        <v>314.94704727988847</v>
      </c>
      <c r="CE80" s="59">
        <f t="shared" si="94"/>
        <v>366.49199094166454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1.5436781629230605</v>
      </c>
      <c r="CL80" s="21">
        <f>EXP(-LN(2)/25)*CL79+(1-EXP(-LN(2)/25))/(LN(2)/25)*Calculateur!CG80*Calculateur!CI80*VLOOKUP('Données projet'!$B$12,Paramètres!$A$1:$I$89,3,0)*0.475*44/12</f>
        <v>6.9026390603623557</v>
      </c>
      <c r="CM80" s="21">
        <f>EXP(-LN(2)/2)*CM79+(1-EXP(-LN(2)/2))/(LN(2)/2)*CG80*CJ80*VLOOKUP('Données projet'!$B$12,Paramètres!$A$1:$I$89,3,0)*0.475*44/12</f>
        <v>2.4334946815884932E-6</v>
      </c>
      <c r="CN80" s="22">
        <f t="shared" si="66"/>
        <v>8.4463196567800978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7.4</v>
      </c>
      <c r="CT80" s="12">
        <f>IF('Données projet'!$A$140&gt;35,CT79+CS80-DB79,IF(A80&lt;'Données projet'!$A$140,$CQ$205^A80,IF(A80='Données projet'!$A$140,'Données projet'!$B$140,CT79+CS80-DB79)))</f>
        <v>325.79999999999984</v>
      </c>
      <c r="CU80" s="17">
        <f>CT80*VLOOKUP('Données projet'!$B$13,Paramètres!$A$1:$I$89,3,0)*VLOOKUP('Données projet'!$B$13,Paramètres!$A$1:$I$89,5,0)</f>
        <v>254.12399999999988</v>
      </c>
      <c r="CV80" s="13">
        <f t="shared" si="95"/>
        <v>61.468190714893026</v>
      </c>
      <c r="CW80" s="20">
        <f t="shared" si="67"/>
        <v>549.65639882843845</v>
      </c>
      <c r="CX80" s="59">
        <f t="shared" si="68"/>
        <v>842.98973216177183</v>
      </c>
      <c r="CY80" s="59">
        <f ca="1">AVERAGE(OFFSET($CX$3,0,0,'Données projet'!$E$13+1,1))-AVERAGE(OFFSET($H$3,0,0,'Données projet'!$E$13+1,1))</f>
        <v>261.59434871103355</v>
      </c>
      <c r="CZ80" s="59">
        <f t="shared" si="96"/>
        <v>194.97518096665976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0.81857394260317684</v>
      </c>
      <c r="DG80" s="21">
        <f>EXP(-LN(2)/25)*DG79+(1-EXP(-LN(2)/25))/(LN(2)/25)*Calculateur!DB80*Calculateur!DD80*VLOOKUP('Données projet'!$B$13,Paramètres!$A$1:$I$89,3,0)*0.475*44/12</f>
        <v>3.1748377587067549</v>
      </c>
      <c r="DH80" s="21">
        <f>EXP(-LN(2)/2)*DH79+(1-EXP(-LN(2)/2))/(LN(2)/2)*DB80*DE80*VLOOKUP('Données projet'!$B$13,Paramètres!$A$1:$I$89,3,0)*0.475*44/12</f>
        <v>1.5797862779937932E-6</v>
      </c>
      <c r="DI80" s="22">
        <f t="shared" si="69"/>
        <v>3.9934132810962097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6.1</v>
      </c>
      <c r="N81" s="13">
        <f>IF('Données projet'!$A$36&gt;35,N80+M81-V80,IF(A81&lt;'Données projet'!$A$36,$K$205^A81,IF(A81='Données projet'!$A$36,'Données projet'!$B$36,N80+M81-V80)))</f>
        <v>269.80000000000024</v>
      </c>
      <c r="O81" s="13">
        <f>N81*VLOOKUP('Données projet'!$B$9,Paramètres!$A$1:$I$89,3,0)*VLOOKUP('Données projet'!$B$9,Paramètres!$A$1:$I$89,5,0)</f>
        <v>244.11504000000019</v>
      </c>
      <c r="P81" s="13">
        <f t="shared" si="87"/>
        <v>59.324023461759062</v>
      </c>
      <c r="Q81" s="20">
        <f t="shared" si="54"/>
        <v>528.48970219589739</v>
      </c>
      <c r="R81" s="59">
        <f t="shared" si="55"/>
        <v>821.82303552923076</v>
      </c>
      <c r="S81" s="59">
        <f ca="1">AVERAGE(OFFSET($R$3,0,0,'Données projet'!$E$9+1,1))-AVERAGE(OFFSET($H$3,0,0,'Données projet'!$E$9+1,1))</f>
        <v>237.22177246688199</v>
      </c>
      <c r="T81" s="59">
        <f t="shared" si="88"/>
        <v>149.27472147904302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</v>
      </c>
      <c r="AA81" s="21">
        <f>EXP(-LN(2)/25)*AA80+(1-EXP(-LN(2)/25))/(LN(2)/25)*Calculateur!V81*Calculateur!X81*VLOOKUP('Données projet'!$B$9,Paramètres!$A$1:$I$89,3,0)*0.475*44/12</f>
        <v>0.82075817029752018</v>
      </c>
      <c r="AB81" s="21">
        <f>EXP(-LN(2)/2)*AB80+(1-EXP(-LN(2)/2))/(LN(2)/2)*V81*Y81*VLOOKUP('Données projet'!$B$9,Paramètres!$A$1:$I$89,3,0)*0.475*44/12</f>
        <v>3.6891388025453253E-7</v>
      </c>
      <c r="AC81" s="22">
        <f t="shared" si="57"/>
        <v>0.82075853921140041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>
        <f>AI81*VLOOKUP('Données projet'!$B$10,Paramètres!$A$1:$I$89,3,0)*VLOOKUP('Données projet'!$B$10,Paramètres!$A$1:$I$89,5,0)</f>
        <v>0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243.38048563215585</v>
      </c>
      <c r="AO81" s="59">
        <f t="shared" si="90"/>
        <v>372.1604147006675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2.8248781681807578</v>
      </c>
      <c r="AV81" s="21">
        <f>EXP(-LN(2)/25)*AV80+(1-EXP(-LN(2)/25))/(LN(2)/25)*Calculateur!AQ81*Calculateur!AS81*VLOOKUP('Données projet'!$B$10,Paramètres!$A$1:$I$89,3,0)*0.475*44/12</f>
        <v>5.1166090674842941</v>
      </c>
      <c r="AW81" s="21">
        <f>EXP(-LN(2)/2)*AW80+(1-EXP(-LN(2)/2))/(LN(2)/2)*AQ81*AT81*VLOOKUP('Données projet'!$B$10,Paramètres!$A$1:$I$89,3,0)*0.475*44/12</f>
        <v>1.7473065384126998E-6</v>
      </c>
      <c r="AX81" s="21">
        <f t="shared" si="60"/>
        <v>7.9414889829715909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10.4</v>
      </c>
      <c r="BD81" s="12">
        <f>IF('Données projet'!$A$88&gt;35,BD80+BC81-BL80,IF(A81&lt;'Données projet'!$A$88,$BA$205^A81,IF(A81='Données projet'!$A$88,'Données projet'!$B$88,BD80+BC81-BL80)))</f>
        <v>630.19999999999948</v>
      </c>
      <c r="BE81" s="13">
        <f>BD81*VLOOKUP('Données projet'!$B$11,Paramètres!$A$1:$I$89,3,0)*VLOOKUP('Données projet'!$B$11,Paramètres!$A$1:$I$89,5,0)</f>
        <v>352.28179999999969</v>
      </c>
      <c r="BF81" s="13">
        <f t="shared" si="91"/>
        <v>82.032179712608126</v>
      </c>
      <c r="BG81" s="20">
        <f t="shared" si="61"/>
        <v>756.4301813327919</v>
      </c>
      <c r="BH81" s="59">
        <f t="shared" si="62"/>
        <v>1049.7635146661253</v>
      </c>
      <c r="BI81" s="59">
        <f ca="1">AVERAGE(OFFSET($BH$3,0,0,'Données projet'!$E$11+1,1))-AVERAGE(OFFSET($H$3,0,0,'Données projet'!$E$11+1,1))</f>
        <v>326.31232746914907</v>
      </c>
      <c r="BJ81" s="59">
        <f t="shared" si="92"/>
        <v>330.17137761430297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1.765548855112975</v>
      </c>
      <c r="BQ81" s="21">
        <f>EXP(-LN(2)/25)*BQ80+(1-EXP(-LN(2)/25))/(LN(2)/25)*Calculateur!BL81*Calculateur!BN81*VLOOKUP('Données projet'!$B$11,Paramètres!$A$1:$I$89,3,0)*0.475*44/12</f>
        <v>7.9733376641918792</v>
      </c>
      <c r="BR81" s="21">
        <f>EXP(-LN(2)/2)*BR80+(1-EXP(-LN(2)/2))/(LN(2)/2)*BL81*BO81*VLOOKUP('Données projet'!$B$11,Paramètres!$A$1:$I$89,3,0)*0.475*44/12</f>
        <v>1.9384675246736551E-6</v>
      </c>
      <c r="BS81" s="22">
        <f t="shared" si="63"/>
        <v>9.7388884577723793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4.4000000000000004</v>
      </c>
      <c r="BY81" s="12">
        <f>IF('Données projet'!$A$114&gt;35,BY80+BX81-CG80,IF(A81&lt;'Données projet'!$A$114,$BV$205^A81,IF(A81='Données projet'!$A$114,'Données projet'!$B$114,BY80+BX81-CG80)))</f>
        <v>386.19999999999982</v>
      </c>
      <c r="BZ81" s="13">
        <f>BY81*VLOOKUP('Données projet'!$B$12,Paramètres!$A$1:$I$89,3,0)*VLOOKUP('Données projet'!$B$12,Paramètres!$A$1:$I$89,5,0)</f>
        <v>307.26071999999988</v>
      </c>
      <c r="CA81" s="13">
        <f t="shared" si="93"/>
        <v>72.696464306238028</v>
      </c>
      <c r="CB81" s="20">
        <f t="shared" si="64"/>
        <v>661.75876266669763</v>
      </c>
      <c r="CC81" s="59">
        <f t="shared" si="65"/>
        <v>955.09209600003101</v>
      </c>
      <c r="CD81" s="59">
        <f ca="1">AVERAGE(OFFSET($CC$3,0,0,'Données projet'!$E$12+1,1))-AVERAGE(OFFSET($H$3,0,0,'Données projet'!$E$12+1,1))</f>
        <v>314.94704727988847</v>
      </c>
      <c r="CE81" s="59">
        <f t="shared" si="94"/>
        <v>366.49199094166454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1.5134075756988483</v>
      </c>
      <c r="CL81" s="21">
        <f>EXP(-LN(2)/25)*CL80+(1-EXP(-LN(2)/25))/(LN(2)/25)*Calculateur!CG81*Calculateur!CI81*VLOOKUP('Données projet'!$B$12,Paramètres!$A$1:$I$89,3,0)*0.475*44/12</f>
        <v>6.7138860322627352</v>
      </c>
      <c r="CM81" s="21">
        <f>EXP(-LN(2)/2)*CM80+(1-EXP(-LN(2)/2))/(LN(2)/2)*CG81*CJ81*VLOOKUP('Données projet'!$B$12,Paramètres!$A$1:$I$89,3,0)*0.475*44/12</f>
        <v>1.7207405913326219E-6</v>
      </c>
      <c r="CN81" s="22">
        <f t="shared" si="66"/>
        <v>8.2272953287021746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7.4</v>
      </c>
      <c r="CT81" s="12">
        <f>IF('Données projet'!$A$140&gt;35,CT80+CS81-DB80,IF(A81&lt;'Données projet'!$A$140,$CQ$205^A81,IF(A81='Données projet'!$A$140,'Données projet'!$B$140,CT80+CS81-DB80)))</f>
        <v>333.19999999999982</v>
      </c>
      <c r="CU81" s="17">
        <f>CT81*VLOOKUP('Données projet'!$B$13,Paramètres!$A$1:$I$89,3,0)*VLOOKUP('Données projet'!$B$13,Paramètres!$A$1:$I$89,5,0)</f>
        <v>259.89599999999984</v>
      </c>
      <c r="CV81" s="13">
        <f t="shared" si="95"/>
        <v>62.700208842736039</v>
      </c>
      <c r="CW81" s="20">
        <f t="shared" si="67"/>
        <v>561.85506373443161</v>
      </c>
      <c r="CX81" s="59">
        <f t="shared" si="68"/>
        <v>855.18839706776498</v>
      </c>
      <c r="CY81" s="59">
        <f ca="1">AVERAGE(OFFSET($CX$3,0,0,'Données projet'!$E$13+1,1))-AVERAGE(OFFSET($H$3,0,0,'Données projet'!$E$13+1,1))</f>
        <v>261.59434871103355</v>
      </c>
      <c r="CZ81" s="59">
        <f t="shared" si="96"/>
        <v>194.97518096665976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0.80252220686953368</v>
      </c>
      <c r="DG81" s="21">
        <f>EXP(-LN(2)/25)*DG80+(1-EXP(-LN(2)/25))/(LN(2)/25)*Calculateur!DB81*Calculateur!DD81*VLOOKUP('Données projet'!$B$13,Paramètres!$A$1:$I$89,3,0)*0.475*44/12</f>
        <v>3.0880216532374569</v>
      </c>
      <c r="DH81" s="21">
        <f>EXP(-LN(2)/2)*DH80+(1-EXP(-LN(2)/2))/(LN(2)/2)*DB81*DE81*VLOOKUP('Données projet'!$B$13,Paramètres!$A$1:$I$89,3,0)*0.475*44/12</f>
        <v>1.1170775899948675E-6</v>
      </c>
      <c r="DI81" s="22">
        <f t="shared" si="69"/>
        <v>3.8905449771845806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6.1</v>
      </c>
      <c r="N82" s="13">
        <f>IF('Données projet'!$A$36&gt;35,N81+M82-V81,IF(A82&lt;'Données projet'!$A$36,$K$205^A82,IF(A82='Données projet'!$A$36,'Données projet'!$B$36,N81+M82-V81)))</f>
        <v>275.90000000000026</v>
      </c>
      <c r="O82" s="13">
        <f>N82*VLOOKUP('Données projet'!$B$9,Paramètres!$A$1:$I$89,3,0)*VLOOKUP('Données projet'!$B$9,Paramètres!$A$1:$I$89,5,0)</f>
        <v>249.63432000000023</v>
      </c>
      <c r="P82" s="13">
        <f t="shared" si="87"/>
        <v>60.507629314318471</v>
      </c>
      <c r="Q82" s="20">
        <f t="shared" si="54"/>
        <v>540.16389505577172</v>
      </c>
      <c r="R82" s="59">
        <f t="shared" si="55"/>
        <v>833.49722838910498</v>
      </c>
      <c r="S82" s="59">
        <f ca="1">AVERAGE(OFFSET($R$3,0,0,'Données projet'!$E$9+1,1))-AVERAGE(OFFSET($H$3,0,0,'Données projet'!$E$9+1,1))</f>
        <v>237.22177246688199</v>
      </c>
      <c r="T82" s="59">
        <f t="shared" si="88"/>
        <v>149.27472147904302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</v>
      </c>
      <c r="AA82" s="21">
        <f>EXP(-LN(2)/25)*AA81+(1-EXP(-LN(2)/25))/(LN(2)/25)*Calculateur!V82*Calculateur!X82*VLOOKUP('Données projet'!$B$9,Paramètres!$A$1:$I$89,3,0)*0.475*44/12</f>
        <v>0.79831449496893814</v>
      </c>
      <c r="AB82" s="21">
        <f>EXP(-LN(2)/2)*AB81+(1-EXP(-LN(2)/2))/(LN(2)/2)*V82*Y82*VLOOKUP('Données projet'!$B$9,Paramètres!$A$1:$I$89,3,0)*0.475*44/12</f>
        <v>2.6086150640182193E-7</v>
      </c>
      <c r="AC82" s="22">
        <f t="shared" si="57"/>
        <v>0.79831475583044453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>
        <f>AI82*VLOOKUP('Données projet'!$B$10,Paramètres!$A$1:$I$89,3,0)*VLOOKUP('Données projet'!$B$10,Paramètres!$A$1:$I$89,5,0)</f>
        <v>0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243.38048563215585</v>
      </c>
      <c r="AO82" s="59">
        <f t="shared" si="90"/>
        <v>372.1604147006675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2.7694840303082828</v>
      </c>
      <c r="AV82" s="21">
        <f>EXP(-LN(2)/25)*AV81+(1-EXP(-LN(2)/25))/(LN(2)/25)*Calculateur!AQ82*Calculateur!AS82*VLOOKUP('Données projet'!$B$10,Paramètres!$A$1:$I$89,3,0)*0.475*44/12</f>
        <v>4.9766951234631591</v>
      </c>
      <c r="AW82" s="21">
        <f>EXP(-LN(2)/2)*AW81+(1-EXP(-LN(2)/2))/(LN(2)/2)*AQ82*AT82*VLOOKUP('Données projet'!$B$10,Paramètres!$A$1:$I$89,3,0)*0.475*44/12</f>
        <v>1.2355323021232127E-6</v>
      </c>
      <c r="AX82" s="21">
        <f t="shared" si="60"/>
        <v>7.7461803893037438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10.4</v>
      </c>
      <c r="BD82" s="12">
        <f>IF('Données projet'!$A$88&gt;35,BD81+BC82-BL81,IF(A82&lt;'Données projet'!$A$88,$BA$205^A82,IF(A82='Données projet'!$A$88,'Données projet'!$B$88,BD81+BC82-BL81)))</f>
        <v>640.59999999999945</v>
      </c>
      <c r="BE82" s="13">
        <f>BD82*VLOOKUP('Données projet'!$B$11,Paramètres!$A$1:$I$89,3,0)*VLOOKUP('Données projet'!$B$11,Paramètres!$A$1:$I$89,5,0)</f>
        <v>358.0953999999997</v>
      </c>
      <c r="BF82" s="13">
        <f t="shared" si="91"/>
        <v>83.227213321573814</v>
      </c>
      <c r="BG82" s="20">
        <f t="shared" si="61"/>
        <v>768.63688486840704</v>
      </c>
      <c r="BH82" s="59">
        <f t="shared" si="62"/>
        <v>1061.9702182017404</v>
      </c>
      <c r="BI82" s="59">
        <f ca="1">AVERAGE(OFFSET($BH$3,0,0,'Données projet'!$E$11+1,1))-AVERAGE(OFFSET($H$3,0,0,'Données projet'!$E$11+1,1))</f>
        <v>326.31232746914907</v>
      </c>
      <c r="BJ82" s="59">
        <f t="shared" si="92"/>
        <v>330.17137761430297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1.7309275189426783</v>
      </c>
      <c r="BQ82" s="21">
        <f>EXP(-LN(2)/25)*BQ81+(1-EXP(-LN(2)/25))/(LN(2)/25)*Calculateur!BL82*Calculateur!BN82*VLOOKUP('Données projet'!$B$11,Paramètres!$A$1:$I$89,3,0)*0.475*44/12</f>
        <v>7.7553063264649476</v>
      </c>
      <c r="BR82" s="21">
        <f>EXP(-LN(2)/2)*BR81+(1-EXP(-LN(2)/2))/(LN(2)/2)*BL82*BO82*VLOOKUP('Données projet'!$B$11,Paramètres!$A$1:$I$89,3,0)*0.475*44/12</f>
        <v>1.3707035318066427E-6</v>
      </c>
      <c r="BS82" s="22">
        <f t="shared" si="63"/>
        <v>9.4862352161111563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4.4000000000000004</v>
      </c>
      <c r="BY82" s="12">
        <f>IF('Données projet'!$A$114&gt;35,BY81+BX82-CG81,IF(A82&lt;'Données projet'!$A$114,$BV$205^A82,IF(A82='Données projet'!$A$114,'Données projet'!$B$114,BY81+BX82-CG81)))</f>
        <v>390.5999999999998</v>
      </c>
      <c r="BZ82" s="13">
        <f>BY82*VLOOKUP('Données projet'!$B$12,Paramètres!$A$1:$I$89,3,0)*VLOOKUP('Données projet'!$B$12,Paramètres!$A$1:$I$89,5,0)</f>
        <v>310.76135999999985</v>
      </c>
      <c r="CA82" s="13">
        <f t="shared" si="93"/>
        <v>73.427809735831019</v>
      </c>
      <c r="CB82" s="20">
        <f t="shared" si="64"/>
        <v>669.12947062323872</v>
      </c>
      <c r="CC82" s="59">
        <f t="shared" si="65"/>
        <v>962.46280395657209</v>
      </c>
      <c r="CD82" s="59">
        <f ca="1">AVERAGE(OFFSET($CC$3,0,0,'Données projet'!$E$12+1,1))-AVERAGE(OFFSET($H$3,0,0,'Données projet'!$E$12+1,1))</f>
        <v>314.94704727988847</v>
      </c>
      <c r="CE82" s="59">
        <f t="shared" si="94"/>
        <v>366.49199094166454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1.4837305762268678</v>
      </c>
      <c r="CL82" s="21">
        <f>EXP(-LN(2)/25)*CL81+(1-EXP(-LN(2)/25))/(LN(2)/25)*Calculateur!CG82*Calculateur!CI82*VLOOKUP('Données projet'!$B$12,Paramètres!$A$1:$I$89,3,0)*0.475*44/12</f>
        <v>6.530294465642589</v>
      </c>
      <c r="CM82" s="21">
        <f>EXP(-LN(2)/2)*CM81+(1-EXP(-LN(2)/2))/(LN(2)/2)*CG82*CJ82*VLOOKUP('Données projet'!$B$12,Paramètres!$A$1:$I$89,3,0)*0.475*44/12</f>
        <v>1.2167473407942466E-6</v>
      </c>
      <c r="CN82" s="22">
        <f t="shared" si="66"/>
        <v>8.0140262586167985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7.4</v>
      </c>
      <c r="CT82" s="12">
        <f>IF('Données projet'!$A$140&gt;35,CT81+CS82-DB81,IF(A82&lt;'Données projet'!$A$140,$CQ$205^A82,IF(A82='Données projet'!$A$140,'Données projet'!$B$140,CT81+CS82-DB81)))</f>
        <v>340.5999999999998</v>
      </c>
      <c r="CU82" s="17">
        <f>CT82*VLOOKUP('Données projet'!$B$13,Paramètres!$A$1:$I$89,3,0)*VLOOKUP('Données projet'!$B$13,Paramètres!$A$1:$I$89,5,0)</f>
        <v>265.66799999999984</v>
      </c>
      <c r="CV82" s="13">
        <f t="shared" si="95"/>
        <v>63.929045899944349</v>
      </c>
      <c r="CW82" s="20">
        <f t="shared" si="67"/>
        <v>574.04818827573615</v>
      </c>
      <c r="CX82" s="59">
        <f t="shared" si="68"/>
        <v>867.38152160906952</v>
      </c>
      <c r="CY82" s="59">
        <f ca="1">AVERAGE(OFFSET($CX$3,0,0,'Données projet'!$E$13+1,1))-AVERAGE(OFFSET($H$3,0,0,'Données projet'!$E$13+1,1))</f>
        <v>261.59434871103355</v>
      </c>
      <c r="CZ82" s="59">
        <f t="shared" si="96"/>
        <v>194.97518096665976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0.78678523588303517</v>
      </c>
      <c r="DG82" s="21">
        <f>EXP(-LN(2)/25)*DG81+(1-EXP(-LN(2)/25))/(LN(2)/25)*Calculateur!DB82*Calculateur!DD82*VLOOKUP('Données projet'!$B$13,Paramètres!$A$1:$I$89,3,0)*0.475*44/12</f>
        <v>3.0035795387376778</v>
      </c>
      <c r="DH82" s="21">
        <f>EXP(-LN(2)/2)*DH81+(1-EXP(-LN(2)/2))/(LN(2)/2)*DB82*DE82*VLOOKUP('Données projet'!$B$13,Paramètres!$A$1:$I$89,3,0)*0.475*44/12</f>
        <v>7.8989313899689662E-7</v>
      </c>
      <c r="DI82" s="22">
        <f t="shared" si="69"/>
        <v>3.7903655645138516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282</v>
      </c>
      <c r="L83" s="12">
        <f>VLOOKUP(A83,'Données projet'!$A$35:$I$55,9,0)</f>
        <v>6.1</v>
      </c>
      <c r="M83" s="12">
        <f t="array" ref="M83">INDEX(L:L,MIN(IF(ISNUMBER(L83:L279),ROW(L83:L279),"")))</f>
        <v>6.1</v>
      </c>
      <c r="N83" s="13">
        <f>IF('Données projet'!$A$36&gt;35,N82+M83-V82,IF(A83&lt;'Données projet'!$A$36,$K$205^A83,IF(A83='Données projet'!$A$36,'Données projet'!$B$36,N82+M83-V82)))</f>
        <v>282.00000000000028</v>
      </c>
      <c r="O83" s="13">
        <f>N83*VLOOKUP('Données projet'!$B$9,Paramètres!$A$1:$I$89,3,0)*VLOOKUP('Données projet'!$B$9,Paramètres!$A$1:$I$89,5,0)</f>
        <v>255.15360000000024</v>
      </c>
      <c r="P83" s="13">
        <f t="shared" si="87"/>
        <v>61.688192762754483</v>
      </c>
      <c r="Q83" s="20">
        <f t="shared" si="54"/>
        <v>551.83278906179783</v>
      </c>
      <c r="R83" s="59">
        <f t="shared" si="55"/>
        <v>845.1661223951312</v>
      </c>
      <c r="S83" s="59">
        <f ca="1">AVERAGE(OFFSET($R$3,0,0,'Données projet'!$E$9+1,1))-AVERAGE(OFFSET($H$3,0,0,'Données projet'!$E$9+1,1))</f>
        <v>237.22177246688199</v>
      </c>
      <c r="T83" s="59">
        <f t="shared" si="88"/>
        <v>149.27472147904302</v>
      </c>
      <c r="U83" s="15">
        <f>IF(ISNA(VLOOKUP(A83,'Données projet'!$A$35:$I$55,3,0)),0,VLOOKUP(A83,'Données projet'!$A$35:$I$55,3,0))</f>
        <v>6</v>
      </c>
      <c r="V83" s="15">
        <f>IF(ISNA(VLOOKUP(A83,'Données projet'!$A$35:$I$55,4,0)),0,VLOOKUP(A83,'Données projet'!$A$35:$I$55,4,0))</f>
        <v>42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</v>
      </c>
      <c r="AA83" s="21">
        <f>EXP(-LN(2)/25)*AA82+(1-EXP(-LN(2)/25))/(LN(2)/25)*Calculateur!V83*Calculateur!X83*VLOOKUP('Données projet'!$B$9,Paramètres!$A$1:$I$89,3,0)*0.475*44/12</f>
        <v>0.77648454312247783</v>
      </c>
      <c r="AB83" s="21">
        <f>EXP(-LN(2)/2)*AB82+(1-EXP(-LN(2)/2))/(LN(2)/2)*V83*Y83*VLOOKUP('Données projet'!$B$9,Paramètres!$A$1:$I$89,3,0)*0.475*44/12</f>
        <v>1.8445694012726627E-7</v>
      </c>
      <c r="AC83" s="22">
        <f t="shared" si="57"/>
        <v>0.776484727579418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>
        <f>AI83*VLOOKUP('Données projet'!$B$10,Paramètres!$A$1:$I$89,3,0)*VLOOKUP('Données projet'!$B$10,Paramètres!$A$1:$I$89,5,0)</f>
        <v>0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243.38048563215585</v>
      </c>
      <c r="AO83" s="59">
        <f t="shared" si="90"/>
        <v>372.1604147006675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2.7151761376923993</v>
      </c>
      <c r="AV83" s="21">
        <f>EXP(-LN(2)/25)*AV82+(1-EXP(-LN(2)/25))/(LN(2)/25)*Calculateur!AQ83*Calculateur!AS83*VLOOKUP('Données projet'!$B$10,Paramètres!$A$1:$I$89,3,0)*0.475*44/12</f>
        <v>4.840607133599037</v>
      </c>
      <c r="AW83" s="21">
        <f>EXP(-LN(2)/2)*AW82+(1-EXP(-LN(2)/2))/(LN(2)/2)*AQ83*AT83*VLOOKUP('Données projet'!$B$10,Paramètres!$A$1:$I$89,3,0)*0.475*44/12</f>
        <v>8.7365326920634992E-7</v>
      </c>
      <c r="AX83" s="21">
        <f t="shared" si="60"/>
        <v>7.5557841449447052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651</v>
      </c>
      <c r="BB83" s="12">
        <f>VLOOKUP(A83,'Données projet'!$A$87:$I$107,9,0)</f>
        <v>10.4</v>
      </c>
      <c r="BC83" s="12">
        <f t="array" ref="BC83">INDEX(BB:BB,MIN(IF(ISNUMBER(BB83:BB279),ROW(BB83:BB279),"")))</f>
        <v>10.4</v>
      </c>
      <c r="BD83" s="12">
        <f>IF('Données projet'!$A$88&gt;35,BD82+BC83-BL82,IF(A83&lt;'Données projet'!$A$88,$BA$205^A83,IF(A83='Données projet'!$A$88,'Données projet'!$B$88,BD82+BC83-BL82)))</f>
        <v>650.99999999999943</v>
      </c>
      <c r="BE83" s="13">
        <f>BD83*VLOOKUP('Données projet'!$B$11,Paramètres!$A$1:$I$89,3,0)*VLOOKUP('Données projet'!$B$11,Paramètres!$A$1:$I$89,5,0)</f>
        <v>363.90899999999971</v>
      </c>
      <c r="BF83" s="13">
        <f t="shared" si="91"/>
        <v>84.4199906692578</v>
      </c>
      <c r="BG83" s="20">
        <f t="shared" si="61"/>
        <v>780.83965874895682</v>
      </c>
      <c r="BH83" s="59">
        <f t="shared" si="62"/>
        <v>1074.1729920822902</v>
      </c>
      <c r="BI83" s="59">
        <f ca="1">AVERAGE(OFFSET($BH$3,0,0,'Données projet'!$E$11+1,1))-AVERAGE(OFFSET($H$3,0,0,'Données projet'!$E$11+1,1))</f>
        <v>326.31232746914907</v>
      </c>
      <c r="BJ83" s="59">
        <f t="shared" si="92"/>
        <v>330.17137761430297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651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1.6969850860577511</v>
      </c>
      <c r="BQ83" s="21">
        <f>EXP(-LN(2)/25)*BQ82+(1-EXP(-LN(2)/25))/(LN(2)/25)*Calculateur!BL83*Calculateur!BN83*VLOOKUP('Données projet'!$B$11,Paramètres!$A$1:$I$89,3,0)*0.475*44/12</f>
        <v>7.5432370671339291</v>
      </c>
      <c r="BR83" s="21">
        <f>EXP(-LN(2)/2)*BR82+(1-EXP(-LN(2)/2))/(LN(2)/2)*BL83*BO83*VLOOKUP('Données projet'!$B$11,Paramètres!$A$1:$I$89,3,0)*0.475*44/12</f>
        <v>9.6923376233682757E-7</v>
      </c>
      <c r="BS83" s="22">
        <f t="shared" si="63"/>
        <v>9.2402231224254425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395</v>
      </c>
      <c r="BW83" s="12">
        <f>VLOOKUP(A83,'Données projet'!$A$113:$I$133,9,0)</f>
        <v>4.4000000000000004</v>
      </c>
      <c r="BX83" s="12">
        <f t="array" ref="BX83">INDEX(BW:BW,MIN(IF(ISNUMBER(BW83:BW279),ROW(BW83:BW279),"")))</f>
        <v>4.4000000000000004</v>
      </c>
      <c r="BY83" s="12">
        <f>IF('Données projet'!$A$114&gt;35,BY82+BX83-CG82,IF(A83&lt;'Données projet'!$A$114,$BV$205^A83,IF(A83='Données projet'!$A$114,'Données projet'!$B$114,BY82+BX83-CG82)))</f>
        <v>394.99999999999977</v>
      </c>
      <c r="BZ83" s="13">
        <f>BY83*VLOOKUP('Données projet'!$B$12,Paramètres!$A$1:$I$89,3,0)*VLOOKUP('Données projet'!$B$12,Paramètres!$A$1:$I$89,5,0)</f>
        <v>314.26199999999983</v>
      </c>
      <c r="CA83" s="13">
        <f t="shared" si="93"/>
        <v>74.158196822395908</v>
      </c>
      <c r="CB83" s="20">
        <f t="shared" si="64"/>
        <v>676.49850946567256</v>
      </c>
      <c r="CC83" s="59">
        <f t="shared" si="65"/>
        <v>969.83184279900593</v>
      </c>
      <c r="CD83" s="59">
        <f ca="1">AVERAGE(OFFSET($CC$3,0,0,'Données projet'!$E$12+1,1))-AVERAGE(OFFSET($H$3,0,0,'Données projet'!$E$12+1,1))</f>
        <v>314.94704727988847</v>
      </c>
      <c r="CE83" s="59">
        <f t="shared" si="94"/>
        <v>366.49199094166454</v>
      </c>
      <c r="CF83" s="15">
        <f>IF(ISNA(VLOOKUP(A83,'Données projet'!$A$113:$I$133,3,0)),0,VLOOKUP(A83,'Données projet'!$A$113:$I$133,3,0))</f>
        <v>8</v>
      </c>
      <c r="CG83" s="15">
        <f>IF(ISNA(VLOOKUP(A83,'Données projet'!$A$113:$I$133,4,0)),0,VLOOKUP(A83,'Données projet'!$A$113:$I$133,4,0))</f>
        <v>395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1.4546355246133504</v>
      </c>
      <c r="CL83" s="21">
        <f>EXP(-LN(2)/25)*CL82+(1-EXP(-LN(2)/25))/(LN(2)/25)*Calculateur!CG83*Calculateur!CI83*VLOOKUP('Données projet'!$B$12,Paramètres!$A$1:$I$89,3,0)*0.475*44/12</f>
        <v>6.3517232200663321</v>
      </c>
      <c r="CM83" s="21">
        <f>EXP(-LN(2)/2)*CM82+(1-EXP(-LN(2)/2))/(LN(2)/2)*CG83*CJ83*VLOOKUP('Données projet'!$B$12,Paramètres!$A$1:$I$89,3,0)*0.475*44/12</f>
        <v>8.6037029566631093E-7</v>
      </c>
      <c r="CN83" s="22">
        <f t="shared" si="66"/>
        <v>7.8063596050499786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348</v>
      </c>
      <c r="CR83" s="12">
        <f>VLOOKUP(A83,'Données projet'!$A$139:$I$159,9,0)</f>
        <v>7.4</v>
      </c>
      <c r="CS83" s="12">
        <f t="array" ref="CS83">INDEX(CR:CR,MIN(IF(ISNUMBER(CR83:CR279),ROW(CR83:CR279),"")))</f>
        <v>7.4</v>
      </c>
      <c r="CT83" s="12">
        <f>IF('Données projet'!$A$140&gt;35,CT82+CS83-DB82,IF(A83&lt;'Données projet'!$A$140,$CQ$205^A83,IF(A83='Données projet'!$A$140,'Données projet'!$B$140,CT82+CS83-DB82)))</f>
        <v>347.99999999999977</v>
      </c>
      <c r="CU83" s="17">
        <f>CT83*VLOOKUP('Données projet'!$B$13,Paramètres!$A$1:$I$89,3,0)*VLOOKUP('Données projet'!$B$13,Paramètres!$A$1:$I$89,5,0)</f>
        <v>271.43999999999983</v>
      </c>
      <c r="CV83" s="13">
        <f t="shared" si="95"/>
        <v>65.154778959151173</v>
      </c>
      <c r="CW83" s="20">
        <f t="shared" si="67"/>
        <v>586.23590668718793</v>
      </c>
      <c r="CX83" s="59">
        <f t="shared" si="68"/>
        <v>879.56924002052119</v>
      </c>
      <c r="CY83" s="59">
        <f ca="1">AVERAGE(OFFSET($CX$3,0,0,'Données projet'!$E$13+1,1))-AVERAGE(OFFSET($H$3,0,0,'Données projet'!$E$13+1,1))</f>
        <v>261.59434871103355</v>
      </c>
      <c r="CZ83" s="59">
        <f t="shared" si="96"/>
        <v>194.97518096665976</v>
      </c>
      <c r="DA83" s="15">
        <f>IF(ISNA(VLOOKUP(A83,'Données projet'!$A$139:$I$159,3,0)),0,VLOOKUP(A83,'Données projet'!$A$139:$I$159,3,0))</f>
        <v>7</v>
      </c>
      <c r="DB83" s="15">
        <f>IF(ISNA(VLOOKUP(A83,'Données projet'!$A$139:$I$159,4,0)),0,VLOOKUP(A83,'Données projet'!$A$139:$I$159,4,0))</f>
        <v>56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0.77135685729897741</v>
      </c>
      <c r="DG83" s="21">
        <f>EXP(-LN(2)/25)*DG82+(1-EXP(-LN(2)/25))/(LN(2)/25)*Calculateur!DB83*Calculateur!DD83*VLOOKUP('Données projet'!$B$13,Paramètres!$A$1:$I$89,3,0)*0.475*44/12</f>
        <v>2.9214464982995128</v>
      </c>
      <c r="DH83" s="21">
        <f>EXP(-LN(2)/2)*DH82+(1-EXP(-LN(2)/2))/(LN(2)/2)*DB83*DE83*VLOOKUP('Données projet'!$B$13,Paramètres!$A$1:$I$89,3,0)*0.475*44/12</f>
        <v>5.5853879499743375E-7</v>
      </c>
      <c r="DI83" s="22">
        <f t="shared" si="69"/>
        <v>3.6928039141372855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5.6</v>
      </c>
      <c r="N84" s="13">
        <f>IF('Données projet'!$A$36&gt;35,N83+M84-V83,IF(A84&lt;'Données projet'!$A$36,$K$205^A84,IF(A84='Données projet'!$A$36,'Données projet'!$B$36,N83+M84-V83)))</f>
        <v>245.60000000000031</v>
      </c>
      <c r="O84" s="13">
        <f>N84*VLOOKUP('Données projet'!$B$9,Paramètres!$A$1:$I$89,3,0)*VLOOKUP('Données projet'!$B$9,Paramètres!$A$1:$I$89,5,0)</f>
        <v>222.2188800000003</v>
      </c>
      <c r="P84" s="13">
        <f t="shared" si="87"/>
        <v>54.596866296848951</v>
      </c>
      <c r="Q84" s="20">
        <f t="shared" si="54"/>
        <v>482.12075813367898</v>
      </c>
      <c r="R84" s="59">
        <f t="shared" si="55"/>
        <v>775.45409146701229</v>
      </c>
      <c r="S84" s="59">
        <f ca="1">AVERAGE(OFFSET($R$3,0,0,'Données projet'!$E$9+1,1))-AVERAGE(OFFSET($H$3,0,0,'Données projet'!$E$9+1,1))</f>
        <v>237.22177246688199</v>
      </c>
      <c r="T84" s="59">
        <f t="shared" si="88"/>
        <v>149.27472147904302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</v>
      </c>
      <c r="AA84" s="21">
        <f>EXP(-LN(2)/25)*AA83+(1-EXP(-LN(2)/25))/(LN(2)/25)*Calculateur!V84*Calculateur!X84*VLOOKUP('Données projet'!$B$9,Paramètres!$A$1:$I$89,3,0)*0.475*44/12</f>
        <v>0.75525153245724619</v>
      </c>
      <c r="AB84" s="21">
        <f>EXP(-LN(2)/2)*AB83+(1-EXP(-LN(2)/2))/(LN(2)/2)*V84*Y84*VLOOKUP('Données projet'!$B$9,Paramètres!$A$1:$I$89,3,0)*0.475*44/12</f>
        <v>1.3043075320091096E-7</v>
      </c>
      <c r="AC84" s="22">
        <f t="shared" si="57"/>
        <v>0.75525166288799939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243.38048563215585</v>
      </c>
      <c r="AO84" s="59">
        <f t="shared" si="90"/>
        <v>372.1604147006675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2.6619331897261698</v>
      </c>
      <c r="AV84" s="21">
        <f>EXP(-LN(2)/25)*AV83+(1-EXP(-LN(2)/25))/(LN(2)/25)*Calculateur!AQ84*Calculateur!AS84*VLOOKUP('Données projet'!$B$10,Paramètres!$A$1:$I$89,3,0)*0.475*44/12</f>
        <v>4.7082404769743054</v>
      </c>
      <c r="AW84" s="21">
        <f>EXP(-LN(2)/2)*AW83+(1-EXP(-LN(2)/2))/(LN(2)/2)*AQ84*AT84*VLOOKUP('Données projet'!$B$10,Paramètres!$A$1:$I$89,3,0)*0.475*44/12</f>
        <v>6.1776615106160637E-7</v>
      </c>
      <c r="AX84" s="21">
        <f t="shared" si="60"/>
        <v>7.3701742844666267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-5.6843418860808015E-13</v>
      </c>
      <c r="BE84" s="13">
        <f>BD84*VLOOKUP('Données projet'!$B$11,Paramètres!$A$1:$I$89,3,0)*VLOOKUP('Données projet'!$B$11,Paramètres!$A$1:$I$89,5,0)</f>
        <v>-3.177547114319168E-13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326.31232746914907</v>
      </c>
      <c r="BJ84" s="59">
        <f t="shared" si="92"/>
        <v>330.17137761430297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1.6637082435788575</v>
      </c>
      <c r="BQ84" s="21">
        <f>EXP(-LN(2)/25)*BQ83+(1-EXP(-LN(2)/25))/(LN(2)/25)*Calculateur!BL84*Calculateur!BN84*VLOOKUP('Données projet'!$B$11,Paramètres!$A$1:$I$89,3,0)*0.475*44/12</f>
        <v>7.336966852851555</v>
      </c>
      <c r="BR84" s="21">
        <f>EXP(-LN(2)/2)*BR83+(1-EXP(-LN(2)/2))/(LN(2)/2)*BL84*BO84*VLOOKUP('Données projet'!$B$11,Paramètres!$A$1:$I$89,3,0)*0.475*44/12</f>
        <v>6.8535176590332133E-7</v>
      </c>
      <c r="BS84" s="22">
        <f t="shared" si="63"/>
        <v>9.0006757817821796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-2.2737367544323206E-13</v>
      </c>
      <c r="BZ84" s="13">
        <f>BY84*VLOOKUP('Données projet'!$B$12,Paramètres!$A$1:$I$89,3,0)*VLOOKUP('Données projet'!$B$12,Paramètres!$A$1:$I$89,5,0)</f>
        <v>-1.8089849618263545E-13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314.94704727988847</v>
      </c>
      <c r="CE84" s="59">
        <f t="shared" si="94"/>
        <v>366.49199094166454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1.426111009215745</v>
      </c>
      <c r="CL84" s="21">
        <f>EXP(-LN(2)/25)*CL83+(1-EXP(-LN(2)/25))/(LN(2)/25)*Calculateur!CG84*Calculateur!CI84*VLOOKUP('Données projet'!$B$12,Paramètres!$A$1:$I$89,3,0)*0.475*44/12</f>
        <v>6.1780350145910115</v>
      </c>
      <c r="CM84" s="21">
        <f>EXP(-LN(2)/2)*CM83+(1-EXP(-LN(2)/2))/(LN(2)/2)*CG84*CJ84*VLOOKUP('Données projet'!$B$12,Paramètres!$A$1:$I$89,3,0)*0.475*44/12</f>
        <v>6.0837367039712331E-7</v>
      </c>
      <c r="CN84" s="22">
        <f t="shared" si="66"/>
        <v>7.6041466321804272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6.6</v>
      </c>
      <c r="CT84" s="12">
        <f>IF('Données projet'!$A$140&gt;35,CT83+CS84-DB83,IF(A84&lt;'Données projet'!$A$140,$CQ$205^A84,IF(A84='Données projet'!$A$140,'Données projet'!$B$140,CT83+CS84-DB83)))</f>
        <v>298.5999999999998</v>
      </c>
      <c r="CU84" s="17">
        <f>CT84*VLOOKUP('Données projet'!$B$13,Paramètres!$A$1:$I$89,3,0)*VLOOKUP('Données projet'!$B$13,Paramètres!$A$1:$I$89,5,0)</f>
        <v>232.90799999999984</v>
      </c>
      <c r="CV84" s="13">
        <f t="shared" si="95"/>
        <v>56.910998596447364</v>
      </c>
      <c r="CW84" s="20">
        <f t="shared" si="67"/>
        <v>504.76808922214559</v>
      </c>
      <c r="CX84" s="59">
        <f t="shared" si="68"/>
        <v>798.10142255547885</v>
      </c>
      <c r="CY84" s="59">
        <f ca="1">AVERAGE(OFFSET($CX$3,0,0,'Données projet'!$E$13+1,1))-AVERAGE(OFFSET($H$3,0,0,'Données projet'!$E$13+1,1))</f>
        <v>261.59434871103355</v>
      </c>
      <c r="CZ84" s="59">
        <f t="shared" si="96"/>
        <v>194.97518096665976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0.75623101980857121</v>
      </c>
      <c r="DG84" s="21">
        <f>EXP(-LN(2)/25)*DG83+(1-EXP(-LN(2)/25))/(LN(2)/25)*Calculateur!DB84*Calculateur!DD84*VLOOKUP('Données projet'!$B$13,Paramètres!$A$1:$I$89,3,0)*0.475*44/12</f>
        <v>2.8415593901713181</v>
      </c>
      <c r="DH84" s="21">
        <f>EXP(-LN(2)/2)*DH83+(1-EXP(-LN(2)/2))/(LN(2)/2)*DB84*DE84*VLOOKUP('Données projet'!$B$13,Paramètres!$A$1:$I$89,3,0)*0.475*44/12</f>
        <v>3.9494656949844831E-7</v>
      </c>
      <c r="DI84" s="22">
        <f t="shared" si="69"/>
        <v>3.5977908049264591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5.6</v>
      </c>
      <c r="N85" s="13">
        <f>IF('Données projet'!$A$36&gt;35,N84+M85-V84,IF(A85&lt;'Données projet'!$A$36,$K$205^A85,IF(A85='Données projet'!$A$36,'Données projet'!$B$36,N84+M85-V84)))</f>
        <v>251.2000000000003</v>
      </c>
      <c r="O85" s="13">
        <f>N85*VLOOKUP('Données projet'!$B$9,Paramètres!$A$1:$I$89,3,0)*VLOOKUP('Données projet'!$B$9,Paramètres!$A$1:$I$89,5,0)</f>
        <v>227.28576000000027</v>
      </c>
      <c r="P85" s="13">
        <f t="shared" si="87"/>
        <v>55.695394520076427</v>
      </c>
      <c r="Q85" s="20">
        <f t="shared" si="54"/>
        <v>492.85884412246696</v>
      </c>
      <c r="R85" s="59">
        <f t="shared" si="55"/>
        <v>786.19217745580022</v>
      </c>
      <c r="S85" s="59">
        <f ca="1">AVERAGE(OFFSET($R$3,0,0,'Données projet'!$E$9+1,1))-AVERAGE(OFFSET($H$3,0,0,'Données projet'!$E$9+1,1))</f>
        <v>237.22177246688199</v>
      </c>
      <c r="T85" s="59">
        <f t="shared" si="88"/>
        <v>149.27472147904302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</v>
      </c>
      <c r="AA85" s="21">
        <f>EXP(-LN(2)/25)*AA84+(1-EXP(-LN(2)/25))/(LN(2)/25)*Calculateur!V85*Calculateur!X85*VLOOKUP('Données projet'!$B$9,Paramètres!$A$1:$I$89,3,0)*0.475*44/12</f>
        <v>0.7345991395852508</v>
      </c>
      <c r="AB85" s="21">
        <f>EXP(-LN(2)/2)*AB84+(1-EXP(-LN(2)/2))/(LN(2)/2)*V85*Y85*VLOOKUP('Données projet'!$B$9,Paramètres!$A$1:$I$89,3,0)*0.475*44/12</f>
        <v>9.2228470063633133E-8</v>
      </c>
      <c r="AC85" s="22">
        <f t="shared" si="57"/>
        <v>0.73459923181372089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243.38048563215585</v>
      </c>
      <c r="AO85" s="59">
        <f t="shared" si="90"/>
        <v>372.1604147006675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2.6097343034945664</v>
      </c>
      <c r="AV85" s="21">
        <f>EXP(-LN(2)/25)*AV84+(1-EXP(-LN(2)/25))/(LN(2)/25)*Calculateur!AQ85*Calculateur!AS85*VLOOKUP('Données projet'!$B$10,Paramètres!$A$1:$I$89,3,0)*0.475*44/12</f>
        <v>4.5794933935358371</v>
      </c>
      <c r="AW85" s="21">
        <f>EXP(-LN(2)/2)*AW84+(1-EXP(-LN(2)/2))/(LN(2)/2)*AQ85*AT85*VLOOKUP('Données projet'!$B$10,Paramètres!$A$1:$I$89,3,0)*0.475*44/12</f>
        <v>4.3682663460317496E-7</v>
      </c>
      <c r="AX85" s="21">
        <f t="shared" si="60"/>
        <v>7.1892281338570383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-5.6843418860808015E-13</v>
      </c>
      <c r="BE85" s="13">
        <f>BD85*VLOOKUP('Données projet'!$B$11,Paramètres!$A$1:$I$89,3,0)*VLOOKUP('Données projet'!$B$11,Paramètres!$A$1:$I$89,5,0)</f>
        <v>-3.177547114319168E-13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326.31232746914907</v>
      </c>
      <c r="BJ85" s="59">
        <f t="shared" si="92"/>
        <v>330.17137761430297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1.6310839396841053</v>
      </c>
      <c r="BQ85" s="21">
        <f>EXP(-LN(2)/25)*BQ84+(1-EXP(-LN(2)/25))/(LN(2)/25)*Calculateur!BL85*Calculateur!BN85*VLOOKUP('Données projet'!$B$11,Paramètres!$A$1:$I$89,3,0)*0.475*44/12</f>
        <v>7.1363371084260114</v>
      </c>
      <c r="BR85" s="21">
        <f>EXP(-LN(2)/2)*BR84+(1-EXP(-LN(2)/2))/(LN(2)/2)*BL85*BO85*VLOOKUP('Données projet'!$B$11,Paramètres!$A$1:$I$89,3,0)*0.475*44/12</f>
        <v>4.8461688116841378E-7</v>
      </c>
      <c r="BS85" s="22">
        <f t="shared" si="63"/>
        <v>8.7674215327269991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-2.2737367544323206E-13</v>
      </c>
      <c r="BZ85" s="13">
        <f>BY85*VLOOKUP('Données projet'!$B$12,Paramètres!$A$1:$I$89,3,0)*VLOOKUP('Données projet'!$B$12,Paramètres!$A$1:$I$89,5,0)</f>
        <v>-1.8089849618263545E-13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314.94704727988847</v>
      </c>
      <c r="CE85" s="59">
        <f t="shared" si="94"/>
        <v>366.49199094166454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1.39814584216685</v>
      </c>
      <c r="CL85" s="21">
        <f>EXP(-LN(2)/25)*CL84+(1-EXP(-LN(2)/25))/(LN(2)/25)*Calculateur!CG85*Calculateur!CI85*VLOOKUP('Données projet'!$B$12,Paramètres!$A$1:$I$89,3,0)*0.475*44/12</f>
        <v>6.0090963222282792</v>
      </c>
      <c r="CM85" s="21">
        <f>EXP(-LN(2)/2)*CM84+(1-EXP(-LN(2)/2))/(LN(2)/2)*CG85*CJ85*VLOOKUP('Données projet'!$B$12,Paramètres!$A$1:$I$89,3,0)*0.475*44/12</f>
        <v>4.3018514783315546E-7</v>
      </c>
      <c r="CN85" s="22">
        <f t="shared" si="66"/>
        <v>7.4072425945802767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6.6</v>
      </c>
      <c r="CT85" s="12">
        <f>IF('Données projet'!$A$140&gt;35,CT84+CS85-DB84,IF(A85&lt;'Données projet'!$A$140,$CQ$205^A85,IF(A85='Données projet'!$A$140,'Données projet'!$B$140,CT84+CS85-DB84)))</f>
        <v>305.19999999999982</v>
      </c>
      <c r="CU85" s="17">
        <f>CT85*VLOOKUP('Données projet'!$B$13,Paramètres!$A$1:$I$89,3,0)*VLOOKUP('Données projet'!$B$13,Paramètres!$A$1:$I$89,5,0)</f>
        <v>238.05599999999987</v>
      </c>
      <c r="CV85" s="13">
        <f t="shared" si="95"/>
        <v>58.021071638689108</v>
      </c>
      <c r="CW85" s="20">
        <f t="shared" si="67"/>
        <v>515.66756643738324</v>
      </c>
      <c r="CX85" s="59">
        <f t="shared" si="68"/>
        <v>809.00089977071661</v>
      </c>
      <c r="CY85" s="59">
        <f ca="1">AVERAGE(OFFSET($CX$3,0,0,'Données projet'!$E$13+1,1))-AVERAGE(OFFSET($H$3,0,0,'Données projet'!$E$13+1,1))</f>
        <v>261.59434871103355</v>
      </c>
      <c r="CZ85" s="59">
        <f t="shared" si="96"/>
        <v>194.97518096665976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0.74140179076550206</v>
      </c>
      <c r="DG85" s="21">
        <f>EXP(-LN(2)/25)*DG84+(1-EXP(-LN(2)/25))/(LN(2)/25)*Calculateur!DB85*Calculateur!DD85*VLOOKUP('Données projet'!$B$13,Paramètres!$A$1:$I$89,3,0)*0.475*44/12</f>
        <v>2.7638567992159695</v>
      </c>
      <c r="DH85" s="21">
        <f>EXP(-LN(2)/2)*DH84+(1-EXP(-LN(2)/2))/(LN(2)/2)*DB85*DE85*VLOOKUP('Données projet'!$B$13,Paramètres!$A$1:$I$89,3,0)*0.475*44/12</f>
        <v>2.7926939749871687E-7</v>
      </c>
      <c r="DI85" s="22">
        <f t="shared" si="69"/>
        <v>3.505258869250869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5.6</v>
      </c>
      <c r="N86" s="13">
        <f>IF('Données projet'!$A$36&gt;35,N85+M86-V85,IF(A86&lt;'Données projet'!$A$36,$K$205^A86,IF(A86='Données projet'!$A$36,'Données projet'!$B$36,N85+M86-V85)))</f>
        <v>256.8000000000003</v>
      </c>
      <c r="O86" s="13">
        <f>N86*VLOOKUP('Données projet'!$B$9,Paramètres!$A$1:$I$89,3,0)*VLOOKUP('Données projet'!$B$9,Paramètres!$A$1:$I$89,5,0)</f>
        <v>232.35264000000026</v>
      </c>
      <c r="P86" s="13">
        <f t="shared" si="87"/>
        <v>56.791075613550355</v>
      </c>
      <c r="Q86" s="20">
        <f t="shared" si="54"/>
        <v>503.59197136026728</v>
      </c>
      <c r="R86" s="59">
        <f t="shared" si="55"/>
        <v>796.92530469360054</v>
      </c>
      <c r="S86" s="59">
        <f ca="1">AVERAGE(OFFSET($R$3,0,0,'Données projet'!$E$9+1,1))-AVERAGE(OFFSET($H$3,0,0,'Données projet'!$E$9+1,1))</f>
        <v>237.22177246688199</v>
      </c>
      <c r="T86" s="59">
        <f t="shared" si="88"/>
        <v>149.27472147904302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</v>
      </c>
      <c r="AA86" s="21">
        <f>EXP(-LN(2)/25)*AA85+(1-EXP(-LN(2)/25))/(LN(2)/25)*Calculateur!V86*Calculateur!X86*VLOOKUP('Données projet'!$B$9,Paramètres!$A$1:$I$89,3,0)*0.475*44/12</f>
        <v>0.71451148748240234</v>
      </c>
      <c r="AB86" s="21">
        <f>EXP(-LN(2)/2)*AB85+(1-EXP(-LN(2)/2))/(LN(2)/2)*V86*Y86*VLOOKUP('Données projet'!$B$9,Paramètres!$A$1:$I$89,3,0)*0.475*44/12</f>
        <v>6.5215376600455482E-8</v>
      </c>
      <c r="AC86" s="22">
        <f t="shared" si="57"/>
        <v>0.714511552697779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243.38048563215585</v>
      </c>
      <c r="AO86" s="59">
        <f t="shared" si="90"/>
        <v>372.1604147006675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2.5585590055837879</v>
      </c>
      <c r="AV86" s="21">
        <f>EXP(-LN(2)/25)*AV85+(1-EXP(-LN(2)/25))/(LN(2)/25)*Calculateur!AQ86*Calculateur!AS86*VLOOKUP('Données projet'!$B$10,Paramètres!$A$1:$I$89,3,0)*0.475*44/12</f>
        <v>4.4542669058645084</v>
      </c>
      <c r="AW86" s="21">
        <f>EXP(-LN(2)/2)*AW85+(1-EXP(-LN(2)/2))/(LN(2)/2)*AQ86*AT86*VLOOKUP('Données projet'!$B$10,Paramètres!$A$1:$I$89,3,0)*0.475*44/12</f>
        <v>3.0888307553080318E-7</v>
      </c>
      <c r="AX86" s="21">
        <f t="shared" si="60"/>
        <v>7.0128262203313714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-5.6843418860808015E-13</v>
      </c>
      <c r="BE86" s="13">
        <f>BD86*VLOOKUP('Données projet'!$B$11,Paramètres!$A$1:$I$89,3,0)*VLOOKUP('Données projet'!$B$11,Paramètres!$A$1:$I$89,5,0)</f>
        <v>-3.177547114319168E-13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326.31232746914907</v>
      </c>
      <c r="BJ86" s="59">
        <f t="shared" si="92"/>
        <v>330.17137761430297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1.5990993784898686</v>
      </c>
      <c r="BQ86" s="21">
        <f>EXP(-LN(2)/25)*BQ85+(1-EXP(-LN(2)/25))/(LN(2)/25)*Calculateur!BL86*Calculateur!BN86*VLOOKUP('Données projet'!$B$11,Paramètres!$A$1:$I$89,3,0)*0.475*44/12</f>
        <v>6.9411935949124439</v>
      </c>
      <c r="BR86" s="21">
        <f>EXP(-LN(2)/2)*BR85+(1-EXP(-LN(2)/2))/(LN(2)/2)*BL86*BO86*VLOOKUP('Données projet'!$B$11,Paramètres!$A$1:$I$89,3,0)*0.475*44/12</f>
        <v>3.4267588295166067E-7</v>
      </c>
      <c r="BS86" s="22">
        <f t="shared" si="63"/>
        <v>8.5402933160781949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-2.2737367544323206E-13</v>
      </c>
      <c r="BZ86" s="13">
        <f>BY86*VLOOKUP('Données projet'!$B$12,Paramètres!$A$1:$I$89,3,0)*VLOOKUP('Données projet'!$B$12,Paramètres!$A$1:$I$89,5,0)</f>
        <v>-1.8089849618263545E-13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314.94704727988847</v>
      </c>
      <c r="CE86" s="59">
        <f t="shared" si="94"/>
        <v>366.49199094166454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1.3707290549867164</v>
      </c>
      <c r="CL86" s="21">
        <f>EXP(-LN(2)/25)*CL85+(1-EXP(-LN(2)/25))/(LN(2)/25)*Calculateur!CG86*Calculateur!CI86*VLOOKUP('Données projet'!$B$12,Paramètres!$A$1:$I$89,3,0)*0.475*44/12</f>
        <v>5.8447772672923053</v>
      </c>
      <c r="CM86" s="21">
        <f>EXP(-LN(2)/2)*CM85+(1-EXP(-LN(2)/2))/(LN(2)/2)*CG86*CJ86*VLOOKUP('Données projet'!$B$12,Paramètres!$A$1:$I$89,3,0)*0.475*44/12</f>
        <v>3.0418683519856166E-7</v>
      </c>
      <c r="CN86" s="22">
        <f t="shared" si="66"/>
        <v>7.2155066264658565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6.6</v>
      </c>
      <c r="CT86" s="12">
        <f>IF('Données projet'!$A$140&gt;35,CT85+CS86-DB85,IF(A86&lt;'Données projet'!$A$140,$CQ$205^A86,IF(A86='Données projet'!$A$140,'Données projet'!$B$140,CT85+CS86-DB85)))</f>
        <v>311.79999999999984</v>
      </c>
      <c r="CU86" s="17">
        <f>CT86*VLOOKUP('Données projet'!$B$13,Paramètres!$A$1:$I$89,3,0)*VLOOKUP('Données projet'!$B$13,Paramètres!$A$1:$I$89,5,0)</f>
        <v>243.20399999999989</v>
      </c>
      <c r="CV86" s="13">
        <f t="shared" si="95"/>
        <v>59.128353723316692</v>
      </c>
      <c r="CW86" s="20">
        <f t="shared" si="67"/>
        <v>526.56218273477634</v>
      </c>
      <c r="CX86" s="59">
        <f t="shared" si="68"/>
        <v>819.8955160681096</v>
      </c>
      <c r="CY86" s="59">
        <f ca="1">AVERAGE(OFFSET($CX$3,0,0,'Données projet'!$E$13+1,1))-AVERAGE(OFFSET($H$3,0,0,'Données projet'!$E$13+1,1))</f>
        <v>261.59434871103355</v>
      </c>
      <c r="CZ86" s="59">
        <f t="shared" si="96"/>
        <v>194.97518096665976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0.72686335385903089</v>
      </c>
      <c r="DG86" s="21">
        <f>EXP(-LN(2)/25)*DG85+(1-EXP(-LN(2)/25))/(LN(2)/25)*Calculateur!DB86*Calculateur!DD86*VLOOKUP('Données projet'!$B$13,Paramètres!$A$1:$I$89,3,0)*0.475*44/12</f>
        <v>2.6882789896964967</v>
      </c>
      <c r="DH86" s="21">
        <f>EXP(-LN(2)/2)*DH85+(1-EXP(-LN(2)/2))/(LN(2)/2)*DB86*DE86*VLOOKUP('Données projet'!$B$13,Paramètres!$A$1:$I$89,3,0)*0.475*44/12</f>
        <v>1.9747328474922416E-7</v>
      </c>
      <c r="DI86" s="22">
        <f t="shared" si="69"/>
        <v>3.4151425410288123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5.6</v>
      </c>
      <c r="N87" s="13">
        <f>IF('Données projet'!$A$36&gt;35,N86+M87-V86,IF(A87&lt;'Données projet'!$A$36,$K$205^A87,IF(A87='Données projet'!$A$36,'Données projet'!$B$36,N86+M87-V86)))</f>
        <v>262.40000000000032</v>
      </c>
      <c r="O87" s="13">
        <f>N87*VLOOKUP('Données projet'!$B$9,Paramètres!$A$1:$I$89,3,0)*VLOOKUP('Données projet'!$B$9,Paramètres!$A$1:$I$89,5,0)</f>
        <v>237.41952000000029</v>
      </c>
      <c r="P87" s="13">
        <f t="shared" si="87"/>
        <v>57.883978814320969</v>
      </c>
      <c r="Q87" s="20">
        <f t="shared" si="54"/>
        <v>514.32026043494284</v>
      </c>
      <c r="R87" s="59">
        <f t="shared" si="55"/>
        <v>807.6535937682761</v>
      </c>
      <c r="S87" s="59">
        <f ca="1">AVERAGE(OFFSET($R$3,0,0,'Données projet'!$E$9+1,1))-AVERAGE(OFFSET($H$3,0,0,'Données projet'!$E$9+1,1))</f>
        <v>237.22177246688199</v>
      </c>
      <c r="T87" s="59">
        <f t="shared" si="88"/>
        <v>149.27472147904302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</v>
      </c>
      <c r="AA87" s="21">
        <f>EXP(-LN(2)/25)*AA86+(1-EXP(-LN(2)/25))/(LN(2)/25)*Calculateur!V87*Calculateur!X87*VLOOKUP('Données projet'!$B$9,Paramètres!$A$1:$I$89,3,0)*0.475*44/12</f>
        <v>0.69497313328266996</v>
      </c>
      <c r="AB87" s="21">
        <f>EXP(-LN(2)/2)*AB86+(1-EXP(-LN(2)/2))/(LN(2)/2)*V87*Y87*VLOOKUP('Données projet'!$B$9,Paramètres!$A$1:$I$89,3,0)*0.475*44/12</f>
        <v>4.6114235031816567E-8</v>
      </c>
      <c r="AC87" s="22">
        <f t="shared" si="57"/>
        <v>0.69497317939690495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243.38048563215585</v>
      </c>
      <c r="AO87" s="59">
        <f t="shared" si="90"/>
        <v>372.1604147006675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2.50838722405119</v>
      </c>
      <c r="AV87" s="21">
        <f>EXP(-LN(2)/25)*AV86+(1-EXP(-LN(2)/25))/(LN(2)/25)*Calculateur!AQ87*Calculateur!AS87*VLOOKUP('Données projet'!$B$10,Paramètres!$A$1:$I$89,3,0)*0.475*44/12</f>
        <v>4.3324647430839276</v>
      </c>
      <c r="AW87" s="21">
        <f>EXP(-LN(2)/2)*AW86+(1-EXP(-LN(2)/2))/(LN(2)/2)*AQ87*AT87*VLOOKUP('Données projet'!$B$10,Paramètres!$A$1:$I$89,3,0)*0.475*44/12</f>
        <v>2.1841331730158748E-7</v>
      </c>
      <c r="AX87" s="21">
        <f t="shared" si="60"/>
        <v>6.8408521855484352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-5.6843418860808015E-13</v>
      </c>
      <c r="BE87" s="13">
        <f>BD87*VLOOKUP('Données projet'!$B$11,Paramètres!$A$1:$I$89,3,0)*VLOOKUP('Données projet'!$B$11,Paramètres!$A$1:$I$89,5,0)</f>
        <v>-3.177547114319168E-13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326.31232746914907</v>
      </c>
      <c r="BJ87" s="59">
        <f t="shared" si="92"/>
        <v>330.17137761430297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1.567742015031995</v>
      </c>
      <c r="BQ87" s="21">
        <f>EXP(-LN(2)/25)*BQ86+(1-EXP(-LN(2)/25))/(LN(2)/25)*Calculateur!BL87*Calculateur!BN87*VLOOKUP('Données projet'!$B$11,Paramètres!$A$1:$I$89,3,0)*0.475*44/12</f>
        <v>6.751386291038056</v>
      </c>
      <c r="BR87" s="21">
        <f>EXP(-LN(2)/2)*BR86+(1-EXP(-LN(2)/2))/(LN(2)/2)*BL87*BO87*VLOOKUP('Données projet'!$B$11,Paramètres!$A$1:$I$89,3,0)*0.475*44/12</f>
        <v>2.4230844058420689E-7</v>
      </c>
      <c r="BS87" s="22">
        <f t="shared" si="63"/>
        <v>8.3191285483784903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-2.2737367544323206E-13</v>
      </c>
      <c r="BZ87" s="13">
        <f>BY87*VLOOKUP('Données projet'!$B$12,Paramètres!$A$1:$I$89,3,0)*VLOOKUP('Données projet'!$B$12,Paramètres!$A$1:$I$89,5,0)</f>
        <v>-1.8089849618263545E-13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314.94704727988847</v>
      </c>
      <c r="CE87" s="59">
        <f t="shared" si="94"/>
        <v>366.49199094166454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1.3438498942805961</v>
      </c>
      <c r="CL87" s="21">
        <f>EXP(-LN(2)/25)*CL86+(1-EXP(-LN(2)/25))/(LN(2)/25)*Calculateur!CG87*Calculateur!CI87*VLOOKUP('Données projet'!$B$12,Paramètres!$A$1:$I$89,3,0)*0.475*44/12</f>
        <v>5.6849515255547187</v>
      </c>
      <c r="CM87" s="21">
        <f>EXP(-LN(2)/2)*CM86+(1-EXP(-LN(2)/2))/(LN(2)/2)*CG87*CJ87*VLOOKUP('Données projet'!$B$12,Paramètres!$A$1:$I$89,3,0)*0.475*44/12</f>
        <v>2.1509257391657773E-7</v>
      </c>
      <c r="CN87" s="22">
        <f t="shared" si="66"/>
        <v>7.0288016349278886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6.6</v>
      </c>
      <c r="CT87" s="12">
        <f>IF('Données projet'!$A$140&gt;35,CT86+CS87-DB86,IF(A87&lt;'Données projet'!$A$140,$CQ$205^A87,IF(A87='Données projet'!$A$140,'Données projet'!$B$140,CT86+CS87-DB86)))</f>
        <v>318.39999999999986</v>
      </c>
      <c r="CU87" s="17">
        <f>CT87*VLOOKUP('Données projet'!$B$13,Paramètres!$A$1:$I$89,3,0)*VLOOKUP('Données projet'!$B$13,Paramètres!$A$1:$I$89,5,0)</f>
        <v>248.35199999999989</v>
      </c>
      <c r="CV87" s="13">
        <f t="shared" si="95"/>
        <v>60.2329107330429</v>
      </c>
      <c r="CW87" s="20">
        <f t="shared" si="67"/>
        <v>537.45205286004943</v>
      </c>
      <c r="CX87" s="59">
        <f t="shared" si="68"/>
        <v>830.78538619338269</v>
      </c>
      <c r="CY87" s="59">
        <f ca="1">AVERAGE(OFFSET($CX$3,0,0,'Données projet'!$E$13+1,1))-AVERAGE(OFFSET($H$3,0,0,'Données projet'!$E$13+1,1))</f>
        <v>261.59434871103355</v>
      </c>
      <c r="CZ87" s="59">
        <f t="shared" si="96"/>
        <v>194.97518096665976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0.71261000683272469</v>
      </c>
      <c r="DG87" s="21">
        <f>EXP(-LN(2)/25)*DG86+(1-EXP(-LN(2)/25))/(LN(2)/25)*Calculateur!DB87*Calculateur!DD87*VLOOKUP('Données projet'!$B$13,Paramètres!$A$1:$I$89,3,0)*0.475*44/12</f>
        <v>2.6147678593527979</v>
      </c>
      <c r="DH87" s="21">
        <f>EXP(-LN(2)/2)*DH86+(1-EXP(-LN(2)/2))/(LN(2)/2)*DB87*DE87*VLOOKUP('Données projet'!$B$13,Paramètres!$A$1:$I$89,3,0)*0.475*44/12</f>
        <v>1.3963469874935844E-7</v>
      </c>
      <c r="DI87" s="22">
        <f t="shared" si="69"/>
        <v>3.3273780058202216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5.6</v>
      </c>
      <c r="N88" s="13">
        <f>IF('Données projet'!$A$36&gt;35,N87+M88-V87,IF(A88&lt;'Données projet'!$A$36,$K$205^A88,IF(A88='Données projet'!$A$36,'Données projet'!$B$36,N87+M88-V87)))</f>
        <v>268.00000000000034</v>
      </c>
      <c r="O88" s="13">
        <f>N88*VLOOKUP('Données projet'!$B$9,Paramètres!$A$1:$I$89,3,0)*VLOOKUP('Données projet'!$B$9,Paramètres!$A$1:$I$89,5,0)</f>
        <v>242.48640000000032</v>
      </c>
      <c r="P88" s="13">
        <f t="shared" si="87"/>
        <v>58.974170235372526</v>
      </c>
      <c r="Q88" s="20">
        <f t="shared" si="54"/>
        <v>525.04382649327442</v>
      </c>
      <c r="R88" s="59">
        <f t="shared" si="55"/>
        <v>818.37715982660779</v>
      </c>
      <c r="S88" s="59">
        <f ca="1">AVERAGE(OFFSET($R$3,0,0,'Données projet'!$E$9+1,1))-AVERAGE(OFFSET($H$3,0,0,'Données projet'!$E$9+1,1))</f>
        <v>237.22177246688199</v>
      </c>
      <c r="T88" s="59">
        <f t="shared" si="88"/>
        <v>149.27472147904302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</v>
      </c>
      <c r="AA88" s="21">
        <f>EXP(-LN(2)/25)*AA87+(1-EXP(-LN(2)/25))/(LN(2)/25)*Calculateur!V88*Calculateur!X88*VLOOKUP('Données projet'!$B$9,Paramètres!$A$1:$I$89,3,0)*0.475*44/12</f>
        <v>0.67596905640600669</v>
      </c>
      <c r="AB88" s="21">
        <f>EXP(-LN(2)/2)*AB87+(1-EXP(-LN(2)/2))/(LN(2)/2)*V88*Y88*VLOOKUP('Données projet'!$B$9,Paramètres!$A$1:$I$89,3,0)*0.475*44/12</f>
        <v>3.2607688300227741E-8</v>
      </c>
      <c r="AC88" s="22">
        <f t="shared" si="57"/>
        <v>0.67596908901369501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243.38048563215585</v>
      </c>
      <c r="AO88" s="59">
        <f t="shared" si="90"/>
        <v>372.1604147006675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2.4591992805526814</v>
      </c>
      <c r="AV88" s="21">
        <f>EXP(-LN(2)/25)*AV87+(1-EXP(-LN(2)/25))/(LN(2)/25)*Calculateur!AQ88*Calculateur!AS88*VLOOKUP('Données projet'!$B$10,Paramètres!$A$1:$I$89,3,0)*0.475*44/12</f>
        <v>4.2139932668498785</v>
      </c>
      <c r="AW88" s="21">
        <f>EXP(-LN(2)/2)*AW87+(1-EXP(-LN(2)/2))/(LN(2)/2)*AQ88*AT88*VLOOKUP('Données projet'!$B$10,Paramètres!$A$1:$I$89,3,0)*0.475*44/12</f>
        <v>1.5444153776540159E-7</v>
      </c>
      <c r="AX88" s="21">
        <f t="shared" si="60"/>
        <v>6.6731927018440977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-5.6843418860808015E-13</v>
      </c>
      <c r="BE88" s="13">
        <f>BD88*VLOOKUP('Données projet'!$B$11,Paramètres!$A$1:$I$89,3,0)*VLOOKUP('Données projet'!$B$11,Paramètres!$A$1:$I$89,5,0)</f>
        <v>-3.177547114319168E-13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326.31232746914907</v>
      </c>
      <c r="BJ88" s="59">
        <f t="shared" si="92"/>
        <v>330.17137761430297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1.536999550345427</v>
      </c>
      <c r="BQ88" s="21">
        <f>EXP(-LN(2)/25)*BQ87+(1-EXP(-LN(2)/25))/(LN(2)/25)*Calculateur!BL88*Calculateur!BN88*VLOOKUP('Données projet'!$B$11,Paramètres!$A$1:$I$89,3,0)*0.475*44/12</f>
        <v>6.5667692778696454</v>
      </c>
      <c r="BR88" s="21">
        <f>EXP(-LN(2)/2)*BR87+(1-EXP(-LN(2)/2))/(LN(2)/2)*BL88*BO88*VLOOKUP('Données projet'!$B$11,Paramètres!$A$1:$I$89,3,0)*0.475*44/12</f>
        <v>1.7133794147583033E-7</v>
      </c>
      <c r="BS88" s="22">
        <f t="shared" si="63"/>
        <v>8.1037689995530133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-2.2737367544323206E-13</v>
      </c>
      <c r="BZ88" s="13">
        <f>BY88*VLOOKUP('Données projet'!$B$12,Paramètres!$A$1:$I$89,3,0)*VLOOKUP('Données projet'!$B$12,Paramètres!$A$1:$I$89,5,0)</f>
        <v>-1.8089849618263545E-13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314.94704727988847</v>
      </c>
      <c r="CE88" s="59">
        <f t="shared" si="94"/>
        <v>366.49199094166454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1.3174978175212537</v>
      </c>
      <c r="CL88" s="21">
        <f>EXP(-LN(2)/25)*CL87+(1-EXP(-LN(2)/25))/(LN(2)/25)*Calculateur!CG88*Calculateur!CI88*VLOOKUP('Données projet'!$B$12,Paramètres!$A$1:$I$89,3,0)*0.475*44/12</f>
        <v>5.5294962271298171</v>
      </c>
      <c r="CM88" s="21">
        <f>EXP(-LN(2)/2)*CM87+(1-EXP(-LN(2)/2))/(LN(2)/2)*CG88*CJ88*VLOOKUP('Données projet'!$B$12,Paramètres!$A$1:$I$89,3,0)*0.475*44/12</f>
        <v>1.5209341759928083E-7</v>
      </c>
      <c r="CN88" s="22">
        <f t="shared" si="66"/>
        <v>6.8469941967444887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6.6</v>
      </c>
      <c r="CT88" s="12">
        <f>IF('Données projet'!$A$140&gt;35,CT87+CS88-DB87,IF(A88&lt;'Données projet'!$A$140,$CQ$205^A88,IF(A88='Données projet'!$A$140,'Données projet'!$B$140,CT87+CS88-DB87)))</f>
        <v>324.99999999999989</v>
      </c>
      <c r="CU88" s="17">
        <f>CT88*VLOOKUP('Données projet'!$B$13,Paramètres!$A$1:$I$89,3,0)*VLOOKUP('Données projet'!$B$13,Paramètres!$A$1:$I$89,5,0)</f>
        <v>253.49999999999991</v>
      </c>
      <c r="CV88" s="13">
        <f t="shared" si="95"/>
        <v>61.334805663162498</v>
      </c>
      <c r="CW88" s="20">
        <f t="shared" si="67"/>
        <v>548.33728653000776</v>
      </c>
      <c r="CX88" s="59">
        <f t="shared" si="68"/>
        <v>841.67061986334102</v>
      </c>
      <c r="CY88" s="59">
        <f ca="1">AVERAGE(OFFSET($CX$3,0,0,'Données projet'!$E$13+1,1))-AVERAGE(OFFSET($H$3,0,0,'Données projet'!$E$13+1,1))</f>
        <v>261.59434871103355</v>
      </c>
      <c r="CZ88" s="59">
        <f t="shared" si="96"/>
        <v>194.97518096665976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0.69863615924792111</v>
      </c>
      <c r="DG88" s="21">
        <f>EXP(-LN(2)/25)*DG87+(1-EXP(-LN(2)/25))/(LN(2)/25)*Calculateur!DB88*Calculateur!DD88*VLOOKUP('Données projet'!$B$13,Paramètres!$A$1:$I$89,3,0)*0.475*44/12</f>
        <v>2.5432668947341299</v>
      </c>
      <c r="DH88" s="21">
        <f>EXP(-LN(2)/2)*DH87+(1-EXP(-LN(2)/2))/(LN(2)/2)*DB88*DE88*VLOOKUP('Données projet'!$B$13,Paramètres!$A$1:$I$89,3,0)*0.475*44/12</f>
        <v>9.8736642374612078E-8</v>
      </c>
      <c r="DI88" s="22">
        <f t="shared" si="69"/>
        <v>3.2419031527186934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5.6</v>
      </c>
      <c r="N89" s="13">
        <f>IF('Données projet'!$A$36&gt;35,N88+M89-V88,IF(A89&lt;'Données projet'!$A$36,$K$205^A89,IF(A89='Données projet'!$A$36,'Données projet'!$B$36,N88+M89-V88)))</f>
        <v>273.60000000000036</v>
      </c>
      <c r="O89" s="13">
        <f>N89*VLOOKUP('Données projet'!$B$9,Paramètres!$A$1:$I$89,3,0)*VLOOKUP('Données projet'!$B$9,Paramètres!$A$1:$I$89,5,0)</f>
        <v>247.55328000000031</v>
      </c>
      <c r="P89" s="13">
        <f t="shared" si="87"/>
        <v>60.061713068870304</v>
      </c>
      <c r="Q89" s="20">
        <f t="shared" si="54"/>
        <v>535.76277959494962</v>
      </c>
      <c r="R89" s="59">
        <f t="shared" si="55"/>
        <v>829.09611292828299</v>
      </c>
      <c r="S89" s="59">
        <f ca="1">AVERAGE(OFFSET($R$3,0,0,'Données projet'!$E$9+1,1))-AVERAGE(OFFSET($H$3,0,0,'Données projet'!$E$9+1,1))</f>
        <v>237.22177246688199</v>
      </c>
      <c r="T89" s="59">
        <f t="shared" si="88"/>
        <v>149.27472147904302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</v>
      </c>
      <c r="AA89" s="21">
        <f>EXP(-LN(2)/25)*AA88+(1-EXP(-LN(2)/25))/(LN(2)/25)*Calculateur!V89*Calculateur!X89*VLOOKUP('Données projet'!$B$9,Paramètres!$A$1:$I$89,3,0)*0.475*44/12</f>
        <v>0.65748464701091669</v>
      </c>
      <c r="AB89" s="21">
        <f>EXP(-LN(2)/2)*AB88+(1-EXP(-LN(2)/2))/(LN(2)/2)*V89*Y89*VLOOKUP('Données projet'!$B$9,Paramètres!$A$1:$I$89,3,0)*0.475*44/12</f>
        <v>2.3057117515908283E-8</v>
      </c>
      <c r="AC89" s="22">
        <f t="shared" si="57"/>
        <v>0.65748467006803424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243.38048563215585</v>
      </c>
      <c r="AO89" s="59">
        <f t="shared" si="90"/>
        <v>372.1604147006675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2.4109758826244954</v>
      </c>
      <c r="AV89" s="21">
        <f>EXP(-LN(2)/25)*AV88+(1-EXP(-LN(2)/25))/(LN(2)/25)*Calculateur!AQ89*Calculateur!AS89*VLOOKUP('Données projet'!$B$10,Paramètres!$A$1:$I$89,3,0)*0.475*44/12</f>
        <v>4.0987613993635943</v>
      </c>
      <c r="AW89" s="21">
        <f>EXP(-LN(2)/2)*AW88+(1-EXP(-LN(2)/2))/(LN(2)/2)*AQ89*AT89*VLOOKUP('Données projet'!$B$10,Paramètres!$A$1:$I$89,3,0)*0.475*44/12</f>
        <v>1.0920665865079374E-7</v>
      </c>
      <c r="AX89" s="21">
        <f t="shared" si="60"/>
        <v>6.509737391194748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-5.6843418860808015E-13</v>
      </c>
      <c r="BE89" s="13">
        <f>BD89*VLOOKUP('Données projet'!$B$11,Paramètres!$A$1:$I$89,3,0)*VLOOKUP('Données projet'!$B$11,Paramètres!$A$1:$I$89,5,0)</f>
        <v>-3.177547114319168E-13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326.31232746914907</v>
      </c>
      <c r="BJ89" s="59">
        <f t="shared" si="92"/>
        <v>330.17137761430297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1.5068599266403107</v>
      </c>
      <c r="BQ89" s="21">
        <f>EXP(-LN(2)/25)*BQ88+(1-EXP(-LN(2)/25))/(LN(2)/25)*Calculateur!BL89*Calculateur!BN89*VLOOKUP('Données projet'!$B$11,Paramètres!$A$1:$I$89,3,0)*0.475*44/12</f>
        <v>6.3872006266349119</v>
      </c>
      <c r="BR89" s="21">
        <f>EXP(-LN(2)/2)*BR88+(1-EXP(-LN(2)/2))/(LN(2)/2)*BL89*BO89*VLOOKUP('Données projet'!$B$11,Paramètres!$A$1:$I$89,3,0)*0.475*44/12</f>
        <v>1.2115422029210345E-7</v>
      </c>
      <c r="BS89" s="22">
        <f t="shared" si="63"/>
        <v>7.8940606744294426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-2.2737367544323206E-13</v>
      </c>
      <c r="BZ89" s="13">
        <f>BY89*VLOOKUP('Données projet'!$B$12,Paramètres!$A$1:$I$89,3,0)*VLOOKUP('Données projet'!$B$12,Paramètres!$A$1:$I$89,5,0)</f>
        <v>-1.8089849618263545E-13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314.94704727988847</v>
      </c>
      <c r="CE89" s="59">
        <f t="shared" si="94"/>
        <v>366.49199094166454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1.2916624889139823</v>
      </c>
      <c r="CL89" s="21">
        <f>EXP(-LN(2)/25)*CL88+(1-EXP(-LN(2)/25))/(LN(2)/25)*Calculateur!CG89*Calculateur!CI89*VLOOKUP('Données projet'!$B$12,Paramètres!$A$1:$I$89,3,0)*0.475*44/12</f>
        <v>5.3782918620153835</v>
      </c>
      <c r="CM89" s="21">
        <f>EXP(-LN(2)/2)*CM88+(1-EXP(-LN(2)/2))/(LN(2)/2)*CG89*CJ89*VLOOKUP('Données projet'!$B$12,Paramètres!$A$1:$I$89,3,0)*0.475*44/12</f>
        <v>1.0754628695828887E-7</v>
      </c>
      <c r="CN89" s="22">
        <f t="shared" si="66"/>
        <v>6.6699544584756527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6.6</v>
      </c>
      <c r="CT89" s="12">
        <f>IF('Données projet'!$A$140&gt;35,CT88+CS89-DB88,IF(A89&lt;'Données projet'!$A$140,$CQ$205^A89,IF(A89='Données projet'!$A$140,'Données projet'!$B$140,CT88+CS89-DB88)))</f>
        <v>331.59999999999991</v>
      </c>
      <c r="CU89" s="17">
        <f>CT89*VLOOKUP('Données projet'!$B$13,Paramètres!$A$1:$I$89,3,0)*VLOOKUP('Données projet'!$B$13,Paramètres!$A$1:$I$89,5,0)</f>
        <v>258.64799999999991</v>
      </c>
      <c r="CV89" s="13">
        <f t="shared" si="95"/>
        <v>62.434098804122812</v>
      </c>
      <c r="CW89" s="20">
        <f t="shared" si="67"/>
        <v>559.21798875051365</v>
      </c>
      <c r="CX89" s="59">
        <f t="shared" si="68"/>
        <v>852.55132208384703</v>
      </c>
      <c r="CY89" s="59">
        <f ca="1">AVERAGE(OFFSET($CX$3,0,0,'Données projet'!$E$13+1,1))-AVERAGE(OFFSET($H$3,0,0,'Données projet'!$E$13+1,1))</f>
        <v>261.59434871103355</v>
      </c>
      <c r="CZ89" s="59">
        <f t="shared" si="96"/>
        <v>194.97518096665976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0.68493633029105006</v>
      </c>
      <c r="DG89" s="21">
        <f>EXP(-LN(2)/25)*DG88+(1-EXP(-LN(2)/25))/(LN(2)/25)*Calculateur!DB89*Calculateur!DD89*VLOOKUP('Données projet'!$B$13,Paramètres!$A$1:$I$89,3,0)*0.475*44/12</f>
        <v>2.473721127753032</v>
      </c>
      <c r="DH89" s="21">
        <f>EXP(-LN(2)/2)*DH88+(1-EXP(-LN(2)/2))/(LN(2)/2)*DB89*DE89*VLOOKUP('Données projet'!$B$13,Paramètres!$A$1:$I$89,3,0)*0.475*44/12</f>
        <v>6.9817349374679219E-8</v>
      </c>
      <c r="DI89" s="22">
        <f t="shared" si="69"/>
        <v>3.1586575278614313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5.6</v>
      </c>
      <c r="N90" s="13">
        <f>IF('Données projet'!$A$36&gt;35,N89+M90-V89,IF(A90&lt;'Données projet'!$A$36,$K$205^A90,IF(A90='Données projet'!$A$36,'Données projet'!$B$36,N89+M90-V89)))</f>
        <v>279.20000000000039</v>
      </c>
      <c r="O90" s="13">
        <f>N90*VLOOKUP('Données projet'!$B$9,Paramètres!$A$1:$I$89,3,0)*VLOOKUP('Données projet'!$B$9,Paramètres!$A$1:$I$89,5,0)</f>
        <v>252.62016000000034</v>
      </c>
      <c r="P90" s="13">
        <f t="shared" si="87"/>
        <v>61.146667772298876</v>
      </c>
      <c r="Q90" s="20">
        <f t="shared" si="54"/>
        <v>546.47722503675448</v>
      </c>
      <c r="R90" s="59">
        <f t="shared" si="55"/>
        <v>839.81055837008785</v>
      </c>
      <c r="S90" s="59">
        <f ca="1">AVERAGE(OFFSET($R$3,0,0,'Données projet'!$E$9+1,1))-AVERAGE(OFFSET($H$3,0,0,'Données projet'!$E$9+1,1))</f>
        <v>237.22177246688199</v>
      </c>
      <c r="T90" s="59">
        <f t="shared" si="88"/>
        <v>149.27472147904302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</v>
      </c>
      <c r="AA90" s="21">
        <f>EXP(-LN(2)/25)*AA89+(1-EXP(-LN(2)/25))/(LN(2)/25)*Calculateur!V90*Calculateur!X90*VLOOKUP('Données projet'!$B$9,Paramètres!$A$1:$I$89,3,0)*0.475*44/12</f>
        <v>0.63950569476278829</v>
      </c>
      <c r="AB90" s="21">
        <f>EXP(-LN(2)/2)*AB89+(1-EXP(-LN(2)/2))/(LN(2)/2)*V90*Y90*VLOOKUP('Données projet'!$B$9,Paramètres!$A$1:$I$89,3,0)*0.475*44/12</f>
        <v>1.630384415011387E-8</v>
      </c>
      <c r="AC90" s="22">
        <f t="shared" si="57"/>
        <v>0.63950571106663245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243.38048563215585</v>
      </c>
      <c r="AO90" s="59">
        <f t="shared" si="90"/>
        <v>372.1604147006675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2.3636981161163129</v>
      </c>
      <c r="AV90" s="21">
        <f>EXP(-LN(2)/25)*AV89+(1-EXP(-LN(2)/25))/(LN(2)/25)*Calculateur!AQ90*Calculateur!AS90*VLOOKUP('Données projet'!$B$10,Paramètres!$A$1:$I$89,3,0)*0.475*44/12</f>
        <v>3.9866805533535028</v>
      </c>
      <c r="AW90" s="21">
        <f>EXP(-LN(2)/2)*AW89+(1-EXP(-LN(2)/2))/(LN(2)/2)*AQ90*AT90*VLOOKUP('Données projet'!$B$10,Paramètres!$A$1:$I$89,3,0)*0.475*44/12</f>
        <v>7.7220768882700796E-8</v>
      </c>
      <c r="AX90" s="21">
        <f t="shared" si="60"/>
        <v>6.3503787466905841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-5.6843418860808015E-13</v>
      </c>
      <c r="BE90" s="13">
        <f>BD90*VLOOKUP('Données projet'!$B$11,Paramètres!$A$1:$I$89,3,0)*VLOOKUP('Données projet'!$B$11,Paramètres!$A$1:$I$89,5,0)</f>
        <v>-3.177547114319168E-13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326.31232746914907</v>
      </c>
      <c r="BJ90" s="59">
        <f t="shared" si="92"/>
        <v>330.17137761430297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1.4773113225726964</v>
      </c>
      <c r="BQ90" s="21">
        <f>EXP(-LN(2)/25)*BQ89+(1-EXP(-LN(2)/25))/(LN(2)/25)*Calculateur!BL90*Calculateur!BN90*VLOOKUP('Données projet'!$B$11,Paramètres!$A$1:$I$89,3,0)*0.475*44/12</f>
        <v>6.2125422896112976</v>
      </c>
      <c r="BR90" s="21">
        <f>EXP(-LN(2)/2)*BR89+(1-EXP(-LN(2)/2))/(LN(2)/2)*BL90*BO90*VLOOKUP('Données projet'!$B$11,Paramètres!$A$1:$I$89,3,0)*0.475*44/12</f>
        <v>8.5668970737915167E-8</v>
      </c>
      <c r="BS90" s="22">
        <f t="shared" si="63"/>
        <v>7.6898536978529641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-2.2737367544323206E-13</v>
      </c>
      <c r="BZ90" s="13">
        <f>BY90*VLOOKUP('Données projet'!$B$12,Paramètres!$A$1:$I$89,3,0)*VLOOKUP('Données projet'!$B$12,Paramètres!$A$1:$I$89,5,0)</f>
        <v>-1.8089849618263545E-13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314.94704727988847</v>
      </c>
      <c r="CE90" s="59">
        <f t="shared" si="94"/>
        <v>366.49199094166454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1.2663337753427049</v>
      </c>
      <c r="CL90" s="21">
        <f>EXP(-LN(2)/25)*CL89+(1-EXP(-LN(2)/25))/(LN(2)/25)*Calculateur!CG90*Calculateur!CI90*VLOOKUP('Données projet'!$B$12,Paramètres!$A$1:$I$89,3,0)*0.475*44/12</f>
        <v>5.2312221882164964</v>
      </c>
      <c r="CM90" s="21">
        <f>EXP(-LN(2)/2)*CM89+(1-EXP(-LN(2)/2))/(LN(2)/2)*CG90*CJ90*VLOOKUP('Données projet'!$B$12,Paramètres!$A$1:$I$89,3,0)*0.475*44/12</f>
        <v>7.6046708799640414E-8</v>
      </c>
      <c r="CN90" s="22">
        <f t="shared" si="66"/>
        <v>6.49755603960591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6.6</v>
      </c>
      <c r="CT90" s="12">
        <f>IF('Données projet'!$A$140&gt;35,CT89+CS90-DB89,IF(A90&lt;'Données projet'!$A$140,$CQ$205^A90,IF(A90='Données projet'!$A$140,'Données projet'!$B$140,CT89+CS90-DB89)))</f>
        <v>338.19999999999993</v>
      </c>
      <c r="CU90" s="17">
        <f>CT90*VLOOKUP('Données projet'!$B$13,Paramètres!$A$1:$I$89,3,0)*VLOOKUP('Données projet'!$B$13,Paramètres!$A$1:$I$89,5,0)</f>
        <v>263.79599999999994</v>
      </c>
      <c r="CV90" s="13">
        <f t="shared" si="95"/>
        <v>63.530847909147546</v>
      </c>
      <c r="CW90" s="20">
        <f t="shared" si="67"/>
        <v>570.09426010843197</v>
      </c>
      <c r="CX90" s="59">
        <f t="shared" si="68"/>
        <v>863.42759344176534</v>
      </c>
      <c r="CY90" s="59">
        <f ca="1">AVERAGE(OFFSET($CX$3,0,0,'Données projet'!$E$13+1,1))-AVERAGE(OFFSET($H$3,0,0,'Données projet'!$E$13+1,1))</f>
        <v>261.59434871103355</v>
      </c>
      <c r="CZ90" s="59">
        <f t="shared" si="96"/>
        <v>194.97518096665976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0.67150514662395266</v>
      </c>
      <c r="DG90" s="21">
        <f>EXP(-LN(2)/25)*DG89+(1-EXP(-LN(2)/25))/(LN(2)/25)*Calculateur!DB90*Calculateur!DD90*VLOOKUP('Données projet'!$B$13,Paramètres!$A$1:$I$89,3,0)*0.475*44/12</f>
        <v>2.4060770934272848</v>
      </c>
      <c r="DH90" s="21">
        <f>EXP(-LN(2)/2)*DH89+(1-EXP(-LN(2)/2))/(LN(2)/2)*DB90*DE90*VLOOKUP('Données projet'!$B$13,Paramètres!$A$1:$I$89,3,0)*0.475*44/12</f>
        <v>4.9368321187306039E-8</v>
      </c>
      <c r="DI90" s="22">
        <f t="shared" si="69"/>
        <v>3.0775822894195586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5.6</v>
      </c>
      <c r="N91" s="13">
        <f>IF('Données projet'!$A$36&gt;35,N90+M91-V90,IF(A91&lt;'Données projet'!$A$36,$K$205^A91,IF(A91='Données projet'!$A$36,'Données projet'!$B$36,N90+M91-V90)))</f>
        <v>284.80000000000041</v>
      </c>
      <c r="O91" s="13">
        <f>N91*VLOOKUP('Données projet'!$B$9,Paramètres!$A$1:$I$89,3,0)*VLOOKUP('Données projet'!$B$9,Paramètres!$A$1:$I$89,5,0)</f>
        <v>257.68704000000037</v>
      </c>
      <c r="P91" s="13">
        <f t="shared" si="87"/>
        <v>62.229092239243457</v>
      </c>
      <c r="Q91" s="20">
        <f t="shared" si="54"/>
        <v>557.18726365001623</v>
      </c>
      <c r="R91" s="59">
        <f t="shared" si="55"/>
        <v>850.52059698334961</v>
      </c>
      <c r="S91" s="59">
        <f ca="1">AVERAGE(OFFSET($R$3,0,0,'Données projet'!$E$9+1,1))-AVERAGE(OFFSET($H$3,0,0,'Données projet'!$E$9+1,1))</f>
        <v>237.22177246688199</v>
      </c>
      <c r="T91" s="59">
        <f t="shared" si="88"/>
        <v>149.27472147904302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</v>
      </c>
      <c r="AA91" s="21">
        <f>EXP(-LN(2)/25)*AA90+(1-EXP(-LN(2)/25))/(LN(2)/25)*Calculateur!V91*Calculateur!X91*VLOOKUP('Données projet'!$B$9,Paramètres!$A$1:$I$89,3,0)*0.475*44/12</f>
        <v>0.62201837790935699</v>
      </c>
      <c r="AB91" s="21">
        <f>EXP(-LN(2)/2)*AB90+(1-EXP(-LN(2)/2))/(LN(2)/2)*V91*Y91*VLOOKUP('Données projet'!$B$9,Paramètres!$A$1:$I$89,3,0)*0.475*44/12</f>
        <v>1.1528558757954142E-8</v>
      </c>
      <c r="AC91" s="22">
        <f t="shared" si="57"/>
        <v>0.62201838943791576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243.38048563215585</v>
      </c>
      <c r="AO91" s="59">
        <f t="shared" si="90"/>
        <v>372.1604147006675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2.3173474377727654</v>
      </c>
      <c r="AV91" s="21">
        <f>EXP(-LN(2)/25)*AV90+(1-EXP(-LN(2)/25))/(LN(2)/25)*Calculateur!AQ91*Calculateur!AS91*VLOOKUP('Données projet'!$B$10,Paramètres!$A$1:$I$89,3,0)*0.475*44/12</f>
        <v>3.8776645639716327</v>
      </c>
      <c r="AW91" s="21">
        <f>EXP(-LN(2)/2)*AW90+(1-EXP(-LN(2)/2))/(LN(2)/2)*AQ91*AT91*VLOOKUP('Données projet'!$B$10,Paramètres!$A$1:$I$89,3,0)*0.475*44/12</f>
        <v>5.460332932539687E-8</v>
      </c>
      <c r="AX91" s="21">
        <f t="shared" si="60"/>
        <v>6.1950120563477276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-5.6843418860808015E-13</v>
      </c>
      <c r="BE91" s="13">
        <f>BD91*VLOOKUP('Données projet'!$B$11,Paramètres!$A$1:$I$89,3,0)*VLOOKUP('Données projet'!$B$11,Paramètres!$A$1:$I$89,5,0)</f>
        <v>-3.177547114319168E-13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326.31232746914907</v>
      </c>
      <c r="BJ91" s="59">
        <f t="shared" si="92"/>
        <v>330.17137761430297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1.4483421486079793</v>
      </c>
      <c r="BQ91" s="21">
        <f>EXP(-LN(2)/25)*BQ90+(1-EXP(-LN(2)/25))/(LN(2)/25)*Calculateur!BL91*Calculateur!BN91*VLOOKUP('Données projet'!$B$11,Paramètres!$A$1:$I$89,3,0)*0.475*44/12</f>
        <v>6.0426599939984769</v>
      </c>
      <c r="BR91" s="21">
        <f>EXP(-LN(2)/2)*BR90+(1-EXP(-LN(2)/2))/(LN(2)/2)*BL91*BO91*VLOOKUP('Données projet'!$B$11,Paramètres!$A$1:$I$89,3,0)*0.475*44/12</f>
        <v>6.0577110146051723E-8</v>
      </c>
      <c r="BS91" s="22">
        <f t="shared" si="63"/>
        <v>7.4910022031835668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-2.2737367544323206E-13</v>
      </c>
      <c r="BZ91" s="13">
        <f>BY91*VLOOKUP('Données projet'!$B$12,Paramètres!$A$1:$I$89,3,0)*VLOOKUP('Données projet'!$B$12,Paramètres!$A$1:$I$89,5,0)</f>
        <v>-1.8089849618263545E-13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314.94704727988847</v>
      </c>
      <c r="CE91" s="59">
        <f t="shared" si="94"/>
        <v>366.49199094166454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1.2415017423955705</v>
      </c>
      <c r="CL91" s="21">
        <f>EXP(-LN(2)/25)*CL90+(1-EXP(-LN(2)/25))/(LN(2)/25)*Calculateur!CG91*Calculateur!CI91*VLOOKUP('Données projet'!$B$12,Paramètres!$A$1:$I$89,3,0)*0.475*44/12</f>
        <v>5.088174142381698</v>
      </c>
      <c r="CM91" s="21">
        <f>EXP(-LN(2)/2)*CM90+(1-EXP(-LN(2)/2))/(LN(2)/2)*CG91*CJ91*VLOOKUP('Données projet'!$B$12,Paramètres!$A$1:$I$89,3,0)*0.475*44/12</f>
        <v>5.3773143479144433E-8</v>
      </c>
      <c r="CN91" s="22">
        <f t="shared" si="66"/>
        <v>6.3296759385504116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6.6</v>
      </c>
      <c r="CT91" s="12">
        <f>IF('Données projet'!$A$140&gt;35,CT90+CS91-DB90,IF(A91&lt;'Données projet'!$A$140,$CQ$205^A91,IF(A91='Données projet'!$A$140,'Données projet'!$B$140,CT90+CS91-DB90)))</f>
        <v>344.79999999999995</v>
      </c>
      <c r="CU91" s="17">
        <f>CT91*VLOOKUP('Données projet'!$B$13,Paramètres!$A$1:$I$89,3,0)*VLOOKUP('Données projet'!$B$13,Paramètres!$A$1:$I$89,5,0)</f>
        <v>268.94399999999996</v>
      </c>
      <c r="CV91" s="13">
        <f t="shared" si="95"/>
        <v>64.625108348406926</v>
      </c>
      <c r="CW91" s="20">
        <f t="shared" si="67"/>
        <v>580.96619704014199</v>
      </c>
      <c r="CX91" s="59">
        <f t="shared" si="68"/>
        <v>874.29953037347536</v>
      </c>
      <c r="CY91" s="59">
        <f ca="1">AVERAGE(OFFSET($CX$3,0,0,'Données projet'!$E$13+1,1))-AVERAGE(OFFSET($H$3,0,0,'Données projet'!$E$13+1,1))</f>
        <v>261.59434871103355</v>
      </c>
      <c r="CZ91" s="59">
        <f t="shared" si="96"/>
        <v>194.97518096665976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0.65833734027635393</v>
      </c>
      <c r="DG91" s="21">
        <f>EXP(-LN(2)/25)*DG90+(1-EXP(-LN(2)/25))/(LN(2)/25)*Calculateur!DB91*Calculateur!DD91*VLOOKUP('Données projet'!$B$13,Paramètres!$A$1:$I$89,3,0)*0.475*44/12</f>
        <v>2.3402827887774205</v>
      </c>
      <c r="DH91" s="21">
        <f>EXP(-LN(2)/2)*DH90+(1-EXP(-LN(2)/2))/(LN(2)/2)*DB91*DE91*VLOOKUP('Données projet'!$B$13,Paramètres!$A$1:$I$89,3,0)*0.475*44/12</f>
        <v>3.4908674687339609E-8</v>
      </c>
      <c r="DI91" s="22">
        <f t="shared" si="69"/>
        <v>2.9986201639624492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5.6</v>
      </c>
      <c r="N92" s="13">
        <f>IF('Données projet'!$A$36&gt;35,N91+M92-V91,IF(A92&lt;'Données projet'!$A$36,$K$205^A92,IF(A92='Données projet'!$A$36,'Données projet'!$B$36,N91+M92-V91)))</f>
        <v>290.40000000000043</v>
      </c>
      <c r="O92" s="13">
        <f>N92*VLOOKUP('Données projet'!$B$9,Paramètres!$A$1:$I$89,3,0)*VLOOKUP('Données projet'!$B$9,Paramètres!$A$1:$I$89,5,0)</f>
        <v>262.75392000000039</v>
      </c>
      <c r="P92" s="13">
        <f t="shared" si="87"/>
        <v>63.309041956360382</v>
      </c>
      <c r="Q92" s="20">
        <f t="shared" si="54"/>
        <v>567.89299207399495</v>
      </c>
      <c r="R92" s="59">
        <f t="shared" si="55"/>
        <v>861.2263254073282</v>
      </c>
      <c r="S92" s="59">
        <f ca="1">AVERAGE(OFFSET($R$3,0,0,'Données projet'!$E$9+1,1))-AVERAGE(OFFSET($H$3,0,0,'Données projet'!$E$9+1,1))</f>
        <v>237.22177246688199</v>
      </c>
      <c r="T92" s="59">
        <f t="shared" si="88"/>
        <v>149.27472147904302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</v>
      </c>
      <c r="AA92" s="21">
        <f>EXP(-LN(2)/25)*AA91+(1-EXP(-LN(2)/25))/(LN(2)/25)*Calculateur!V92*Calculateur!X92*VLOOKUP('Données projet'!$B$9,Paramètres!$A$1:$I$89,3,0)*0.475*44/12</f>
        <v>0.6050092526549008</v>
      </c>
      <c r="AB92" s="21">
        <f>EXP(-LN(2)/2)*AB91+(1-EXP(-LN(2)/2))/(LN(2)/2)*V92*Y92*VLOOKUP('Données projet'!$B$9,Paramètres!$A$1:$I$89,3,0)*0.475*44/12</f>
        <v>8.1519220750569352E-9</v>
      </c>
      <c r="AC92" s="22">
        <f t="shared" si="57"/>
        <v>0.60500926080682282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243.38048563215585</v>
      </c>
      <c r="AO92" s="59">
        <f t="shared" si="90"/>
        <v>372.1604147006675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2.2719056679604126</v>
      </c>
      <c r="AV92" s="21">
        <f>EXP(-LN(2)/25)*AV91+(1-EXP(-LN(2)/25))/(LN(2)/25)*Calculateur!AQ92*Calculateur!AS92*VLOOKUP('Données projet'!$B$10,Paramètres!$A$1:$I$89,3,0)*0.475*44/12</f>
        <v>3.7716296225523114</v>
      </c>
      <c r="AW92" s="21">
        <f>EXP(-LN(2)/2)*AW91+(1-EXP(-LN(2)/2))/(LN(2)/2)*AQ92*AT92*VLOOKUP('Données projet'!$B$10,Paramètres!$A$1:$I$89,3,0)*0.475*44/12</f>
        <v>3.8610384441350398E-8</v>
      </c>
      <c r="AX92" s="21">
        <f t="shared" si="60"/>
        <v>6.0435353291231078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-5.6843418860808015E-13</v>
      </c>
      <c r="BE92" s="13">
        <f>BD92*VLOOKUP('Données projet'!$B$11,Paramètres!$A$1:$I$89,3,0)*VLOOKUP('Données projet'!$B$11,Paramètres!$A$1:$I$89,5,0)</f>
        <v>-3.177547114319168E-13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326.31232746914907</v>
      </c>
      <c r="BJ92" s="59">
        <f t="shared" si="92"/>
        <v>330.17137761430297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1.4199410424752588</v>
      </c>
      <c r="BQ92" s="21">
        <f>EXP(-LN(2)/25)*BQ91+(1-EXP(-LN(2)/25))/(LN(2)/25)*Calculateur!BL92*Calculateur!BN92*VLOOKUP('Données projet'!$B$11,Paramètres!$A$1:$I$89,3,0)*0.475*44/12</f>
        <v>5.8774231386929099</v>
      </c>
      <c r="BR92" s="21">
        <f>EXP(-LN(2)/2)*BR91+(1-EXP(-LN(2)/2))/(LN(2)/2)*BL92*BO92*VLOOKUP('Données projet'!$B$11,Paramètres!$A$1:$I$89,3,0)*0.475*44/12</f>
        <v>4.2834485368957583E-8</v>
      </c>
      <c r="BS92" s="22">
        <f t="shared" si="63"/>
        <v>7.2973642240026537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-2.2737367544323206E-13</v>
      </c>
      <c r="BZ92" s="13">
        <f>BY92*VLOOKUP('Données projet'!$B$12,Paramètres!$A$1:$I$89,3,0)*VLOOKUP('Données projet'!$B$12,Paramètres!$A$1:$I$89,5,0)</f>
        <v>-1.8089849618263545E-13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314.94704727988847</v>
      </c>
      <c r="CE92" s="59">
        <f t="shared" si="94"/>
        <v>366.49199094166454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1.217156650468485</v>
      </c>
      <c r="CL92" s="21">
        <f>EXP(-LN(2)/25)*CL91+(1-EXP(-LN(2)/25))/(LN(2)/25)*Calculateur!CG92*Calculateur!CI92*VLOOKUP('Données projet'!$B$12,Paramètres!$A$1:$I$89,3,0)*0.475*44/12</f>
        <v>4.9490377528828216</v>
      </c>
      <c r="CM92" s="21">
        <f>EXP(-LN(2)/2)*CM91+(1-EXP(-LN(2)/2))/(LN(2)/2)*CG92*CJ92*VLOOKUP('Données projet'!$B$12,Paramètres!$A$1:$I$89,3,0)*0.475*44/12</f>
        <v>3.8023354399820207E-8</v>
      </c>
      <c r="CN92" s="22">
        <f t="shared" si="66"/>
        <v>6.1661944413746612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6.6</v>
      </c>
      <c r="CT92" s="12">
        <f>IF('Données projet'!$A$140&gt;35,CT91+CS92-DB91,IF(A92&lt;'Données projet'!$A$140,$CQ$205^A92,IF(A92='Données projet'!$A$140,'Données projet'!$B$140,CT91+CS92-DB91)))</f>
        <v>351.4</v>
      </c>
      <c r="CU92" s="17">
        <f>CT92*VLOOKUP('Données projet'!$B$13,Paramètres!$A$1:$I$89,3,0)*VLOOKUP('Données projet'!$B$13,Paramètres!$A$1:$I$89,5,0)</f>
        <v>274.09199999999998</v>
      </c>
      <c r="CV92" s="13">
        <f t="shared" si="95"/>
        <v>65.716933251049696</v>
      </c>
      <c r="CW92" s="20">
        <f t="shared" si="67"/>
        <v>591.8338920789115</v>
      </c>
      <c r="CX92" s="59">
        <f t="shared" si="68"/>
        <v>885.16722541224476</v>
      </c>
      <c r="CY92" s="59">
        <f ca="1">AVERAGE(OFFSET($CX$3,0,0,'Données projet'!$E$13+1,1))-AVERAGE(OFFSET($H$3,0,0,'Données projet'!$E$13+1,1))</f>
        <v>261.59434871103355</v>
      </c>
      <c r="CZ92" s="59">
        <f t="shared" si="96"/>
        <v>194.97518096665976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0.64542774657966284</v>
      </c>
      <c r="DG92" s="21">
        <f>EXP(-LN(2)/25)*DG91+(1-EXP(-LN(2)/25))/(LN(2)/25)*Calculateur!DB92*Calculateur!DD92*VLOOKUP('Données projet'!$B$13,Paramètres!$A$1:$I$89,3,0)*0.475*44/12</f>
        <v>2.2762876328481787</v>
      </c>
      <c r="DH92" s="21">
        <f>EXP(-LN(2)/2)*DH91+(1-EXP(-LN(2)/2))/(LN(2)/2)*DB92*DE92*VLOOKUP('Données projet'!$B$13,Paramètres!$A$1:$I$89,3,0)*0.475*44/12</f>
        <v>2.4684160593653019E-8</v>
      </c>
      <c r="DI92" s="22">
        <f t="shared" si="69"/>
        <v>2.9217154041120019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296</v>
      </c>
      <c r="L93" s="12">
        <f>VLOOKUP(A93,'Données projet'!$A$35:$I$55,9,0)</f>
        <v>5.6</v>
      </c>
      <c r="M93" s="12">
        <f t="array" ref="M93">INDEX(L:L,MIN(IF(ISNUMBER(L93:L289),ROW(L93:L289),"")))</f>
        <v>5.6</v>
      </c>
      <c r="N93" s="13">
        <f>IF('Données projet'!$A$36&gt;35,N92+M93-V92,IF(A93&lt;'Données projet'!$A$36,$K$205^A93,IF(A93='Données projet'!$A$36,'Données projet'!$B$36,N92+M93-V92)))</f>
        <v>296.00000000000045</v>
      </c>
      <c r="O93" s="13">
        <f>N93*VLOOKUP('Données projet'!$B$9,Paramètres!$A$1:$I$89,3,0)*VLOOKUP('Données projet'!$B$9,Paramètres!$A$1:$I$89,5,0)</f>
        <v>267.82080000000042</v>
      </c>
      <c r="P93" s="13">
        <f t="shared" si="87"/>
        <v>64.38657014789743</v>
      </c>
      <c r="Q93" s="20">
        <f t="shared" si="54"/>
        <v>578.59450300758874</v>
      </c>
      <c r="R93" s="59">
        <f t="shared" si="55"/>
        <v>871.92783634092211</v>
      </c>
      <c r="S93" s="59">
        <f ca="1">AVERAGE(OFFSET($R$3,0,0,'Données projet'!$E$9+1,1))-AVERAGE(OFFSET($H$3,0,0,'Données projet'!$E$9+1,1))</f>
        <v>237.22177246688199</v>
      </c>
      <c r="T93" s="59">
        <f t="shared" si="88"/>
        <v>149.27472147904302</v>
      </c>
      <c r="U93" s="15">
        <f>IF(ISNA(VLOOKUP(A93,'Données projet'!$A$35:$I$55,3,0)),0,VLOOKUP(A93,'Données projet'!$A$35:$I$55,3,0))</f>
        <v>7</v>
      </c>
      <c r="V93" s="15">
        <f>IF(ISNA(VLOOKUP(A93,'Données projet'!$A$35:$I$55,4,0)),0,VLOOKUP(A93,'Données projet'!$A$35:$I$55,4,0))</f>
        <v>42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</v>
      </c>
      <c r="AA93" s="21">
        <f>EXP(-LN(2)/25)*AA92+(1-EXP(-LN(2)/25))/(LN(2)/25)*Calculateur!V93*Calculateur!X93*VLOOKUP('Données projet'!$B$9,Paramètres!$A$1:$I$89,3,0)*0.475*44/12</f>
        <v>0.58846524282499868</v>
      </c>
      <c r="AB93" s="21">
        <f>EXP(-LN(2)/2)*AB92+(1-EXP(-LN(2)/2))/(LN(2)/2)*V93*Y93*VLOOKUP('Données projet'!$B$9,Paramètres!$A$1:$I$89,3,0)*0.475*44/12</f>
        <v>5.7642793789770708E-9</v>
      </c>
      <c r="AC93" s="22">
        <f t="shared" si="57"/>
        <v>0.58846524858927807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243.38048563215585</v>
      </c>
      <c r="AO93" s="59">
        <f t="shared" si="90"/>
        <v>372.1604147006675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2.2273549835373374</v>
      </c>
      <c r="AV93" s="21">
        <f>EXP(-LN(2)/25)*AV92+(1-EXP(-LN(2)/25))/(LN(2)/25)*Calculateur!AQ93*Calculateur!AS93*VLOOKUP('Données projet'!$B$10,Paramètres!$A$1:$I$89,3,0)*0.475*44/12</f>
        <v>3.6684942121822366</v>
      </c>
      <c r="AW93" s="21">
        <f>EXP(-LN(2)/2)*AW92+(1-EXP(-LN(2)/2))/(LN(2)/2)*AQ93*AT93*VLOOKUP('Données projet'!$B$10,Paramètres!$A$1:$I$89,3,0)*0.475*44/12</f>
        <v>2.7301664662698435E-8</v>
      </c>
      <c r="AX93" s="21">
        <f t="shared" si="60"/>
        <v>5.8958492230212389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-5.6843418860808015E-13</v>
      </c>
      <c r="BE93" s="13">
        <f>BD93*VLOOKUP('Données projet'!$B$11,Paramètres!$A$1:$I$89,3,0)*VLOOKUP('Données projet'!$B$11,Paramètres!$A$1:$I$89,5,0)</f>
        <v>-3.177547114319168E-13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326.31232746914907</v>
      </c>
      <c r="BJ93" s="59">
        <f t="shared" si="92"/>
        <v>330.17137761430297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1.3920968647108367</v>
      </c>
      <c r="BQ93" s="21">
        <f>EXP(-LN(2)/25)*BQ92+(1-EXP(-LN(2)/25))/(LN(2)/25)*Calculateur!BL93*Calculateur!BN93*VLOOKUP('Données projet'!$B$11,Paramètres!$A$1:$I$89,3,0)*0.475*44/12</f>
        <v>5.7167046938851023</v>
      </c>
      <c r="BR93" s="21">
        <f>EXP(-LN(2)/2)*BR92+(1-EXP(-LN(2)/2))/(LN(2)/2)*BL93*BO93*VLOOKUP('Données projet'!$B$11,Paramètres!$A$1:$I$89,3,0)*0.475*44/12</f>
        <v>3.0288555073025861E-8</v>
      </c>
      <c r="BS93" s="22">
        <f t="shared" si="63"/>
        <v>7.1088015888844938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-2.2737367544323206E-13</v>
      </c>
      <c r="BZ93" s="13">
        <f>BY93*VLOOKUP('Données projet'!$B$12,Paramètres!$A$1:$I$89,3,0)*VLOOKUP('Données projet'!$B$12,Paramètres!$A$1:$I$89,5,0)</f>
        <v>-1.8089849618263545E-13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314.94704727988847</v>
      </c>
      <c r="CE93" s="59">
        <f t="shared" si="94"/>
        <v>366.49199094166454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1.1932889509450497</v>
      </c>
      <c r="CL93" s="21">
        <f>EXP(-LN(2)/25)*CL92+(1-EXP(-LN(2)/25))/(LN(2)/25)*Calculateur!CG93*Calculateur!CI93*VLOOKUP('Données projet'!$B$12,Paramètres!$A$1:$I$89,3,0)*0.475*44/12</f>
        <v>4.8137060552716564</v>
      </c>
      <c r="CM93" s="21">
        <f>EXP(-LN(2)/2)*CM92+(1-EXP(-LN(2)/2))/(LN(2)/2)*CG93*CJ93*VLOOKUP('Données projet'!$B$12,Paramètres!$A$1:$I$89,3,0)*0.475*44/12</f>
        <v>2.6886571739572217E-8</v>
      </c>
      <c r="CN93" s="22">
        <f t="shared" si="66"/>
        <v>6.0069950331032782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358</v>
      </c>
      <c r="CR93" s="12">
        <f>VLOOKUP(A93,'Données projet'!$A$139:$I$159,9,0)</f>
        <v>6.6</v>
      </c>
      <c r="CS93" s="12">
        <f t="array" ref="CS93">INDEX(CR:CR,MIN(IF(ISNUMBER(CR93:CR289),ROW(CR93:CR289),"")))</f>
        <v>6.6</v>
      </c>
      <c r="CT93" s="12">
        <f>IF('Données projet'!$A$140&gt;35,CT92+CS93-DB92,IF(A93&lt;'Données projet'!$A$140,$CQ$205^A93,IF(A93='Données projet'!$A$140,'Données projet'!$B$140,CT92+CS93-DB92)))</f>
        <v>358</v>
      </c>
      <c r="CU93" s="17">
        <f>CT93*VLOOKUP('Données projet'!$B$13,Paramètres!$A$1:$I$89,3,0)*VLOOKUP('Données projet'!$B$13,Paramètres!$A$1:$I$89,5,0)</f>
        <v>279.24</v>
      </c>
      <c r="CV93" s="13">
        <f t="shared" si="95"/>
        <v>66.806373636262464</v>
      </c>
      <c r="CW93" s="20">
        <f t="shared" si="67"/>
        <v>602.69743408315719</v>
      </c>
      <c r="CX93" s="59">
        <f t="shared" si="68"/>
        <v>896.03076741649056</v>
      </c>
      <c r="CY93" s="59">
        <f ca="1">AVERAGE(OFFSET($CX$3,0,0,'Données projet'!$E$13+1,1))-AVERAGE(OFFSET($H$3,0,0,'Données projet'!$E$13+1,1))</f>
        <v>261.59434871103355</v>
      </c>
      <c r="CZ93" s="59">
        <f t="shared" si="96"/>
        <v>194.97518096665976</v>
      </c>
      <c r="DA93" s="15">
        <f>IF(ISNA(VLOOKUP(A93,'Données projet'!$A$139:$I$159,3,0)),0,VLOOKUP(A93,'Données projet'!$A$139:$I$159,3,0))</f>
        <v>8</v>
      </c>
      <c r="DB93" s="15">
        <f>IF(ISNA(VLOOKUP(A93,'Données projet'!$A$139:$I$159,4,0)),0,VLOOKUP(A93,'Données projet'!$A$139:$I$159,4,0))</f>
        <v>56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0.63277130214128918</v>
      </c>
      <c r="DG93" s="21">
        <f>EXP(-LN(2)/25)*DG92+(1-EXP(-LN(2)/25))/(LN(2)/25)*Calculateur!DB93*Calculateur!DD93*VLOOKUP('Données projet'!$B$13,Paramètres!$A$1:$I$89,3,0)*0.475*44/12</f>
        <v>2.2140424278231809</v>
      </c>
      <c r="DH93" s="21">
        <f>EXP(-LN(2)/2)*DH92+(1-EXP(-LN(2)/2))/(LN(2)/2)*DB93*DE93*VLOOKUP('Données projet'!$B$13,Paramètres!$A$1:$I$89,3,0)*0.475*44/12</f>
        <v>1.7454337343669805E-8</v>
      </c>
      <c r="DI93" s="22">
        <f t="shared" si="69"/>
        <v>2.8468137474188078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4.9000000000000004</v>
      </c>
      <c r="N94" s="13">
        <f>IF('Données projet'!$A$36&gt;35,N93+M94-V93,IF(A94&lt;'Données projet'!$A$36,$K$205^A94,IF(A94='Données projet'!$A$36,'Données projet'!$B$36,N93+M94-V93)))</f>
        <v>258.90000000000043</v>
      </c>
      <c r="O94" s="13">
        <f>N94*VLOOKUP('Données projet'!$B$9,Paramètres!$A$1:$I$89,3,0)*VLOOKUP('Données projet'!$B$9,Paramètres!$A$1:$I$89,5,0)</f>
        <v>234.25272000000038</v>
      </c>
      <c r="P94" s="13">
        <f t="shared" si="87"/>
        <v>57.2012362311714</v>
      </c>
      <c r="Q94" s="20">
        <f t="shared" si="54"/>
        <v>507.61564043595746</v>
      </c>
      <c r="R94" s="59">
        <f t="shared" si="55"/>
        <v>800.94897376929077</v>
      </c>
      <c r="S94" s="59">
        <f ca="1">AVERAGE(OFFSET($R$3,0,0,'Données projet'!$E$9+1,1))-AVERAGE(OFFSET($H$3,0,0,'Données projet'!$E$9+1,1))</f>
        <v>237.22177246688199</v>
      </c>
      <c r="T94" s="59">
        <f t="shared" si="88"/>
        <v>149.27472147904302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</v>
      </c>
      <c r="AA94" s="21">
        <f>EXP(-LN(2)/25)*AA93+(1-EXP(-LN(2)/25))/(LN(2)/25)*Calculateur!V94*Calculateur!X94*VLOOKUP('Données projet'!$B$9,Paramètres!$A$1:$I$89,3,0)*0.475*44/12</f>
        <v>0.57237362981390694</v>
      </c>
      <c r="AB94" s="21">
        <f>EXP(-LN(2)/2)*AB93+(1-EXP(-LN(2)/2))/(LN(2)/2)*V94*Y94*VLOOKUP('Données projet'!$B$9,Paramètres!$A$1:$I$89,3,0)*0.475*44/12</f>
        <v>4.0759610375284676E-9</v>
      </c>
      <c r="AC94" s="22">
        <f t="shared" si="57"/>
        <v>0.57237363388986795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243.38048563215585</v>
      </c>
      <c r="AO94" s="59">
        <f t="shared" si="90"/>
        <v>372.1604147006675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2.1836779108625644</v>
      </c>
      <c r="AV94" s="21">
        <f>EXP(-LN(2)/25)*AV93+(1-EXP(-LN(2)/25))/(LN(2)/25)*Calculateur!AQ94*Calculateur!AS94*VLOOKUP('Données projet'!$B$10,Paramètres!$A$1:$I$89,3,0)*0.475*44/12</f>
        <v>3.5681790450323874</v>
      </c>
      <c r="AW94" s="21">
        <f>EXP(-LN(2)/2)*AW93+(1-EXP(-LN(2)/2))/(LN(2)/2)*AQ94*AT94*VLOOKUP('Données projet'!$B$10,Paramètres!$A$1:$I$89,3,0)*0.475*44/12</f>
        <v>1.9305192220675199E-8</v>
      </c>
      <c r="AX94" s="21">
        <f t="shared" si="60"/>
        <v>5.7518569752001438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-5.6843418860808015E-13</v>
      </c>
      <c r="BE94" s="13">
        <f>BD94*VLOOKUP('Données projet'!$B$11,Paramètres!$A$1:$I$89,3,0)*VLOOKUP('Données projet'!$B$11,Paramètres!$A$1:$I$89,5,0)</f>
        <v>-3.177547114319168E-13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326.31232746914907</v>
      </c>
      <c r="BJ94" s="59">
        <f t="shared" si="92"/>
        <v>330.17137761430297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1.3647986942891035</v>
      </c>
      <c r="BQ94" s="21">
        <f>EXP(-LN(2)/25)*BQ93+(1-EXP(-LN(2)/25))/(LN(2)/25)*Calculateur!BL94*Calculateur!BN94*VLOOKUP('Données projet'!$B$11,Paramètres!$A$1:$I$89,3,0)*0.475*44/12</f>
        <v>5.5603811034023796</v>
      </c>
      <c r="BR94" s="21">
        <f>EXP(-LN(2)/2)*BR93+(1-EXP(-LN(2)/2))/(LN(2)/2)*BL94*BO94*VLOOKUP('Données projet'!$B$11,Paramètres!$A$1:$I$89,3,0)*0.475*44/12</f>
        <v>2.1417242684478792E-8</v>
      </c>
      <c r="BS94" s="22">
        <f t="shared" si="63"/>
        <v>6.9251798191087257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-2.2737367544323206E-13</v>
      </c>
      <c r="BZ94" s="13">
        <f>BY94*VLOOKUP('Données projet'!$B$12,Paramètres!$A$1:$I$89,3,0)*VLOOKUP('Données projet'!$B$12,Paramètres!$A$1:$I$89,5,0)</f>
        <v>-1.8089849618263545E-13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314.94704727988847</v>
      </c>
      <c r="CE94" s="59">
        <f t="shared" si="94"/>
        <v>366.49199094166454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1.1698892824514098</v>
      </c>
      <c r="CL94" s="21">
        <f>EXP(-LN(2)/25)*CL93+(1-EXP(-LN(2)/25))/(LN(2)/25)*Calculateur!CG94*Calculateur!CI94*VLOOKUP('Données projet'!$B$12,Paramètres!$A$1:$I$89,3,0)*0.475*44/12</f>
        <v>4.6820750100484529</v>
      </c>
      <c r="CM94" s="21">
        <f>EXP(-LN(2)/2)*CM93+(1-EXP(-LN(2)/2))/(LN(2)/2)*CG94*CJ94*VLOOKUP('Données projet'!$B$12,Paramètres!$A$1:$I$89,3,0)*0.475*44/12</f>
        <v>1.9011677199910103E-8</v>
      </c>
      <c r="CN94" s="22">
        <f t="shared" si="66"/>
        <v>5.8519643115115407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5.9</v>
      </c>
      <c r="CT94" s="12">
        <f>IF('Données projet'!$A$140&gt;35,CT93+CS94-DB93,IF(A94&lt;'Données projet'!$A$140,$CQ$205^A94,IF(A94='Données projet'!$A$140,'Données projet'!$B$140,CT93+CS94-DB93)))</f>
        <v>307.89999999999998</v>
      </c>
      <c r="CU94" s="17">
        <f>CT94*VLOOKUP('Données projet'!$B$13,Paramètres!$A$1:$I$89,3,0)*VLOOKUP('Données projet'!$B$13,Paramètres!$A$1:$I$89,5,0)</f>
        <v>240.16199999999998</v>
      </c>
      <c r="CV94" s="13">
        <f t="shared" si="95"/>
        <v>58.474384202441655</v>
      </c>
      <c r="CW94" s="20">
        <f t="shared" si="67"/>
        <v>520.12503581925239</v>
      </c>
      <c r="CX94" s="59">
        <f t="shared" si="68"/>
        <v>813.45836915258565</v>
      </c>
      <c r="CY94" s="59">
        <f ca="1">AVERAGE(OFFSET($CX$3,0,0,'Données projet'!$E$13+1,1))-AVERAGE(OFFSET($H$3,0,0,'Données projet'!$E$13+1,1))</f>
        <v>261.59434871103355</v>
      </c>
      <c r="CZ94" s="59">
        <f t="shared" si="96"/>
        <v>194.97518096665976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0.62036304285868316</v>
      </c>
      <c r="DG94" s="21">
        <f>EXP(-LN(2)/25)*DG93+(1-EXP(-LN(2)/25))/(LN(2)/25)*Calculateur!DB94*Calculateur!DD94*VLOOKUP('Données projet'!$B$13,Paramètres!$A$1:$I$89,3,0)*0.475*44/12</f>
        <v>2.1534993212029252</v>
      </c>
      <c r="DH94" s="21">
        <f>EXP(-LN(2)/2)*DH93+(1-EXP(-LN(2)/2))/(LN(2)/2)*DB94*DE94*VLOOKUP('Données projet'!$B$13,Paramètres!$A$1:$I$89,3,0)*0.475*44/12</f>
        <v>1.234208029682651E-8</v>
      </c>
      <c r="DI94" s="22">
        <f t="shared" si="69"/>
        <v>2.7738623764036885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4.9000000000000004</v>
      </c>
      <c r="N95" s="13">
        <f>IF('Données projet'!$A$36&gt;35,N94+M95-V94,IF(A95&lt;'Données projet'!$A$36,$K$205^A95,IF(A95='Données projet'!$A$36,'Données projet'!$B$36,N94+M95-V94)))</f>
        <v>263.80000000000041</v>
      </c>
      <c r="O95" s="13">
        <f>N95*VLOOKUP('Données projet'!$B$9,Paramètres!$A$1:$I$89,3,0)*VLOOKUP('Données projet'!$B$9,Paramètres!$A$1:$I$89,5,0)</f>
        <v>238.68624000000034</v>
      </c>
      <c r="P95" s="13">
        <f t="shared" si="87"/>
        <v>58.156778382060978</v>
      </c>
      <c r="Q95" s="20">
        <f t="shared" si="54"/>
        <v>517.00159034875685</v>
      </c>
      <c r="R95" s="59">
        <f t="shared" si="55"/>
        <v>810.33492368209022</v>
      </c>
      <c r="S95" s="59">
        <f ca="1">AVERAGE(OFFSET($R$3,0,0,'Données projet'!$E$9+1,1))-AVERAGE(OFFSET($H$3,0,0,'Données projet'!$E$9+1,1))</f>
        <v>237.22177246688199</v>
      </c>
      <c r="T95" s="59">
        <f t="shared" si="88"/>
        <v>149.27472147904302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</v>
      </c>
      <c r="AA95" s="21">
        <f>EXP(-LN(2)/25)*AA94+(1-EXP(-LN(2)/25))/(LN(2)/25)*Calculateur!V95*Calculateur!X95*VLOOKUP('Données projet'!$B$9,Paramètres!$A$1:$I$89,3,0)*0.475*44/12</f>
        <v>0.55672204280682469</v>
      </c>
      <c r="AB95" s="21">
        <f>EXP(-LN(2)/2)*AB94+(1-EXP(-LN(2)/2))/(LN(2)/2)*V95*Y95*VLOOKUP('Données projet'!$B$9,Paramètres!$A$1:$I$89,3,0)*0.475*44/12</f>
        <v>2.8821396894885354E-9</v>
      </c>
      <c r="AC95" s="22">
        <f t="shared" si="57"/>
        <v>0.55672204568896433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243.38048563215585</v>
      </c>
      <c r="AO95" s="59">
        <f t="shared" si="90"/>
        <v>372.1604147006675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2.1408573189425595</v>
      </c>
      <c r="AV95" s="21">
        <f>EXP(-LN(2)/25)*AV94+(1-EXP(-LN(2)/25))/(LN(2)/25)*Calculateur!AQ95*Calculateur!AS95*VLOOKUP('Données projet'!$B$10,Paramètres!$A$1:$I$89,3,0)*0.475*44/12</f>
        <v>3.4706070014035961</v>
      </c>
      <c r="AW95" s="21">
        <f>EXP(-LN(2)/2)*AW94+(1-EXP(-LN(2)/2))/(LN(2)/2)*AQ95*AT95*VLOOKUP('Données projet'!$B$10,Paramètres!$A$1:$I$89,3,0)*0.475*44/12</f>
        <v>1.3650832331349218E-8</v>
      </c>
      <c r="AX95" s="21">
        <f t="shared" si="60"/>
        <v>5.6114643339969881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-5.6843418860808015E-13</v>
      </c>
      <c r="BE95" s="13">
        <f>BD95*VLOOKUP('Données projet'!$B$11,Paramètres!$A$1:$I$89,3,0)*VLOOKUP('Données projet'!$B$11,Paramètres!$A$1:$I$89,5,0)</f>
        <v>-3.177547114319168E-13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326.31232746914907</v>
      </c>
      <c r="BJ95" s="59">
        <f t="shared" si="92"/>
        <v>330.17137761430297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1.3380358243391006</v>
      </c>
      <c r="BQ95" s="21">
        <f>EXP(-LN(2)/25)*BQ94+(1-EXP(-LN(2)/25))/(LN(2)/25)*Calculateur!BL95*Calculateur!BN95*VLOOKUP('Données projet'!$B$11,Paramètres!$A$1:$I$89,3,0)*0.475*44/12</f>
        <v>5.4083321897221079</v>
      </c>
      <c r="BR95" s="21">
        <f>EXP(-LN(2)/2)*BR94+(1-EXP(-LN(2)/2))/(LN(2)/2)*BL95*BO95*VLOOKUP('Données projet'!$B$11,Paramètres!$A$1:$I$89,3,0)*0.475*44/12</f>
        <v>1.5144277536512931E-8</v>
      </c>
      <c r="BS95" s="22">
        <f t="shared" si="63"/>
        <v>6.7463680292054864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-2.2737367544323206E-13</v>
      </c>
      <c r="BZ95" s="13">
        <f>BY95*VLOOKUP('Données projet'!$B$12,Paramètres!$A$1:$I$89,3,0)*VLOOKUP('Données projet'!$B$12,Paramètres!$A$1:$I$89,5,0)</f>
        <v>-1.8089849618263545E-13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314.94704727988847</v>
      </c>
      <c r="CE95" s="59">
        <f t="shared" si="94"/>
        <v>366.49199094166454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1.1469484671845416</v>
      </c>
      <c r="CL95" s="21">
        <f>EXP(-LN(2)/25)*CL94+(1-EXP(-LN(2)/25))/(LN(2)/25)*Calculateur!CG95*Calculateur!CI95*VLOOKUP('Données projet'!$B$12,Paramètres!$A$1:$I$89,3,0)*0.475*44/12</f>
        <v>4.5540434226790545</v>
      </c>
      <c r="CM95" s="21">
        <f>EXP(-LN(2)/2)*CM94+(1-EXP(-LN(2)/2))/(LN(2)/2)*CG95*CJ95*VLOOKUP('Données projet'!$B$12,Paramètres!$A$1:$I$89,3,0)*0.475*44/12</f>
        <v>1.3443285869786108E-8</v>
      </c>
      <c r="CN95" s="22">
        <f t="shared" si="66"/>
        <v>5.7009919033068819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5.9</v>
      </c>
      <c r="CT95" s="12">
        <f>IF('Données projet'!$A$140&gt;35,CT94+CS95-DB94,IF(A95&lt;'Données projet'!$A$140,$CQ$205^A95,IF(A95='Données projet'!$A$140,'Données projet'!$B$140,CT94+CS95-DB94)))</f>
        <v>313.79999999999995</v>
      </c>
      <c r="CU95" s="17">
        <f>CT95*VLOOKUP('Données projet'!$B$13,Paramètres!$A$1:$I$89,3,0)*VLOOKUP('Données projet'!$B$13,Paramètres!$A$1:$I$89,5,0)</f>
        <v>244.76399999999998</v>
      </c>
      <c r="CV95" s="13">
        <f t="shared" si="95"/>
        <v>59.463352796691375</v>
      </c>
      <c r="CW95" s="20">
        <f t="shared" si="67"/>
        <v>529.86263945423741</v>
      </c>
      <c r="CX95" s="59">
        <f t="shared" si="68"/>
        <v>823.19597278757078</v>
      </c>
      <c r="CY95" s="59">
        <f ca="1">AVERAGE(OFFSET($CX$3,0,0,'Données projet'!$E$13+1,1))-AVERAGE(OFFSET($H$3,0,0,'Données projet'!$E$13+1,1))</f>
        <v>261.59434871103355</v>
      </c>
      <c r="CZ95" s="59">
        <f t="shared" si="96"/>
        <v>194.97518096665976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0.60819810197231816</v>
      </c>
      <c r="DG95" s="21">
        <f>EXP(-LN(2)/25)*DG94+(1-EXP(-LN(2)/25))/(LN(2)/25)*Calculateur!DB95*Calculateur!DD95*VLOOKUP('Données projet'!$B$13,Paramètres!$A$1:$I$89,3,0)*0.475*44/12</f>
        <v>2.0946117690170238</v>
      </c>
      <c r="DH95" s="21">
        <f>EXP(-LN(2)/2)*DH94+(1-EXP(-LN(2)/2))/(LN(2)/2)*DB95*DE95*VLOOKUP('Données projet'!$B$13,Paramètres!$A$1:$I$89,3,0)*0.475*44/12</f>
        <v>8.7271686718349023E-9</v>
      </c>
      <c r="DI95" s="22">
        <f t="shared" si="69"/>
        <v>2.702809879716511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4.9000000000000004</v>
      </c>
      <c r="N96" s="13">
        <f>IF('Données projet'!$A$36&gt;35,N95+M96-V95,IF(A96&lt;'Données projet'!$A$36,$K$205^A96,IF(A96='Données projet'!$A$36,'Données projet'!$B$36,N95+M96-V95)))</f>
        <v>268.70000000000039</v>
      </c>
      <c r="O96" s="13">
        <f>N96*VLOOKUP('Données projet'!$B$9,Paramètres!$A$1:$I$89,3,0)*VLOOKUP('Données projet'!$B$9,Paramètres!$A$1:$I$89,5,0)</f>
        <v>243.11976000000033</v>
      </c>
      <c r="P96" s="13">
        <f t="shared" si="87"/>
        <v>59.110256668778582</v>
      </c>
      <c r="Q96" s="20">
        <f t="shared" si="54"/>
        <v>526.38394569812317</v>
      </c>
      <c r="R96" s="59">
        <f t="shared" si="55"/>
        <v>819.71727903145643</v>
      </c>
      <c r="S96" s="59">
        <f ca="1">AVERAGE(OFFSET($R$3,0,0,'Données projet'!$E$9+1,1))-AVERAGE(OFFSET($H$3,0,0,'Données projet'!$E$9+1,1))</f>
        <v>237.22177246688199</v>
      </c>
      <c r="T96" s="59">
        <f t="shared" si="88"/>
        <v>149.27472147904302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</v>
      </c>
      <c r="AA96" s="21">
        <f>EXP(-LN(2)/25)*AA95+(1-EXP(-LN(2)/25))/(LN(2)/25)*Calculateur!V96*Calculateur!X96*VLOOKUP('Données projet'!$B$9,Paramètres!$A$1:$I$89,3,0)*0.475*44/12</f>
        <v>0.54149844926953228</v>
      </c>
      <c r="AB96" s="21">
        <f>EXP(-LN(2)/2)*AB95+(1-EXP(-LN(2)/2))/(LN(2)/2)*V96*Y96*VLOOKUP('Données projet'!$B$9,Paramètres!$A$1:$I$89,3,0)*0.475*44/12</f>
        <v>2.0379805187642338E-9</v>
      </c>
      <c r="AC96" s="22">
        <f t="shared" si="57"/>
        <v>0.54149845130751284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243.38048563215585</v>
      </c>
      <c r="AO96" s="59">
        <f t="shared" si="90"/>
        <v>372.1604147006675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2.0988764127121242</v>
      </c>
      <c r="AV96" s="21">
        <f>EXP(-LN(2)/25)*AV95+(1-EXP(-LN(2)/25))/(LN(2)/25)*Calculateur!AQ96*Calculateur!AS96*VLOOKUP('Données projet'!$B$10,Paramètres!$A$1:$I$89,3,0)*0.475*44/12</f>
        <v>3.3757030704389246</v>
      </c>
      <c r="AW96" s="21">
        <f>EXP(-LN(2)/2)*AW95+(1-EXP(-LN(2)/2))/(LN(2)/2)*AQ96*AT96*VLOOKUP('Données projet'!$B$10,Paramètres!$A$1:$I$89,3,0)*0.475*44/12</f>
        <v>9.6525961103375995E-9</v>
      </c>
      <c r="AX96" s="21">
        <f t="shared" si="60"/>
        <v>5.4745794928036444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-5.6843418860808015E-13</v>
      </c>
      <c r="BE96" s="13">
        <f>BD96*VLOOKUP('Données projet'!$B$11,Paramètres!$A$1:$I$89,3,0)*VLOOKUP('Données projet'!$B$11,Paramètres!$A$1:$I$89,5,0)</f>
        <v>-3.177547114319168E-13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326.31232746914907</v>
      </c>
      <c r="BJ96" s="59">
        <f t="shared" si="92"/>
        <v>330.17137761430297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1.3117977579450784</v>
      </c>
      <c r="BQ96" s="21">
        <f>EXP(-LN(2)/25)*BQ95+(1-EXP(-LN(2)/25))/(LN(2)/25)*Calculateur!BL96*Calculateur!BN96*VLOOKUP('Données projet'!$B$11,Paramètres!$A$1:$I$89,3,0)*0.475*44/12</f>
        <v>5.2604410615823278</v>
      </c>
      <c r="BR96" s="21">
        <f>EXP(-LN(2)/2)*BR95+(1-EXP(-LN(2)/2))/(LN(2)/2)*BL96*BO96*VLOOKUP('Données projet'!$B$11,Paramètres!$A$1:$I$89,3,0)*0.475*44/12</f>
        <v>1.0708621342239396E-8</v>
      </c>
      <c r="BS96" s="22">
        <f t="shared" si="63"/>
        <v>6.572238830236028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-2.2737367544323206E-13</v>
      </c>
      <c r="BZ96" s="13">
        <f>BY96*VLOOKUP('Données projet'!$B$12,Paramètres!$A$1:$I$89,3,0)*VLOOKUP('Données projet'!$B$12,Paramètres!$A$1:$I$89,5,0)</f>
        <v>-1.8089849618263545E-13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314.94704727988847</v>
      </c>
      <c r="CE96" s="59">
        <f t="shared" si="94"/>
        <v>366.49199094166454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1.1244575073125409</v>
      </c>
      <c r="CL96" s="21">
        <f>EXP(-LN(2)/25)*CL95+(1-EXP(-LN(2)/25))/(LN(2)/25)*Calculateur!CG96*Calculateur!CI96*VLOOKUP('Données projet'!$B$12,Paramètres!$A$1:$I$89,3,0)*0.475*44/12</f>
        <v>4.4295128657991603</v>
      </c>
      <c r="CM96" s="21">
        <f>EXP(-LN(2)/2)*CM95+(1-EXP(-LN(2)/2))/(LN(2)/2)*CG96*CJ96*VLOOKUP('Données projet'!$B$12,Paramètres!$A$1:$I$89,3,0)*0.475*44/12</f>
        <v>9.5058385999550517E-9</v>
      </c>
      <c r="CN96" s="22">
        <f t="shared" si="66"/>
        <v>5.5539703826175399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5.9</v>
      </c>
      <c r="CT96" s="12">
        <f>IF('Données projet'!$A$140&gt;35,CT95+CS96-DB95,IF(A96&lt;'Données projet'!$A$140,$CQ$205^A96,IF(A96='Données projet'!$A$140,'Données projet'!$B$140,CT95+CS96-DB95)))</f>
        <v>319.69999999999993</v>
      </c>
      <c r="CU96" s="17">
        <f>CT96*VLOOKUP('Données projet'!$B$13,Paramètres!$A$1:$I$89,3,0)*VLOOKUP('Données projet'!$B$13,Paramètres!$A$1:$I$89,5,0)</f>
        <v>249.36599999999996</v>
      </c>
      <c r="CV96" s="13">
        <f t="shared" si="95"/>
        <v>60.450159237767835</v>
      </c>
      <c r="CW96" s="20">
        <f t="shared" si="67"/>
        <v>539.59647733911231</v>
      </c>
      <c r="CX96" s="59">
        <f t="shared" si="68"/>
        <v>832.92981067244568</v>
      </c>
      <c r="CY96" s="59">
        <f ca="1">AVERAGE(OFFSET($CX$3,0,0,'Données projet'!$E$13+1,1))-AVERAGE(OFFSET($H$3,0,0,'Données projet'!$E$13+1,1))</f>
        <v>261.59434871103355</v>
      </c>
      <c r="CZ96" s="59">
        <f t="shared" si="96"/>
        <v>194.97518096665976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0.59627170815685349</v>
      </c>
      <c r="DG96" s="21">
        <f>EXP(-LN(2)/25)*DG95+(1-EXP(-LN(2)/25))/(LN(2)/25)*Calculateur!DB96*Calculateur!DD96*VLOOKUP('Données projet'!$B$13,Paramètres!$A$1:$I$89,3,0)*0.475*44/12</f>
        <v>2.0373345000424079</v>
      </c>
      <c r="DH96" s="21">
        <f>EXP(-LN(2)/2)*DH95+(1-EXP(-LN(2)/2))/(LN(2)/2)*DB96*DE96*VLOOKUP('Données projet'!$B$13,Paramètres!$A$1:$I$89,3,0)*0.475*44/12</f>
        <v>6.1710401484132549E-9</v>
      </c>
      <c r="DI96" s="22">
        <f t="shared" si="69"/>
        <v>2.6336062143703014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4.9000000000000004</v>
      </c>
      <c r="N97" s="13">
        <f>IF('Données projet'!$A$36&gt;35,N96+M97-V96,IF(A97&lt;'Données projet'!$A$36,$K$205^A97,IF(A97='Données projet'!$A$36,'Données projet'!$B$36,N96+M97-V96)))</f>
        <v>273.60000000000036</v>
      </c>
      <c r="O97" s="13">
        <f>N97*VLOOKUP('Données projet'!$B$9,Paramètres!$A$1:$I$89,3,0)*VLOOKUP('Données projet'!$B$9,Paramètres!$A$1:$I$89,5,0)</f>
        <v>247.55328000000031</v>
      </c>
      <c r="P97" s="13">
        <f t="shared" si="87"/>
        <v>60.061713068870304</v>
      </c>
      <c r="Q97" s="20">
        <f t="shared" si="54"/>
        <v>535.76277959494962</v>
      </c>
      <c r="R97" s="59">
        <f t="shared" si="55"/>
        <v>829.09611292828299</v>
      </c>
      <c r="S97" s="59">
        <f ca="1">AVERAGE(OFFSET($R$3,0,0,'Données projet'!$E$9+1,1))-AVERAGE(OFFSET($H$3,0,0,'Données projet'!$E$9+1,1))</f>
        <v>237.22177246688199</v>
      </c>
      <c r="T97" s="59">
        <f t="shared" si="88"/>
        <v>149.27472147904302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</v>
      </c>
      <c r="AA97" s="21">
        <f>EXP(-LN(2)/25)*AA96+(1-EXP(-LN(2)/25))/(LN(2)/25)*Calculateur!V97*Calculateur!X97*VLOOKUP('Données projet'!$B$9,Paramètres!$A$1:$I$89,3,0)*0.475*44/12</f>
        <v>0.52669114569809106</v>
      </c>
      <c r="AB97" s="21">
        <f>EXP(-LN(2)/2)*AB96+(1-EXP(-LN(2)/2))/(LN(2)/2)*V97*Y97*VLOOKUP('Données projet'!$B$9,Paramètres!$A$1:$I$89,3,0)*0.475*44/12</f>
        <v>1.4410698447442677E-9</v>
      </c>
      <c r="AC97" s="22">
        <f t="shared" si="57"/>
        <v>0.52669114713916088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243.38048563215585</v>
      </c>
      <c r="AO97" s="59">
        <f t="shared" si="90"/>
        <v>372.1604147006675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2.0577187264470433</v>
      </c>
      <c r="AV97" s="21">
        <f>EXP(-LN(2)/25)*AV96+(1-EXP(-LN(2)/25))/(LN(2)/25)*Calculateur!AQ97*Calculateur!AS97*VLOOKUP('Données projet'!$B$10,Paramètres!$A$1:$I$89,3,0)*0.475*44/12</f>
        <v>3.2833942924572632</v>
      </c>
      <c r="AW97" s="21">
        <f>EXP(-LN(2)/2)*AW96+(1-EXP(-LN(2)/2))/(LN(2)/2)*AQ97*AT97*VLOOKUP('Données projet'!$B$10,Paramètres!$A$1:$I$89,3,0)*0.475*44/12</f>
        <v>6.8254161656746088E-9</v>
      </c>
      <c r="AX97" s="21">
        <f t="shared" si="60"/>
        <v>5.3411130257297224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-5.6843418860808015E-13</v>
      </c>
      <c r="BE97" s="13">
        <f>BD97*VLOOKUP('Données projet'!$B$11,Paramètres!$A$1:$I$89,3,0)*VLOOKUP('Données projet'!$B$11,Paramètres!$A$1:$I$89,5,0)</f>
        <v>-3.177547114319168E-13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326.31232746914907</v>
      </c>
      <c r="BJ97" s="59">
        <f t="shared" si="92"/>
        <v>330.17137761430297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1.2860742040294026</v>
      </c>
      <c r="BQ97" s="21">
        <f>EXP(-LN(2)/25)*BQ96+(1-EXP(-LN(2)/25))/(LN(2)/25)*Calculateur!BL97*Calculateur!BN97*VLOOKUP('Données projet'!$B$11,Paramètres!$A$1:$I$89,3,0)*0.475*44/12</f>
        <v>5.1165940241187862</v>
      </c>
      <c r="BR97" s="21">
        <f>EXP(-LN(2)/2)*BR96+(1-EXP(-LN(2)/2))/(LN(2)/2)*BL97*BO97*VLOOKUP('Données projet'!$B$11,Paramètres!$A$1:$I$89,3,0)*0.475*44/12</f>
        <v>7.5721387682564654E-9</v>
      </c>
      <c r="BS97" s="22">
        <f t="shared" si="63"/>
        <v>6.4026682357203271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-2.2737367544323206E-13</v>
      </c>
      <c r="BZ97" s="13">
        <f>BY97*VLOOKUP('Données projet'!$B$12,Paramètres!$A$1:$I$89,3,0)*VLOOKUP('Données projet'!$B$12,Paramètres!$A$1:$I$89,5,0)</f>
        <v>-1.8089849618263545E-13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314.94704727988847</v>
      </c>
      <c r="CE97" s="59">
        <f t="shared" si="94"/>
        <v>366.49199094166454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1.1024075814454992</v>
      </c>
      <c r="CL97" s="21">
        <f>EXP(-LN(2)/25)*CL96+(1-EXP(-LN(2)/25))/(LN(2)/25)*Calculateur!CG97*Calculateur!CI97*VLOOKUP('Données projet'!$B$12,Paramètres!$A$1:$I$89,3,0)*0.475*44/12</f>
        <v>4.3083876035459241</v>
      </c>
      <c r="CM97" s="21">
        <f>EXP(-LN(2)/2)*CM96+(1-EXP(-LN(2)/2))/(LN(2)/2)*CG97*CJ97*VLOOKUP('Données projet'!$B$12,Paramètres!$A$1:$I$89,3,0)*0.475*44/12</f>
        <v>6.7216429348930541E-9</v>
      </c>
      <c r="CN97" s="22">
        <f t="shared" si="66"/>
        <v>5.4107951917130661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5.9</v>
      </c>
      <c r="CT97" s="12">
        <f>IF('Données projet'!$A$140&gt;35,CT96+CS97-DB96,IF(A97&lt;'Données projet'!$A$140,$CQ$205^A97,IF(A97='Données projet'!$A$140,'Données projet'!$B$140,CT96+CS97-DB96)))</f>
        <v>325.59999999999991</v>
      </c>
      <c r="CU97" s="17">
        <f>CT97*VLOOKUP('Données projet'!$B$13,Paramètres!$A$1:$I$89,3,0)*VLOOKUP('Données projet'!$B$13,Paramètres!$A$1:$I$89,5,0)</f>
        <v>253.96799999999993</v>
      </c>
      <c r="CV97" s="13">
        <f t="shared" si="95"/>
        <v>61.434848029666512</v>
      </c>
      <c r="CW97" s="20">
        <f t="shared" si="67"/>
        <v>549.32662698500235</v>
      </c>
      <c r="CX97" s="59">
        <f t="shared" si="68"/>
        <v>842.65996031833561</v>
      </c>
      <c r="CY97" s="59">
        <f ca="1">AVERAGE(OFFSET($CX$3,0,0,'Données projet'!$E$13+1,1))-AVERAGE(OFFSET($H$3,0,0,'Données projet'!$E$13+1,1))</f>
        <v>261.59434871103355</v>
      </c>
      <c r="CZ97" s="59">
        <f t="shared" si="96"/>
        <v>194.97518096665976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0.58457918364972816</v>
      </c>
      <c r="DG97" s="21">
        <f>EXP(-LN(2)/25)*DG96+(1-EXP(-LN(2)/25))/(LN(2)/25)*Calculateur!DB97*Calculateur!DD97*VLOOKUP('Données projet'!$B$13,Paramètres!$A$1:$I$89,3,0)*0.475*44/12</f>
        <v>1.9816234809999833</v>
      </c>
      <c r="DH97" s="21">
        <f>EXP(-LN(2)/2)*DH96+(1-EXP(-LN(2)/2))/(LN(2)/2)*DB97*DE97*VLOOKUP('Données projet'!$B$13,Paramètres!$A$1:$I$89,3,0)*0.475*44/12</f>
        <v>4.3635843359174512E-9</v>
      </c>
      <c r="DI97" s="22">
        <f t="shared" si="69"/>
        <v>2.5662026690132955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4.9000000000000004</v>
      </c>
      <c r="N98" s="13">
        <f>IF('Données projet'!$A$36&gt;35,N97+M98-V97,IF(A98&lt;'Données projet'!$A$36,$K$205^A98,IF(A98='Données projet'!$A$36,'Données projet'!$B$36,N97+M98-V97)))</f>
        <v>278.50000000000034</v>
      </c>
      <c r="O98" s="13">
        <f>N98*VLOOKUP('Données projet'!$B$9,Paramètres!$A$1:$I$89,3,0)*VLOOKUP('Données projet'!$B$9,Paramètres!$A$1:$I$89,5,0)</f>
        <v>251.98680000000033</v>
      </c>
      <c r="P98" s="13">
        <f t="shared" si="87"/>
        <v>61.011187970195103</v>
      </c>
      <c r="Q98" s="20">
        <f t="shared" si="54"/>
        <v>545.13816238142374</v>
      </c>
      <c r="R98" s="59">
        <f t="shared" si="55"/>
        <v>838.47149571475711</v>
      </c>
      <c r="S98" s="59">
        <f ca="1">AVERAGE(OFFSET($R$3,0,0,'Données projet'!$E$9+1,1))-AVERAGE(OFFSET($H$3,0,0,'Données projet'!$E$9+1,1))</f>
        <v>237.22177246688199</v>
      </c>
      <c r="T98" s="59">
        <f t="shared" si="88"/>
        <v>149.27472147904302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</v>
      </c>
      <c r="AA98" s="21">
        <f>EXP(-LN(2)/25)*AA97+(1-EXP(-LN(2)/25))/(LN(2)/25)*Calculateur!V98*Calculateur!X98*VLOOKUP('Données projet'!$B$9,Paramètres!$A$1:$I$89,3,0)*0.475*44/12</f>
        <v>0.51228874862149321</v>
      </c>
      <c r="AB98" s="21">
        <f>EXP(-LN(2)/2)*AB97+(1-EXP(-LN(2)/2))/(LN(2)/2)*V98*Y98*VLOOKUP('Données projet'!$B$9,Paramètres!$A$1:$I$89,3,0)*0.475*44/12</f>
        <v>1.0189902593821169E-9</v>
      </c>
      <c r="AC98" s="22">
        <f t="shared" si="57"/>
        <v>0.51228874964048343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243.38048563215585</v>
      </c>
      <c r="AO98" s="59">
        <f t="shared" si="90"/>
        <v>372.1604147006675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2.0173681173059106</v>
      </c>
      <c r="AV98" s="21">
        <f>EXP(-LN(2)/25)*AV97+(1-EXP(-LN(2)/25))/(LN(2)/25)*Calculateur!AQ98*Calculateur!AS98*VLOOKUP('Données projet'!$B$10,Paramètres!$A$1:$I$89,3,0)*0.475*44/12</f>
        <v>3.1936097028638177</v>
      </c>
      <c r="AW98" s="21">
        <f>EXP(-LN(2)/2)*AW97+(1-EXP(-LN(2)/2))/(LN(2)/2)*AQ98*AT98*VLOOKUP('Données projet'!$B$10,Paramètres!$A$1:$I$89,3,0)*0.475*44/12</f>
        <v>4.8262980551687997E-9</v>
      </c>
      <c r="AX98" s="21">
        <f t="shared" si="60"/>
        <v>5.2109778249960268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-5.6843418860808015E-13</v>
      </c>
      <c r="BE98" s="13">
        <f>BD98*VLOOKUP('Données projet'!$B$11,Paramètres!$A$1:$I$89,3,0)*VLOOKUP('Données projet'!$B$11,Paramètres!$A$1:$I$89,5,0)</f>
        <v>-3.177547114319168E-13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326.31232746914907</v>
      </c>
      <c r="BJ98" s="59">
        <f t="shared" si="92"/>
        <v>330.17137761430297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1.2608550733161947</v>
      </c>
      <c r="BQ98" s="21">
        <f>EXP(-LN(2)/25)*BQ97+(1-EXP(-LN(2)/25))/(LN(2)/25)*Calculateur!BL98*Calculateur!BN98*VLOOKUP('Données projet'!$B$11,Paramètres!$A$1:$I$89,3,0)*0.475*44/12</f>
        <v>4.9766804914592724</v>
      </c>
      <c r="BR98" s="21">
        <f>EXP(-LN(2)/2)*BR97+(1-EXP(-LN(2)/2))/(LN(2)/2)*BL98*BO98*VLOOKUP('Données projet'!$B$11,Paramètres!$A$1:$I$89,3,0)*0.475*44/12</f>
        <v>5.3543106711196979E-9</v>
      </c>
      <c r="BS98" s="22">
        <f t="shared" si="63"/>
        <v>6.2375355701297774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-2.2737367544323206E-13</v>
      </c>
      <c r="BZ98" s="13">
        <f>BY98*VLOOKUP('Données projet'!$B$12,Paramètres!$A$1:$I$89,3,0)*VLOOKUP('Données projet'!$B$12,Paramètres!$A$1:$I$89,5,0)</f>
        <v>-1.8089849618263545E-13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314.94704727988847</v>
      </c>
      <c r="CE98" s="59">
        <f t="shared" si="94"/>
        <v>366.49199094166454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1.0807900411755835</v>
      </c>
      <c r="CL98" s="21">
        <f>EXP(-LN(2)/25)*CL97+(1-EXP(-LN(2)/25))/(LN(2)/25)*Calculateur!CG98*Calculateur!CI98*VLOOKUP('Données projet'!$B$12,Paramètres!$A$1:$I$89,3,0)*0.475*44/12</f>
        <v>4.1905745179587033</v>
      </c>
      <c r="CM98" s="21">
        <f>EXP(-LN(2)/2)*CM97+(1-EXP(-LN(2)/2))/(LN(2)/2)*CG98*CJ98*VLOOKUP('Données projet'!$B$12,Paramètres!$A$1:$I$89,3,0)*0.475*44/12</f>
        <v>4.7529192999775259E-9</v>
      </c>
      <c r="CN98" s="22">
        <f t="shared" si="66"/>
        <v>5.2713645638872055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5.9</v>
      </c>
      <c r="CT98" s="12">
        <f>IF('Données projet'!$A$140&gt;35,CT97+CS98-DB97,IF(A98&lt;'Données projet'!$A$140,$CQ$205^A98,IF(A98='Données projet'!$A$140,'Données projet'!$B$140,CT97+CS98-DB97)))</f>
        <v>331.49999999999989</v>
      </c>
      <c r="CU98" s="17">
        <f>CT98*VLOOKUP('Données projet'!$B$13,Paramètres!$A$1:$I$89,3,0)*VLOOKUP('Données projet'!$B$13,Paramètres!$A$1:$I$89,5,0)</f>
        <v>258.56999999999994</v>
      </c>
      <c r="CV98" s="13">
        <f t="shared" si="95"/>
        <v>62.417461971173843</v>
      </c>
      <c r="CW98" s="20">
        <f t="shared" si="67"/>
        <v>559.05316293312762</v>
      </c>
      <c r="CX98" s="59">
        <f t="shared" si="68"/>
        <v>852.38649626646088</v>
      </c>
      <c r="CY98" s="59">
        <f ca="1">AVERAGE(OFFSET($CX$3,0,0,'Données projet'!$E$13+1,1))-AVERAGE(OFFSET($H$3,0,0,'Données projet'!$E$13+1,1))</f>
        <v>261.59434871103355</v>
      </c>
      <c r="CZ98" s="59">
        <f t="shared" si="96"/>
        <v>194.97518096665976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0.57311594241645181</v>
      </c>
      <c r="DG98" s="21">
        <f>EXP(-LN(2)/25)*DG97+(1-EXP(-LN(2)/25))/(LN(2)/25)*Calculateur!DB98*Calculateur!DD98*VLOOKUP('Données projet'!$B$13,Paramètres!$A$1:$I$89,3,0)*0.475*44/12</f>
        <v>1.9274358827029889</v>
      </c>
      <c r="DH98" s="21">
        <f>EXP(-LN(2)/2)*DH97+(1-EXP(-LN(2)/2))/(LN(2)/2)*DB98*DE98*VLOOKUP('Données projet'!$B$13,Paramètres!$A$1:$I$89,3,0)*0.475*44/12</f>
        <v>3.0855200742066274E-9</v>
      </c>
      <c r="DI98" s="22">
        <f t="shared" si="69"/>
        <v>2.5005518282049612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4.9000000000000004</v>
      </c>
      <c r="N99" s="13">
        <f>IF('Données projet'!$A$36&gt;35,N98+M99-V98,IF(A99&lt;'Données projet'!$A$36,$K$205^A99,IF(A99='Données projet'!$A$36,'Données projet'!$B$36,N98+M99-V98)))</f>
        <v>283.40000000000032</v>
      </c>
      <c r="O99" s="13">
        <f>N99*VLOOKUP('Données projet'!$B$9,Paramètres!$A$1:$I$89,3,0)*VLOOKUP('Données projet'!$B$9,Paramètres!$A$1:$I$89,5,0)</f>
        <v>256.42032000000029</v>
      </c>
      <c r="P99" s="13">
        <f t="shared" si="87"/>
        <v>61.958720258016967</v>
      </c>
      <c r="Q99" s="20">
        <f t="shared" ref="Q99:Q130" si="107">(O99+P99)*0.475*44/12</f>
        <v>554.51016178271334</v>
      </c>
      <c r="R99" s="59">
        <f t="shared" si="55"/>
        <v>847.8434951160466</v>
      </c>
      <c r="S99" s="59">
        <f ca="1">AVERAGE(OFFSET($R$3,0,0,'Données projet'!$E$9+1,1))-AVERAGE(OFFSET($H$3,0,0,'Données projet'!$E$9+1,1))</f>
        <v>237.22177246688199</v>
      </c>
      <c r="T99" s="59">
        <f t="shared" si="88"/>
        <v>149.27472147904302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</v>
      </c>
      <c r="AA99" s="21">
        <f>EXP(-LN(2)/25)*AA98+(1-EXP(-LN(2)/25))/(LN(2)/25)*Calculateur!V99*Calculateur!X99*VLOOKUP('Données projet'!$B$9,Paramètres!$A$1:$I$89,3,0)*0.475*44/12</f>
        <v>0.49828018585034406</v>
      </c>
      <c r="AB99" s="21">
        <f>EXP(-LN(2)/2)*AB98+(1-EXP(-LN(2)/2))/(LN(2)/2)*V99*Y99*VLOOKUP('Données projet'!$B$9,Paramètres!$A$1:$I$89,3,0)*0.475*44/12</f>
        <v>7.2053492237213385E-10</v>
      </c>
      <c r="AC99" s="22">
        <f t="shared" si="57"/>
        <v>0.49828018657087897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243.38048563215585</v>
      </c>
      <c r="AO99" s="59">
        <f t="shared" si="90"/>
        <v>372.1604147006675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1.9778087589985942</v>
      </c>
      <c r="AV99" s="21">
        <f>EXP(-LN(2)/25)*AV98+(1-EXP(-LN(2)/25))/(LN(2)/25)*Calculateur!AQ99*Calculateur!AS99*VLOOKUP('Données projet'!$B$10,Paramètres!$A$1:$I$89,3,0)*0.475*44/12</f>
        <v>3.1062802775943714</v>
      </c>
      <c r="AW99" s="21">
        <f>EXP(-LN(2)/2)*AW98+(1-EXP(-LN(2)/2))/(LN(2)/2)*AQ99*AT99*VLOOKUP('Données projet'!$B$10,Paramètres!$A$1:$I$89,3,0)*0.475*44/12</f>
        <v>3.4127080828373044E-9</v>
      </c>
      <c r="AX99" s="21">
        <f t="shared" si="60"/>
        <v>5.084089040005674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-5.6843418860808015E-13</v>
      </c>
      <c r="BE99" s="13">
        <f>BD99*VLOOKUP('Données projet'!$B$11,Paramètres!$A$1:$I$89,3,0)*VLOOKUP('Données projet'!$B$11,Paramètres!$A$1:$I$89,5,0)</f>
        <v>-3.177547114319168E-13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326.31232746914907</v>
      </c>
      <c r="BJ99" s="59">
        <f t="shared" si="92"/>
        <v>330.17137761430297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1.2361304743741219</v>
      </c>
      <c r="BQ99" s="21">
        <f>EXP(-LN(2)/25)*BQ98+(1-EXP(-LN(2)/25))/(LN(2)/25)*Calculateur!BL99*Calculateur!BN99*VLOOKUP('Données projet'!$B$11,Paramètres!$A$1:$I$89,3,0)*0.475*44/12</f>
        <v>4.8405929017080656</v>
      </c>
      <c r="BR99" s="21">
        <f>EXP(-LN(2)/2)*BR98+(1-EXP(-LN(2)/2))/(LN(2)/2)*BL99*BO99*VLOOKUP('Données projet'!$B$11,Paramètres!$A$1:$I$89,3,0)*0.475*44/12</f>
        <v>3.7860693841282327E-9</v>
      </c>
      <c r="BS99" s="22">
        <f t="shared" si="63"/>
        <v>6.0767233798682563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-2.2737367544323206E-13</v>
      </c>
      <c r="BZ99" s="13">
        <f>BY99*VLOOKUP('Données projet'!$B$12,Paramètres!$A$1:$I$89,3,0)*VLOOKUP('Données projet'!$B$12,Paramètres!$A$1:$I$89,5,0)</f>
        <v>-1.8089849618263545E-13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314.94704727988847</v>
      </c>
      <c r="CE99" s="59">
        <f t="shared" si="94"/>
        <v>366.49199094166454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1.0595964076849631</v>
      </c>
      <c r="CL99" s="21">
        <f>EXP(-LN(2)/25)*CL98+(1-EXP(-LN(2)/25))/(LN(2)/25)*Calculateur!CG99*Calculateur!CI99*VLOOKUP('Données projet'!$B$12,Paramètres!$A$1:$I$89,3,0)*0.475*44/12</f>
        <v>4.075983037392386</v>
      </c>
      <c r="CM99" s="21">
        <f>EXP(-LN(2)/2)*CM98+(1-EXP(-LN(2)/2))/(LN(2)/2)*CG99*CJ99*VLOOKUP('Données projet'!$B$12,Paramètres!$A$1:$I$89,3,0)*0.475*44/12</f>
        <v>3.3608214674465271E-9</v>
      </c>
      <c r="CN99" s="22">
        <f t="shared" si="66"/>
        <v>5.1355794484381709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5.9</v>
      </c>
      <c r="CT99" s="12">
        <f>IF('Données projet'!$A$140&gt;35,CT98+CS99-DB98,IF(A99&lt;'Données projet'!$A$140,$CQ$205^A99,IF(A99='Données projet'!$A$140,'Données projet'!$B$140,CT98+CS99-DB98)))</f>
        <v>337.39999999999986</v>
      </c>
      <c r="CU99" s="17">
        <f>CT99*VLOOKUP('Données projet'!$B$13,Paramètres!$A$1:$I$89,3,0)*VLOOKUP('Données projet'!$B$13,Paramètres!$A$1:$I$89,5,0)</f>
        <v>263.17199999999991</v>
      </c>
      <c r="CV99" s="13">
        <f t="shared" si="95"/>
        <v>63.39804225036945</v>
      </c>
      <c r="CW99" s="20">
        <f t="shared" si="67"/>
        <v>568.7761569193932</v>
      </c>
      <c r="CX99" s="59">
        <f t="shared" si="68"/>
        <v>862.10949025272657</v>
      </c>
      <c r="CY99" s="59">
        <f ca="1">AVERAGE(OFFSET($CX$3,0,0,'Données projet'!$E$13+1,1))-AVERAGE(OFFSET($H$3,0,0,'Données projet'!$E$13+1,1))</f>
        <v>261.59434871103355</v>
      </c>
      <c r="CZ99" s="59">
        <f t="shared" si="96"/>
        <v>194.97518096665976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0.56187748835187323</v>
      </c>
      <c r="DG99" s="21">
        <f>EXP(-LN(2)/25)*DG98+(1-EXP(-LN(2)/25))/(LN(2)/25)*Calculateur!DB99*Calculateur!DD99*VLOOKUP('Données projet'!$B$13,Paramètres!$A$1:$I$89,3,0)*0.475*44/12</f>
        <v>1.8747300471310278</v>
      </c>
      <c r="DH99" s="21">
        <f>EXP(-LN(2)/2)*DH98+(1-EXP(-LN(2)/2))/(LN(2)/2)*DB99*DE99*VLOOKUP('Données projet'!$B$13,Paramètres!$A$1:$I$89,3,0)*0.475*44/12</f>
        <v>2.1817921679587256E-9</v>
      </c>
      <c r="DI99" s="22">
        <f t="shared" si="69"/>
        <v>2.4366075376646932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4.9000000000000004</v>
      </c>
      <c r="N100" s="13">
        <f>IF('Données projet'!$A$36&gt;35,N99+M100-V99,IF(A100&lt;'Données projet'!$A$36,$K$205^A100,IF(A100='Données projet'!$A$36,'Données projet'!$B$36,N99+M100-V99)))</f>
        <v>288.3000000000003</v>
      </c>
      <c r="O100" s="13">
        <f>N100*VLOOKUP('Données projet'!$B$9,Paramètres!$A$1:$I$89,3,0)*VLOOKUP('Données projet'!$B$9,Paramètres!$A$1:$I$89,5,0)</f>
        <v>260.85384000000028</v>
      </c>
      <c r="P100" s="13">
        <f t="shared" si="87"/>
        <v>62.90434739590382</v>
      </c>
      <c r="Q100" s="20">
        <f t="shared" si="107"/>
        <v>563.87884304786633</v>
      </c>
      <c r="R100" s="59">
        <f t="shared" si="55"/>
        <v>857.2121763811997</v>
      </c>
      <c r="S100" s="59">
        <f ca="1">AVERAGE(OFFSET($R$3,0,0,'Données projet'!$E$9+1,1))-AVERAGE(OFFSET($H$3,0,0,'Données projet'!$E$9+1,1))</f>
        <v>237.22177246688199</v>
      </c>
      <c r="T100" s="59">
        <f t="shared" si="88"/>
        <v>149.27472147904302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</v>
      </c>
      <c r="AA100" s="21">
        <f>EXP(-LN(2)/25)*AA99+(1-EXP(-LN(2)/25))/(LN(2)/25)*Calculateur!V100*Calculateur!X100*VLOOKUP('Données projet'!$B$9,Paramètres!$A$1:$I$89,3,0)*0.475*44/12</f>
        <v>0.48465468796485028</v>
      </c>
      <c r="AB100" s="21">
        <f>EXP(-LN(2)/2)*AB99+(1-EXP(-LN(2)/2))/(LN(2)/2)*V100*Y100*VLOOKUP('Données projet'!$B$9,Paramètres!$A$1:$I$89,3,0)*0.475*44/12</f>
        <v>5.0949512969105845E-10</v>
      </c>
      <c r="AC100" s="22">
        <f t="shared" si="57"/>
        <v>0.4846546884743454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243.38048563215585</v>
      </c>
      <c r="AO100" s="59">
        <f t="shared" si="90"/>
        <v>372.1604147006675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1.9390251355788581</v>
      </c>
      <c r="AV100" s="21">
        <f>EXP(-LN(2)/25)*AV99+(1-EXP(-LN(2)/25))/(LN(2)/25)*Calculateur!AQ100*Calculateur!AS100*VLOOKUP('Données projet'!$B$10,Paramètres!$A$1:$I$89,3,0)*0.475*44/12</f>
        <v>3.0213388800513732</v>
      </c>
      <c r="AW100" s="21">
        <f>EXP(-LN(2)/2)*AW99+(1-EXP(-LN(2)/2))/(LN(2)/2)*AQ100*AT100*VLOOKUP('Données projet'!$B$10,Paramètres!$A$1:$I$89,3,0)*0.475*44/12</f>
        <v>2.4131490275843999E-9</v>
      </c>
      <c r="AX100" s="21">
        <f t="shared" si="60"/>
        <v>4.9603640180433803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-5.6843418860808015E-13</v>
      </c>
      <c r="BE100" s="13">
        <f>BD100*VLOOKUP('Données projet'!$B$11,Paramètres!$A$1:$I$89,3,0)*VLOOKUP('Données projet'!$B$11,Paramètres!$A$1:$I$89,5,0)</f>
        <v>-3.177547114319168E-13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326.31232746914907</v>
      </c>
      <c r="BJ100" s="59">
        <f t="shared" si="92"/>
        <v>330.17137761430297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1.2118907097367868</v>
      </c>
      <c r="BQ100" s="21">
        <f>EXP(-LN(2)/25)*BQ99+(1-EXP(-LN(2)/25))/(LN(2)/25)*Calculateur!BL100*Calculateur!BN100*VLOOKUP('Données projet'!$B$11,Paramètres!$A$1:$I$89,3,0)*0.475*44/12</f>
        <v>4.7082266342551415</v>
      </c>
      <c r="BR100" s="21">
        <f>EXP(-LN(2)/2)*BR99+(1-EXP(-LN(2)/2))/(LN(2)/2)*BL100*BO100*VLOOKUP('Données projet'!$B$11,Paramètres!$A$1:$I$89,3,0)*0.475*44/12</f>
        <v>2.677155335559849E-9</v>
      </c>
      <c r="BS100" s="22">
        <f t="shared" si="63"/>
        <v>5.920117346669084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-2.2737367544323206E-13</v>
      </c>
      <c r="BZ100" s="13">
        <f>BY100*VLOOKUP('Données projet'!$B$12,Paramètres!$A$1:$I$89,3,0)*VLOOKUP('Données projet'!$B$12,Paramètres!$A$1:$I$89,5,0)</f>
        <v>-1.8089849618263545E-13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314.94704727988847</v>
      </c>
      <c r="CE100" s="59">
        <f t="shared" si="94"/>
        <v>366.49199094166454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1.0388183684202539</v>
      </c>
      <c r="CL100" s="21">
        <f>EXP(-LN(2)/25)*CL99+(1-EXP(-LN(2)/25))/(LN(2)/25)*Calculateur!CG100*Calculateur!CI100*VLOOKUP('Données projet'!$B$12,Paramètres!$A$1:$I$89,3,0)*0.475*44/12</f>
        <v>3.964525066888259</v>
      </c>
      <c r="CM100" s="21">
        <f>EXP(-LN(2)/2)*CM99+(1-EXP(-LN(2)/2))/(LN(2)/2)*CG100*CJ100*VLOOKUP('Données projet'!$B$12,Paramètres!$A$1:$I$89,3,0)*0.475*44/12</f>
        <v>2.3764596499887629E-9</v>
      </c>
      <c r="CN100" s="22">
        <f t="shared" si="66"/>
        <v>5.0033434376849728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5.9</v>
      </c>
      <c r="CT100" s="12">
        <f>IF('Données projet'!$A$140&gt;35,CT99+CS100-DB99,IF(A100&lt;'Données projet'!$A$140,$CQ$205^A100,IF(A100='Données projet'!$A$140,'Données projet'!$B$140,CT99+CS100-DB99)))</f>
        <v>343.29999999999984</v>
      </c>
      <c r="CU100" s="17">
        <f>CT100*VLOOKUP('Données projet'!$B$13,Paramètres!$A$1:$I$89,3,0)*VLOOKUP('Données projet'!$B$13,Paramètres!$A$1:$I$89,5,0)</f>
        <v>267.77399999999989</v>
      </c>
      <c r="CV100" s="13">
        <f t="shared" si="95"/>
        <v>64.376628532330614</v>
      </c>
      <c r="CW100" s="20">
        <f t="shared" si="67"/>
        <v>578.49567802714228</v>
      </c>
      <c r="CX100" s="59">
        <f t="shared" si="68"/>
        <v>871.82901136047553</v>
      </c>
      <c r="CY100" s="59">
        <f ca="1">AVERAGE(OFFSET($CX$3,0,0,'Données projet'!$E$13+1,1))-AVERAGE(OFFSET($H$3,0,0,'Données projet'!$E$13+1,1))</f>
        <v>261.59434871103355</v>
      </c>
      <c r="CZ100" s="59">
        <f t="shared" si="96"/>
        <v>194.97518096665976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0.55085941351672096</v>
      </c>
      <c r="DG100" s="21">
        <f>EXP(-LN(2)/25)*DG99+(1-EXP(-LN(2)/25))/(LN(2)/25)*Calculateur!DB100*Calculateur!DD100*VLOOKUP('Données projet'!$B$13,Paramètres!$A$1:$I$89,3,0)*0.475*44/12</f>
        <v>1.8234654554044614</v>
      </c>
      <c r="DH100" s="21">
        <f>EXP(-LN(2)/2)*DH99+(1-EXP(-LN(2)/2))/(LN(2)/2)*DB100*DE100*VLOOKUP('Données projet'!$B$13,Paramètres!$A$1:$I$89,3,0)*0.475*44/12</f>
        <v>1.5427600371033137E-9</v>
      </c>
      <c r="DI100" s="22">
        <f t="shared" si="69"/>
        <v>2.3743248704639424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4.9000000000000004</v>
      </c>
      <c r="N101" s="13">
        <f>IF('Données projet'!$A$36&gt;35,N100+M101-V100,IF(A101&lt;'Données projet'!$A$36,$K$205^A101,IF(A101='Données projet'!$A$36,'Données projet'!$B$36,N100+M101-V100)))</f>
        <v>293.20000000000027</v>
      </c>
      <c r="O101" s="13">
        <f>N101*VLOOKUP('Données projet'!$B$9,Paramètres!$A$1:$I$89,3,0)*VLOOKUP('Données projet'!$B$9,Paramètres!$A$1:$I$89,5,0)</f>
        <v>265.28736000000026</v>
      </c>
      <c r="P101" s="13">
        <f t="shared" si="87"/>
        <v>63.848105500970064</v>
      </c>
      <c r="Q101" s="20">
        <f t="shared" si="107"/>
        <v>573.24426908085661</v>
      </c>
      <c r="R101" s="59">
        <f t="shared" si="55"/>
        <v>866.57760241418987</v>
      </c>
      <c r="S101" s="59">
        <f ca="1">AVERAGE(OFFSET($R$3,0,0,'Données projet'!$E$9+1,1))-AVERAGE(OFFSET($H$3,0,0,'Données projet'!$E$9+1,1))</f>
        <v>237.22177246688199</v>
      </c>
      <c r="T101" s="59">
        <f t="shared" si="88"/>
        <v>149.27472147904302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</v>
      </c>
      <c r="AA101" s="21">
        <f>EXP(-LN(2)/25)*AA100+(1-EXP(-LN(2)/25))/(LN(2)/25)*Calculateur!V101*Calculateur!X101*VLOOKUP('Données projet'!$B$9,Paramètres!$A$1:$I$89,3,0)*0.475*44/12</f>
        <v>0.4714017800355691</v>
      </c>
      <c r="AB101" s="21">
        <f>EXP(-LN(2)/2)*AB100+(1-EXP(-LN(2)/2))/(LN(2)/2)*V101*Y101*VLOOKUP('Données projet'!$B$9,Paramètres!$A$1:$I$89,3,0)*0.475*44/12</f>
        <v>3.6026746118606693E-10</v>
      </c>
      <c r="AC101" s="22">
        <f t="shared" si="57"/>
        <v>0.47140178039583658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243.38048563215585</v>
      </c>
      <c r="AO101" s="59">
        <f t="shared" si="90"/>
        <v>372.1604147006675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1.9010020353587087</v>
      </c>
      <c r="AV101" s="21">
        <f>EXP(-LN(2)/25)*AV100+(1-EXP(-LN(2)/25))/(LN(2)/25)*Calculateur!AQ101*Calculateur!AS101*VLOOKUP('Données projet'!$B$10,Paramètres!$A$1:$I$89,3,0)*0.475*44/12</f>
        <v>2.9387202094910618</v>
      </c>
      <c r="AW101" s="21">
        <f>EXP(-LN(2)/2)*AW100+(1-EXP(-LN(2)/2))/(LN(2)/2)*AQ101*AT101*VLOOKUP('Données projet'!$B$10,Paramètres!$A$1:$I$89,3,0)*0.475*44/12</f>
        <v>1.7063540414186522E-9</v>
      </c>
      <c r="AX101" s="21">
        <f t="shared" si="60"/>
        <v>4.8397222465561249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-5.6843418860808015E-13</v>
      </c>
      <c r="BE101" s="13">
        <f>BD101*VLOOKUP('Données projet'!$B$11,Paramètres!$A$1:$I$89,3,0)*VLOOKUP('Données projet'!$B$11,Paramètres!$A$1:$I$89,5,0)</f>
        <v>-3.177547114319168E-13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326.31232746914907</v>
      </c>
      <c r="BJ101" s="59">
        <f t="shared" si="92"/>
        <v>330.17137761430297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1.1881262720991934</v>
      </c>
      <c r="BQ101" s="21">
        <f>EXP(-LN(2)/25)*BQ100+(1-EXP(-LN(2)/25))/(LN(2)/25)*Calculateur!BL101*Calculateur!BN101*VLOOKUP('Données projet'!$B$11,Paramètres!$A$1:$I$89,3,0)*0.475*44/12</f>
        <v>4.5794799293465571</v>
      </c>
      <c r="BR101" s="21">
        <f>EXP(-LN(2)/2)*BR100+(1-EXP(-LN(2)/2))/(LN(2)/2)*BL101*BO101*VLOOKUP('Données projet'!$B$11,Paramètres!$A$1:$I$89,3,0)*0.475*44/12</f>
        <v>1.8930346920641163E-9</v>
      </c>
      <c r="BS101" s="22">
        <f t="shared" si="63"/>
        <v>5.7676062033387856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-2.2737367544323206E-13</v>
      </c>
      <c r="BZ101" s="13">
        <f>BY101*VLOOKUP('Données projet'!$B$12,Paramètres!$A$1:$I$89,3,0)*VLOOKUP('Données projet'!$B$12,Paramètres!$A$1:$I$89,5,0)</f>
        <v>-1.8089849618263545E-13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314.94704727988847</v>
      </c>
      <c r="CE101" s="59">
        <f t="shared" si="94"/>
        <v>366.49199094166454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1.0184477738321729</v>
      </c>
      <c r="CL101" s="21">
        <f>EXP(-LN(2)/25)*CL100+(1-EXP(-LN(2)/25))/(LN(2)/25)*Calculateur!CG101*Calculateur!CI101*VLOOKUP('Données projet'!$B$12,Paramètres!$A$1:$I$89,3,0)*0.475*44/12</f>
        <v>3.8561149204488872</v>
      </c>
      <c r="CM101" s="21">
        <f>EXP(-LN(2)/2)*CM100+(1-EXP(-LN(2)/2))/(LN(2)/2)*CG101*CJ101*VLOOKUP('Données projet'!$B$12,Paramètres!$A$1:$I$89,3,0)*0.475*44/12</f>
        <v>1.6804107337232635E-9</v>
      </c>
      <c r="CN101" s="22">
        <f t="shared" si="66"/>
        <v>4.8745626959614707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5.9</v>
      </c>
      <c r="CT101" s="12">
        <f>IF('Données projet'!$A$140&gt;35,CT100+CS101-DB100,IF(A101&lt;'Données projet'!$A$140,$CQ$205^A101,IF(A101='Données projet'!$A$140,'Données projet'!$B$140,CT100+CS101-DB100)))</f>
        <v>349.19999999999982</v>
      </c>
      <c r="CU101" s="17">
        <f>CT101*VLOOKUP('Données projet'!$B$13,Paramètres!$A$1:$I$89,3,0)*VLOOKUP('Données projet'!$B$13,Paramètres!$A$1:$I$89,5,0)</f>
        <v>272.37599999999986</v>
      </c>
      <c r="CV101" s="13">
        <f t="shared" si="95"/>
        <v>65.353259040637099</v>
      </c>
      <c r="CW101" s="20">
        <f t="shared" si="67"/>
        <v>588.21179282910941</v>
      </c>
      <c r="CX101" s="59">
        <f t="shared" si="68"/>
        <v>881.54512616244278</v>
      </c>
      <c r="CY101" s="59">
        <f ca="1">AVERAGE(OFFSET($CX$3,0,0,'Données projet'!$E$13+1,1))-AVERAGE(OFFSET($H$3,0,0,'Données projet'!$E$13+1,1))</f>
        <v>261.59434871103355</v>
      </c>
      <c r="CZ101" s="59">
        <f t="shared" si="96"/>
        <v>194.97518096665976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0.54005739640872397</v>
      </c>
      <c r="DG101" s="21">
        <f>EXP(-LN(2)/25)*DG100+(1-EXP(-LN(2)/25))/(LN(2)/25)*Calculateur!DB101*Calculateur!DD101*VLOOKUP('Données projet'!$B$13,Paramètres!$A$1:$I$89,3,0)*0.475*44/12</f>
        <v>1.7736026966345457</v>
      </c>
      <c r="DH101" s="21">
        <f>EXP(-LN(2)/2)*DH100+(1-EXP(-LN(2)/2))/(LN(2)/2)*DB101*DE101*VLOOKUP('Données projet'!$B$13,Paramètres!$A$1:$I$89,3,0)*0.475*44/12</f>
        <v>1.0908960839793628E-9</v>
      </c>
      <c r="DI101" s="22">
        <f t="shared" si="69"/>
        <v>2.3136600941341658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4.9000000000000004</v>
      </c>
      <c r="N102" s="13">
        <f>IF('Données projet'!$A$36&gt;35,N101+M102-V101,IF(A102&lt;'Données projet'!$A$36,$K$205^A102,IF(A102='Données projet'!$A$36,'Données projet'!$B$36,N101+M102-V101)))</f>
        <v>298.10000000000025</v>
      </c>
      <c r="O102" s="13">
        <f>N102*VLOOKUP('Données projet'!$B$9,Paramètres!$A$1:$I$89,3,0)*VLOOKUP('Données projet'!$B$9,Paramètres!$A$1:$I$89,5,0)</f>
        <v>269.72088000000025</v>
      </c>
      <c r="P102" s="13">
        <f t="shared" si="87"/>
        <v>64.790029413947011</v>
      </c>
      <c r="Q102" s="20">
        <f t="shared" si="107"/>
        <v>582.60650056262477</v>
      </c>
      <c r="R102" s="59">
        <f t="shared" si="55"/>
        <v>875.93983389595815</v>
      </c>
      <c r="S102" s="59">
        <f ca="1">AVERAGE(OFFSET($R$3,0,0,'Données projet'!$E$9+1,1))-AVERAGE(OFFSET($H$3,0,0,'Données projet'!$E$9+1,1))</f>
        <v>237.22177246688199</v>
      </c>
      <c r="T102" s="59">
        <f t="shared" si="88"/>
        <v>149.27472147904302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</v>
      </c>
      <c r="AA102" s="21">
        <f>EXP(-LN(2)/25)*AA101+(1-EXP(-LN(2)/25))/(LN(2)/25)*Calculateur!V102*Calculateur!X102*VLOOKUP('Données projet'!$B$9,Paramètres!$A$1:$I$89,3,0)*0.475*44/12</f>
        <v>0.45851127357055427</v>
      </c>
      <c r="AB102" s="21">
        <f>EXP(-LN(2)/2)*AB101+(1-EXP(-LN(2)/2))/(LN(2)/2)*V102*Y102*VLOOKUP('Données projet'!$B$9,Paramètres!$A$1:$I$89,3,0)*0.475*44/12</f>
        <v>2.5474756484552923E-10</v>
      </c>
      <c r="AC102" s="22">
        <f t="shared" si="57"/>
        <v>0.45851127382530182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243.38048563215585</v>
      </c>
      <c r="AO102" s="59">
        <f t="shared" si="90"/>
        <v>372.1604147006675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1.8637245449420752</v>
      </c>
      <c r="AV102" s="21">
        <f>EXP(-LN(2)/25)*AV101+(1-EXP(-LN(2)/25))/(LN(2)/25)*Calculateur!AQ102*Calculateur!AS102*VLOOKUP('Données projet'!$B$10,Paramètres!$A$1:$I$89,3,0)*0.475*44/12</f>
        <v>2.8583607508219493</v>
      </c>
      <c r="AW102" s="21">
        <f>EXP(-LN(2)/2)*AW101+(1-EXP(-LN(2)/2))/(LN(2)/2)*AQ102*AT102*VLOOKUP('Données projet'!$B$10,Paramètres!$A$1:$I$89,3,0)*0.475*44/12</f>
        <v>1.2065745137921999E-9</v>
      </c>
      <c r="AX102" s="21">
        <f t="shared" si="60"/>
        <v>4.7220852969705991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-5.6843418860808015E-13</v>
      </c>
      <c r="BE102" s="13">
        <f>BD102*VLOOKUP('Données projet'!$B$11,Paramètres!$A$1:$I$89,3,0)*VLOOKUP('Données projet'!$B$11,Paramètres!$A$1:$I$89,5,0)</f>
        <v>-3.177547114319168E-13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326.31232746914907</v>
      </c>
      <c r="BJ102" s="59">
        <f t="shared" si="92"/>
        <v>330.17137761430297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1.1648278405887975</v>
      </c>
      <c r="BQ102" s="21">
        <f>EXP(-LN(2)/25)*BQ101+(1-EXP(-LN(2)/25))/(LN(2)/25)*Calculateur!BL102*Calculateur!BN102*VLOOKUP('Données projet'!$B$11,Paramètres!$A$1:$I$89,3,0)*0.475*44/12</f>
        <v>4.4542538098541922</v>
      </c>
      <c r="BR102" s="21">
        <f>EXP(-LN(2)/2)*BR101+(1-EXP(-LN(2)/2))/(LN(2)/2)*BL102*BO102*VLOOKUP('Données projet'!$B$11,Paramètres!$A$1:$I$89,3,0)*0.475*44/12</f>
        <v>1.3385776677799245E-9</v>
      </c>
      <c r="BS102" s="22">
        <f t="shared" si="63"/>
        <v>5.6190816517815669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-2.2737367544323206E-13</v>
      </c>
      <c r="BZ102" s="13">
        <f>BY102*VLOOKUP('Données projet'!$B$12,Paramètres!$A$1:$I$89,3,0)*VLOOKUP('Données projet'!$B$12,Paramètres!$A$1:$I$89,5,0)</f>
        <v>-1.8089849618263545E-13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314.94704727988847</v>
      </c>
      <c r="CE102" s="59">
        <f t="shared" si="94"/>
        <v>366.49199094166454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0.99847663417912846</v>
      </c>
      <c r="CL102" s="21">
        <f>EXP(-LN(2)/25)*CL101+(1-EXP(-LN(2)/25))/(LN(2)/25)*Calculateur!CG102*Calculateur!CI102*VLOOKUP('Données projet'!$B$12,Paramètres!$A$1:$I$89,3,0)*0.475*44/12</f>
        <v>3.7506692551649419</v>
      </c>
      <c r="CM102" s="21">
        <f>EXP(-LN(2)/2)*CM101+(1-EXP(-LN(2)/2))/(LN(2)/2)*CG102*CJ102*VLOOKUP('Données projet'!$B$12,Paramètres!$A$1:$I$89,3,0)*0.475*44/12</f>
        <v>1.1882298249943815E-9</v>
      </c>
      <c r="CN102" s="22">
        <f t="shared" si="66"/>
        <v>4.7491458905323007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5.9</v>
      </c>
      <c r="CT102" s="12">
        <f>IF('Données projet'!$A$140&gt;35,CT101+CS102-DB101,IF(A102&lt;'Données projet'!$A$140,$CQ$205^A102,IF(A102='Données projet'!$A$140,'Données projet'!$B$140,CT101+CS102-DB101)))</f>
        <v>355.0999999999998</v>
      </c>
      <c r="CU102" s="17">
        <f>CT102*VLOOKUP('Données projet'!$B$13,Paramètres!$A$1:$I$89,3,0)*VLOOKUP('Données projet'!$B$13,Paramètres!$A$1:$I$89,5,0)</f>
        <v>276.97799999999984</v>
      </c>
      <c r="CV102" s="13">
        <f t="shared" si="95"/>
        <v>66.327970633211649</v>
      </c>
      <c r="CW102" s="20">
        <f t="shared" si="67"/>
        <v>597.92456551950988</v>
      </c>
      <c r="CX102" s="59">
        <f t="shared" si="68"/>
        <v>891.25789885284325</v>
      </c>
      <c r="CY102" s="59">
        <f ca="1">AVERAGE(OFFSET($CX$3,0,0,'Données projet'!$E$13+1,1))-AVERAGE(OFFSET($H$3,0,0,'Données projet'!$E$13+1,1))</f>
        <v>261.59434871103355</v>
      </c>
      <c r="CZ102" s="59">
        <f t="shared" si="96"/>
        <v>194.97518096665976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0.52946720026763494</v>
      </c>
      <c r="DG102" s="21">
        <f>EXP(-LN(2)/25)*DG101+(1-EXP(-LN(2)/25))/(LN(2)/25)*Calculateur!DB102*Calculateur!DD102*VLOOKUP('Données projet'!$B$13,Paramètres!$A$1:$I$89,3,0)*0.475*44/12</f>
        <v>1.7251034376253618</v>
      </c>
      <c r="DH102" s="21">
        <f>EXP(-LN(2)/2)*DH101+(1-EXP(-LN(2)/2))/(LN(2)/2)*DB102*DE102*VLOOKUP('Données projet'!$B$13,Paramètres!$A$1:$I$89,3,0)*0.475*44/12</f>
        <v>7.7138001855165686E-10</v>
      </c>
      <c r="DI102" s="22">
        <f t="shared" si="69"/>
        <v>2.2545706386643767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303</v>
      </c>
      <c r="L103" s="12">
        <f>VLOOKUP(A103,'Données projet'!$A$35:$I$55,9,0)</f>
        <v>4.9000000000000004</v>
      </c>
      <c r="M103" s="12">
        <f t="array" ref="M103">INDEX(L:L,MIN(IF(ISNUMBER(L103:L299),ROW(L103:L299),"")))</f>
        <v>4.9000000000000004</v>
      </c>
      <c r="N103" s="13">
        <f>IF('Données projet'!$A$36&gt;35,N102+M103-V102,IF(A103&lt;'Données projet'!$A$36,$K$205^A103,IF(A103='Données projet'!$A$36,'Données projet'!$B$36,N102+M103-V102)))</f>
        <v>303.00000000000023</v>
      </c>
      <c r="O103" s="13">
        <f>N103*VLOOKUP('Données projet'!$B$9,Paramètres!$A$1:$I$89,3,0)*VLOOKUP('Données projet'!$B$9,Paramètres!$A$1:$I$89,5,0)</f>
        <v>274.15440000000018</v>
      </c>
      <c r="P103" s="13">
        <f t="shared" si="87"/>
        <v>65.730152764515836</v>
      </c>
      <c r="Q103" s="20">
        <f t="shared" si="107"/>
        <v>591.96559606486528</v>
      </c>
      <c r="R103" s="59">
        <f t="shared" si="55"/>
        <v>885.29892939819865</v>
      </c>
      <c r="S103" s="59">
        <f ca="1">AVERAGE(OFFSET($R$3,0,0,'Données projet'!$E$9+1,1))-AVERAGE(OFFSET($H$3,0,0,'Données projet'!$E$9+1,1))</f>
        <v>237.22177246688199</v>
      </c>
      <c r="T103" s="59">
        <f t="shared" si="88"/>
        <v>149.27472147904302</v>
      </c>
      <c r="U103" s="15">
        <f>IF(ISNA(VLOOKUP(A103,'Données projet'!$A$35:$I$55,3,0)),0,VLOOKUP(A103,'Données projet'!$A$35:$I$55,3,0))</f>
        <v>8</v>
      </c>
      <c r="V103" s="15">
        <f>IF(ISNA(VLOOKUP(A103,'Données projet'!$A$35:$I$55,4,0)),0,VLOOKUP(A103,'Données projet'!$A$35:$I$55,4,0))</f>
        <v>42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</v>
      </c>
      <c r="AA103" s="21">
        <f>EXP(-LN(2)/25)*AA102+(1-EXP(-LN(2)/25))/(LN(2)/25)*Calculateur!V103*Calculateur!X103*VLOOKUP('Données projet'!$B$9,Paramètres!$A$1:$I$89,3,0)*0.475*44/12</f>
        <v>0.44597325868270754</v>
      </c>
      <c r="AB103" s="21">
        <f>EXP(-LN(2)/2)*AB102+(1-EXP(-LN(2)/2))/(LN(2)/2)*V103*Y103*VLOOKUP('Données projet'!$B$9,Paramètres!$A$1:$I$89,3,0)*0.475*44/12</f>
        <v>1.8013373059303346E-10</v>
      </c>
      <c r="AC103" s="22">
        <f t="shared" si="57"/>
        <v>0.44597325886284128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243.38048563215585</v>
      </c>
      <c r="AO103" s="59">
        <f t="shared" si="90"/>
        <v>372.1604147006675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1.8271780433754878</v>
      </c>
      <c r="AV103" s="21">
        <f>EXP(-LN(2)/25)*AV102+(1-EXP(-LN(2)/25))/(LN(2)/25)*Calculateur!AQ103*Calculateur!AS103*VLOOKUP('Données projet'!$B$10,Paramètres!$A$1:$I$89,3,0)*0.475*44/12</f>
        <v>2.7801987257760641</v>
      </c>
      <c r="AW103" s="21">
        <f>EXP(-LN(2)/2)*AW102+(1-EXP(-LN(2)/2))/(LN(2)/2)*AQ103*AT103*VLOOKUP('Données projet'!$B$10,Paramètres!$A$1:$I$89,3,0)*0.475*44/12</f>
        <v>8.531770207093261E-10</v>
      </c>
      <c r="AX103" s="21">
        <f t="shared" si="60"/>
        <v>4.6073767700047288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-5.6843418860808015E-13</v>
      </c>
      <c r="BE103" s="13">
        <f>BD103*VLOOKUP('Données projet'!$B$11,Paramètres!$A$1:$I$89,3,0)*VLOOKUP('Données projet'!$B$11,Paramètres!$A$1:$I$89,5,0)</f>
        <v>-3.177547114319168E-13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326.31232746914907</v>
      </c>
      <c r="BJ103" s="59">
        <f t="shared" si="92"/>
        <v>330.17137761430297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1.1419862771096805</v>
      </c>
      <c r="BQ103" s="21">
        <f>EXP(-LN(2)/25)*BQ102+(1-EXP(-LN(2)/25))/(LN(2)/25)*Calculateur!BL103*Calculateur!BN103*VLOOKUP('Données projet'!$B$11,Paramètres!$A$1:$I$89,3,0)*0.475*44/12</f>
        <v>4.3324520051847015</v>
      </c>
      <c r="BR103" s="21">
        <f>EXP(-LN(2)/2)*BR102+(1-EXP(-LN(2)/2))/(LN(2)/2)*BL103*BO103*VLOOKUP('Données projet'!$B$11,Paramètres!$A$1:$I$89,3,0)*0.475*44/12</f>
        <v>9.4651734603205817E-10</v>
      </c>
      <c r="BS103" s="22">
        <f t="shared" si="63"/>
        <v>5.4744382832408993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-2.2737367544323206E-13</v>
      </c>
      <c r="BZ103" s="13">
        <f>BY103*VLOOKUP('Données projet'!$B$12,Paramètres!$A$1:$I$89,3,0)*VLOOKUP('Données projet'!$B$12,Paramètres!$A$1:$I$89,5,0)</f>
        <v>-1.8089849618263545E-13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314.94704727988847</v>
      </c>
      <c r="CE103" s="59">
        <f t="shared" si="94"/>
        <v>366.49199094166454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0.97889711639348775</v>
      </c>
      <c r="CL103" s="21">
        <f>EXP(-LN(2)/25)*CL102+(1-EXP(-LN(2)/25))/(LN(2)/25)*Calculateur!CG103*Calculateur!CI103*VLOOKUP('Données projet'!$B$12,Paramètres!$A$1:$I$89,3,0)*0.475*44/12</f>
        <v>3.6481070071433326</v>
      </c>
      <c r="CM103" s="21">
        <f>EXP(-LN(2)/2)*CM102+(1-EXP(-LN(2)/2))/(LN(2)/2)*CG103*CJ103*VLOOKUP('Données projet'!$B$12,Paramètres!$A$1:$I$89,3,0)*0.475*44/12</f>
        <v>8.4020536686163177E-10</v>
      </c>
      <c r="CN103" s="22">
        <f t="shared" si="66"/>
        <v>4.6270041243770255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361</v>
      </c>
      <c r="CR103" s="12">
        <f>VLOOKUP(A103,'Données projet'!$A$139:$I$159,9,0)</f>
        <v>5.9</v>
      </c>
      <c r="CS103" s="12">
        <f t="array" ref="CS103">INDEX(CR:CR,MIN(IF(ISNUMBER(CR103:CR299),ROW(CR103:CR299),"")))</f>
        <v>5.9</v>
      </c>
      <c r="CT103" s="12">
        <f>IF('Données projet'!$A$140&gt;35,CT102+CS103-DB102,IF(A103&lt;'Données projet'!$A$140,$CQ$205^A103,IF(A103='Données projet'!$A$140,'Données projet'!$B$140,CT102+CS103-DB102)))</f>
        <v>360.99999999999977</v>
      </c>
      <c r="CU103" s="17">
        <f>CT103*VLOOKUP('Données projet'!$B$13,Paramètres!$A$1:$I$89,3,0)*VLOOKUP('Données projet'!$B$13,Paramètres!$A$1:$I$89,5,0)</f>
        <v>281.57999999999981</v>
      </c>
      <c r="CV103" s="13">
        <f t="shared" si="95"/>
        <v>67.300798872976671</v>
      </c>
      <c r="CW103" s="20">
        <f t="shared" si="67"/>
        <v>607.63405803710066</v>
      </c>
      <c r="CX103" s="59">
        <f t="shared" si="68"/>
        <v>900.96739137043392</v>
      </c>
      <c r="CY103" s="59">
        <f ca="1">AVERAGE(OFFSET($CX$3,0,0,'Données projet'!$E$13+1,1))-AVERAGE(OFFSET($H$3,0,0,'Données projet'!$E$13+1,1))</f>
        <v>261.59434871103355</v>
      </c>
      <c r="CZ103" s="59">
        <f t="shared" si="96"/>
        <v>194.97518096665976</v>
      </c>
      <c r="DA103" s="15">
        <f>IF(ISNA(VLOOKUP(A103,'Données projet'!$A$139:$I$159,3,0)),0,VLOOKUP(A103,'Données projet'!$A$139:$I$159,3,0))</f>
        <v>9</v>
      </c>
      <c r="DB103" s="15">
        <f>IF(ISNA(VLOOKUP(A103,'Données projet'!$A$139:$I$159,4,0)),0,VLOOKUP(A103,'Données projet'!$A$139:$I$159,4,0))</f>
        <v>55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0.51908467141349079</v>
      </c>
      <c r="DG103" s="21">
        <f>EXP(-LN(2)/25)*DG102+(1-EXP(-LN(2)/25))/(LN(2)/25)*Calculateur!DB103*Calculateur!DD103*VLOOKUP('Données projet'!$B$13,Paramètres!$A$1:$I$89,3,0)*0.475*44/12</f>
        <v>1.6779303934042493</v>
      </c>
      <c r="DH103" s="21">
        <f>EXP(-LN(2)/2)*DH102+(1-EXP(-LN(2)/2))/(LN(2)/2)*DB103*DE103*VLOOKUP('Données projet'!$B$13,Paramètres!$A$1:$I$89,3,0)*0.475*44/12</f>
        <v>5.454480419896814E-10</v>
      </c>
      <c r="DI103" s="22">
        <f t="shared" si="69"/>
        <v>2.1970150653631881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4.4000000000000004</v>
      </c>
      <c r="N104" s="13">
        <f>IF('Données projet'!$A$36&gt;35,N103+M104-V103,IF(A104&lt;'Données projet'!$A$36,$K$205^A104,IF(A104='Données projet'!$A$36,'Données projet'!$B$36,N103+M104-V103)))</f>
        <v>265.4000000000002</v>
      </c>
      <c r="O104" s="13">
        <f>N104*VLOOKUP('Données projet'!$B$9,Paramètres!$A$1:$I$89,3,0)*VLOOKUP('Données projet'!$B$9,Paramètres!$A$1:$I$89,5,0)</f>
        <v>240.13392000000016</v>
      </c>
      <c r="P104" s="13">
        <f t="shared" si="87"/>
        <v>58.468343087048616</v>
      </c>
      <c r="Q104" s="20">
        <f t="shared" si="107"/>
        <v>520.06560820994321</v>
      </c>
      <c r="R104" s="59">
        <f t="shared" si="55"/>
        <v>813.39894154327658</v>
      </c>
      <c r="S104" s="59">
        <f ca="1">AVERAGE(OFFSET($R$3,0,0,'Données projet'!$E$9+1,1))-AVERAGE(OFFSET($H$3,0,0,'Données projet'!$E$9+1,1))</f>
        <v>237.22177246688199</v>
      </c>
      <c r="T104" s="59">
        <f t="shared" si="88"/>
        <v>149.27472147904302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</v>
      </c>
      <c r="AA104" s="21">
        <f>EXP(-LN(2)/25)*AA103+(1-EXP(-LN(2)/25))/(LN(2)/25)*Calculateur!V104*Calculateur!X104*VLOOKUP('Données projet'!$B$9,Paramètres!$A$1:$I$89,3,0)*0.475*44/12</f>
        <v>0.43377809647131449</v>
      </c>
      <c r="AB104" s="21">
        <f>EXP(-LN(2)/2)*AB103+(1-EXP(-LN(2)/2))/(LN(2)/2)*V104*Y104*VLOOKUP('Données projet'!$B$9,Paramètres!$A$1:$I$89,3,0)*0.475*44/12</f>
        <v>1.2737378242276461E-10</v>
      </c>
      <c r="AC104" s="22">
        <f t="shared" si="57"/>
        <v>0.43377809659868827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243.38048563215585</v>
      </c>
      <c r="AO104" s="59">
        <f t="shared" si="90"/>
        <v>372.1604147006675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1.7913481964134563</v>
      </c>
      <c r="AV104" s="21">
        <f>EXP(-LN(2)/25)*AV103+(1-EXP(-LN(2)/25))/(LN(2)/25)*Calculateur!AQ104*Calculateur!AS104*VLOOKUP('Données projet'!$B$10,Paramètres!$A$1:$I$89,3,0)*0.475*44/12</f>
        <v>2.7041740454154208</v>
      </c>
      <c r="AW104" s="21">
        <f>EXP(-LN(2)/2)*AW103+(1-EXP(-LN(2)/2))/(LN(2)/2)*AQ104*AT104*VLOOKUP('Données projet'!$B$10,Paramètres!$A$1:$I$89,3,0)*0.475*44/12</f>
        <v>6.0328725689609997E-10</v>
      </c>
      <c r="AX104" s="21">
        <f t="shared" si="60"/>
        <v>4.4955222424321644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-5.6843418860808015E-13</v>
      </c>
      <c r="BE104" s="13">
        <f>BD104*VLOOKUP('Données projet'!$B$11,Paramètres!$A$1:$I$89,3,0)*VLOOKUP('Données projet'!$B$11,Paramètres!$A$1:$I$89,5,0)</f>
        <v>-3.177547114319168E-13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326.31232746914907</v>
      </c>
      <c r="BJ104" s="59">
        <f t="shared" si="92"/>
        <v>330.17137761430297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1.1195926227584108</v>
      </c>
      <c r="BQ104" s="21">
        <f>EXP(-LN(2)/25)*BQ103+(1-EXP(-LN(2)/25))/(LN(2)/25)*Calculateur!BL104*Calculateur!BN104*VLOOKUP('Données projet'!$B$11,Paramètres!$A$1:$I$89,3,0)*0.475*44/12</f>
        <v>4.2139808772691767</v>
      </c>
      <c r="BR104" s="21">
        <f>EXP(-LN(2)/2)*BR103+(1-EXP(-LN(2)/2))/(LN(2)/2)*BL104*BO104*VLOOKUP('Données projet'!$B$11,Paramètres!$A$1:$I$89,3,0)*0.475*44/12</f>
        <v>6.6928883388996224E-10</v>
      </c>
      <c r="BS104" s="22">
        <f t="shared" si="63"/>
        <v>5.3335735006968763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-2.2737367544323206E-13</v>
      </c>
      <c r="BZ104" s="13">
        <f>BY104*VLOOKUP('Données projet'!$B$12,Paramètres!$A$1:$I$89,3,0)*VLOOKUP('Données projet'!$B$12,Paramètres!$A$1:$I$89,5,0)</f>
        <v>-1.8089849618263545E-13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314.94704727988847</v>
      </c>
      <c r="CE104" s="59">
        <f t="shared" si="94"/>
        <v>366.49199094166454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0.95970154100929683</v>
      </c>
      <c r="CL104" s="21">
        <f>EXP(-LN(2)/25)*CL103+(1-EXP(-LN(2)/25))/(LN(2)/25)*Calculateur!CG104*Calculateur!CI104*VLOOKUP('Données projet'!$B$12,Paramètres!$A$1:$I$89,3,0)*0.475*44/12</f>
        <v>3.5483493291873884</v>
      </c>
      <c r="CM104" s="21">
        <f>EXP(-LN(2)/2)*CM103+(1-EXP(-LN(2)/2))/(LN(2)/2)*CG104*CJ104*VLOOKUP('Données projet'!$B$12,Paramètres!$A$1:$I$89,3,0)*0.475*44/12</f>
        <v>5.9411491249719073E-10</v>
      </c>
      <c r="CN104" s="22">
        <f t="shared" si="66"/>
        <v>4.5080508707908002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5.2</v>
      </c>
      <c r="CT104" s="12">
        <f>IF('Données projet'!$A$140&gt;35,CT103+CS104-DB103,IF(A104&lt;'Données projet'!$A$140,$CQ$205^A104,IF(A104='Données projet'!$A$140,'Données projet'!$B$140,CT103+CS104-DB103)))</f>
        <v>311.19999999999976</v>
      </c>
      <c r="CU104" s="17">
        <f>CT104*VLOOKUP('Données projet'!$B$13,Paramètres!$A$1:$I$89,3,0)*VLOOKUP('Données projet'!$B$13,Paramètres!$A$1:$I$89,5,0)</f>
        <v>242.73599999999982</v>
      </c>
      <c r="CV104" s="13">
        <f t="shared" si="95"/>
        <v>59.027805290717659</v>
      </c>
      <c r="CW104" s="20">
        <f t="shared" si="67"/>
        <v>525.57196088133287</v>
      </c>
      <c r="CX104" s="59">
        <f t="shared" si="68"/>
        <v>818.90529421466613</v>
      </c>
      <c r="CY104" s="59">
        <f ca="1">AVERAGE(OFFSET($CX$3,0,0,'Données projet'!$E$13+1,1))-AVERAGE(OFFSET($H$3,0,0,'Données projet'!$E$13+1,1))</f>
        <v>261.59434871103355</v>
      </c>
      <c r="CZ104" s="59">
        <f t="shared" si="96"/>
        <v>194.97518096665976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0.50890573761745916</v>
      </c>
      <c r="DG104" s="21">
        <f>EXP(-LN(2)/25)*DG103+(1-EXP(-LN(2)/25))/(LN(2)/25)*Calculateur!DB104*Calculateur!DD104*VLOOKUP('Données projet'!$B$13,Paramètres!$A$1:$I$89,3,0)*0.475*44/12</f>
        <v>1.6320472985580856</v>
      </c>
      <c r="DH104" s="21">
        <f>EXP(-LN(2)/2)*DH103+(1-EXP(-LN(2)/2))/(LN(2)/2)*DB104*DE104*VLOOKUP('Données projet'!$B$13,Paramètres!$A$1:$I$89,3,0)*0.475*44/12</f>
        <v>3.8569000927582843E-10</v>
      </c>
      <c r="DI104" s="22">
        <f t="shared" si="69"/>
        <v>2.140953036561235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4.4000000000000004</v>
      </c>
      <c r="N105" s="13">
        <f>IF('Données projet'!$A$36&gt;35,N104+M105-V104,IF(A105&lt;'Données projet'!$A$36,$K$205^A105,IF(A105='Données projet'!$A$36,'Données projet'!$B$36,N104+M105-V104)))</f>
        <v>269.80000000000018</v>
      </c>
      <c r="O105" s="13">
        <f>N105*VLOOKUP('Données projet'!$B$9,Paramètres!$A$1:$I$89,3,0)*VLOOKUP('Données projet'!$B$9,Paramètres!$A$1:$I$89,5,0)</f>
        <v>244.11504000000016</v>
      </c>
      <c r="P105" s="13">
        <f t="shared" si="87"/>
        <v>59.324023461759062</v>
      </c>
      <c r="Q105" s="20">
        <f t="shared" si="107"/>
        <v>528.48970219589739</v>
      </c>
      <c r="R105" s="59">
        <f t="shared" si="55"/>
        <v>821.82303552923076</v>
      </c>
      <c r="S105" s="59">
        <f ca="1">AVERAGE(OFFSET($R$3,0,0,'Données projet'!$E$9+1,1))-AVERAGE(OFFSET($H$3,0,0,'Données projet'!$E$9+1,1))</f>
        <v>237.22177246688199</v>
      </c>
      <c r="T105" s="59">
        <f t="shared" si="88"/>
        <v>149.27472147904302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</v>
      </c>
      <c r="AA105" s="21">
        <f>EXP(-LN(2)/25)*AA104+(1-EXP(-LN(2)/25))/(LN(2)/25)*Calculateur!V105*Calculateur!X105*VLOOKUP('Données projet'!$B$9,Paramètres!$A$1:$I$89,3,0)*0.475*44/12</f>
        <v>0.42191641161190774</v>
      </c>
      <c r="AB105" s="21">
        <f>EXP(-LN(2)/2)*AB104+(1-EXP(-LN(2)/2))/(LN(2)/2)*V105*Y105*VLOOKUP('Données projet'!$B$9,Paramètres!$A$1:$I$89,3,0)*0.475*44/12</f>
        <v>9.0066865296516732E-11</v>
      </c>
      <c r="AC105" s="22">
        <f t="shared" si="57"/>
        <v>0.42191641170197458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243.38048563215585</v>
      </c>
      <c r="AO105" s="59">
        <f t="shared" si="90"/>
        <v>372.1604147006675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1.7562209508963016</v>
      </c>
      <c r="AV105" s="21">
        <f>EXP(-LN(2)/25)*AV104+(1-EXP(-LN(2)/25))/(LN(2)/25)*Calculateur!AQ105*Calculateur!AS105*VLOOKUP('Données projet'!$B$10,Paramètres!$A$1:$I$89,3,0)*0.475*44/12</f>
        <v>2.6302282639372034</v>
      </c>
      <c r="AW105" s="21">
        <f>EXP(-LN(2)/2)*AW104+(1-EXP(-LN(2)/2))/(LN(2)/2)*AQ105*AT105*VLOOKUP('Données projet'!$B$10,Paramètres!$A$1:$I$89,3,0)*0.475*44/12</f>
        <v>4.2658851035466305E-10</v>
      </c>
      <c r="AX105" s="21">
        <f t="shared" si="60"/>
        <v>4.3864492152600931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-5.6843418860808015E-13</v>
      </c>
      <c r="BE105" s="13">
        <f>BD105*VLOOKUP('Données projet'!$B$11,Paramètres!$A$1:$I$89,3,0)*VLOOKUP('Données projet'!$B$11,Paramètres!$A$1:$I$89,5,0)</f>
        <v>-3.177547114319168E-13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326.31232746914907</v>
      </c>
      <c r="BJ105" s="59">
        <f t="shared" si="92"/>
        <v>330.17137761430297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1.0976380943101891</v>
      </c>
      <c r="BQ105" s="21">
        <f>EXP(-LN(2)/25)*BQ104+(1-EXP(-LN(2)/25))/(LN(2)/25)*Calculateur!BL105*Calculateur!BN105*VLOOKUP('Données projet'!$B$11,Paramètres!$A$1:$I$89,3,0)*0.475*44/12</f>
        <v>4.0987493485766278</v>
      </c>
      <c r="BR105" s="21">
        <f>EXP(-LN(2)/2)*BR104+(1-EXP(-LN(2)/2))/(LN(2)/2)*BL105*BO105*VLOOKUP('Données projet'!$B$11,Paramètres!$A$1:$I$89,3,0)*0.475*44/12</f>
        <v>4.7325867301602909E-10</v>
      </c>
      <c r="BS105" s="22">
        <f t="shared" si="63"/>
        <v>5.1963874433600754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-2.2737367544323206E-13</v>
      </c>
      <c r="BZ105" s="13">
        <f>BY105*VLOOKUP('Données projet'!$B$12,Paramètres!$A$1:$I$89,3,0)*VLOOKUP('Données projet'!$B$12,Paramètres!$A$1:$I$89,5,0)</f>
        <v>-1.8089849618263545E-13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314.94704727988847</v>
      </c>
      <c r="CE105" s="59">
        <f t="shared" si="94"/>
        <v>366.49199094166454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0.94088237915024497</v>
      </c>
      <c r="CL105" s="21">
        <f>EXP(-LN(2)/25)*CL104+(1-EXP(-LN(2)/25))/(LN(2)/25)*Calculateur!CG105*Calculateur!CI105*VLOOKUP('Données projet'!$B$12,Paramètres!$A$1:$I$89,3,0)*0.475*44/12</f>
        <v>3.4513195301811779</v>
      </c>
      <c r="CM105" s="21">
        <f>EXP(-LN(2)/2)*CM104+(1-EXP(-LN(2)/2))/(LN(2)/2)*CG105*CJ105*VLOOKUP('Données projet'!$B$12,Paramètres!$A$1:$I$89,3,0)*0.475*44/12</f>
        <v>4.2010268343081588E-10</v>
      </c>
      <c r="CN105" s="22">
        <f t="shared" si="66"/>
        <v>4.3922019097515257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5.2</v>
      </c>
      <c r="CT105" s="12">
        <f>IF('Données projet'!$A$140&gt;35,CT104+CS105-DB104,IF(A105&lt;'Données projet'!$A$140,$CQ$205^A105,IF(A105='Données projet'!$A$140,'Données projet'!$B$140,CT104+CS105-DB104)))</f>
        <v>316.39999999999975</v>
      </c>
      <c r="CU105" s="17">
        <f>CT105*VLOOKUP('Données projet'!$B$13,Paramètres!$A$1:$I$89,3,0)*VLOOKUP('Données projet'!$B$13,Paramètres!$A$1:$I$89,5,0)</f>
        <v>246.7919999999998</v>
      </c>
      <c r="CV105" s="13">
        <f t="shared" si="95"/>
        <v>59.898480442407006</v>
      </c>
      <c r="CW105" s="20">
        <f t="shared" si="67"/>
        <v>534.15258677052509</v>
      </c>
      <c r="CX105" s="59">
        <f t="shared" si="68"/>
        <v>827.48592010385846</v>
      </c>
      <c r="CY105" s="59">
        <f ca="1">AVERAGE(OFFSET($CX$3,0,0,'Données projet'!$E$13+1,1))-AVERAGE(OFFSET($H$3,0,0,'Données projet'!$E$13+1,1))</f>
        <v>261.59434871103355</v>
      </c>
      <c r="CZ105" s="59">
        <f t="shared" si="96"/>
        <v>194.97518096665976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0.4989264065046311</v>
      </c>
      <c r="DG105" s="21">
        <f>EXP(-LN(2)/25)*DG104+(1-EXP(-LN(2)/25))/(LN(2)/25)*Calculateur!DB105*Calculateur!DD105*VLOOKUP('Données projet'!$B$13,Paramètres!$A$1:$I$89,3,0)*0.475*44/12</f>
        <v>1.5874188793533774</v>
      </c>
      <c r="DH105" s="21">
        <f>EXP(-LN(2)/2)*DH104+(1-EXP(-LN(2)/2))/(LN(2)/2)*DB105*DE105*VLOOKUP('Données projet'!$B$13,Paramètres!$A$1:$I$89,3,0)*0.475*44/12</f>
        <v>2.727240209948407E-10</v>
      </c>
      <c r="DI105" s="22">
        <f t="shared" si="69"/>
        <v>2.0863452861307326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4.4000000000000004</v>
      </c>
      <c r="N106" s="13">
        <f>IF('Données projet'!$A$36&gt;35,N105+M106-V105,IF(A106&lt;'Données projet'!$A$36,$K$205^A106,IF(A106='Données projet'!$A$36,'Données projet'!$B$36,N105+M106-V105)))</f>
        <v>274.20000000000016</v>
      </c>
      <c r="O106" s="13">
        <f>N106*VLOOKUP('Données projet'!$B$9,Paramètres!$A$1:$I$89,3,0)*VLOOKUP('Données projet'!$B$9,Paramètres!$A$1:$I$89,5,0)</f>
        <v>248.09616000000014</v>
      </c>
      <c r="P106" s="13">
        <f t="shared" si="87"/>
        <v>60.178080967364686</v>
      </c>
      <c r="Q106" s="20">
        <f t="shared" si="107"/>
        <v>536.91096968482714</v>
      </c>
      <c r="R106" s="59">
        <f t="shared" si="55"/>
        <v>830.24430301816051</v>
      </c>
      <c r="S106" s="59">
        <f ca="1">AVERAGE(OFFSET($R$3,0,0,'Données projet'!$E$9+1,1))-AVERAGE(OFFSET($H$3,0,0,'Données projet'!$E$9+1,1))</f>
        <v>237.22177246688199</v>
      </c>
      <c r="T106" s="59">
        <f t="shared" si="88"/>
        <v>149.27472147904302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</v>
      </c>
      <c r="AA106" s="21">
        <f>EXP(-LN(2)/25)*AA105+(1-EXP(-LN(2)/25))/(LN(2)/25)*Calculateur!V106*Calculateur!X106*VLOOKUP('Données projet'!$B$9,Paramètres!$A$1:$I$89,3,0)*0.475*44/12</f>
        <v>0.41037908514876031</v>
      </c>
      <c r="AB106" s="21">
        <f>EXP(-LN(2)/2)*AB105+(1-EXP(-LN(2)/2))/(LN(2)/2)*V106*Y106*VLOOKUP('Données projet'!$B$9,Paramètres!$A$1:$I$89,3,0)*0.475*44/12</f>
        <v>6.3686891211382306E-11</v>
      </c>
      <c r="AC106" s="22">
        <f t="shared" si="57"/>
        <v>0.4103790852124472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243.38048563215585</v>
      </c>
      <c r="AO106" s="59">
        <f t="shared" si="90"/>
        <v>372.1604147006675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1.721782529238234</v>
      </c>
      <c r="AV106" s="21">
        <f>EXP(-LN(2)/25)*AV105+(1-EXP(-LN(2)/25))/(LN(2)/25)*Calculateur!AQ106*Calculateur!AS106*VLOOKUP('Données projet'!$B$10,Paramètres!$A$1:$I$89,3,0)*0.475*44/12</f>
        <v>2.5583045337421475</v>
      </c>
      <c r="AW106" s="21">
        <f>EXP(-LN(2)/2)*AW105+(1-EXP(-LN(2)/2))/(LN(2)/2)*AQ106*AT106*VLOOKUP('Données projet'!$B$10,Paramètres!$A$1:$I$89,3,0)*0.475*44/12</f>
        <v>3.0164362844804998E-10</v>
      </c>
      <c r="AX106" s="21">
        <f t="shared" si="60"/>
        <v>4.2800870632820258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-5.6843418860808015E-13</v>
      </c>
      <c r="BE106" s="13">
        <f>BD106*VLOOKUP('Données projet'!$B$11,Paramètres!$A$1:$I$89,3,0)*VLOOKUP('Données projet'!$B$11,Paramètres!$A$1:$I$89,5,0)</f>
        <v>-3.177547114319168E-13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326.31232746914907</v>
      </c>
      <c r="BJ106" s="59">
        <f t="shared" si="92"/>
        <v>330.17137761430297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1.0761140807738969</v>
      </c>
      <c r="BQ106" s="21">
        <f>EXP(-LN(2)/25)*BQ105+(1-EXP(-LN(2)/25))/(LN(2)/25)*Calculateur!BL106*Calculateur!BN106*VLOOKUP('Données projet'!$B$11,Paramètres!$A$1:$I$89,3,0)*0.475*44/12</f>
        <v>3.9866688320959396</v>
      </c>
      <c r="BR106" s="21">
        <f>EXP(-LN(2)/2)*BR105+(1-EXP(-LN(2)/2))/(LN(2)/2)*BL106*BO106*VLOOKUP('Données projet'!$B$11,Paramètres!$A$1:$I$89,3,0)*0.475*44/12</f>
        <v>3.3464441694498112E-10</v>
      </c>
      <c r="BS106" s="22">
        <f t="shared" si="63"/>
        <v>5.0627829132044813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-2.2737367544323206E-13</v>
      </c>
      <c r="BZ106" s="13">
        <f>BY106*VLOOKUP('Données projet'!$B$12,Paramètres!$A$1:$I$89,3,0)*VLOOKUP('Données projet'!$B$12,Paramètres!$A$1:$I$89,5,0)</f>
        <v>-1.8089849618263545E-13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314.94704727988847</v>
      </c>
      <c r="CE106" s="59">
        <f t="shared" si="94"/>
        <v>366.49199094166454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0.9224322495766939</v>
      </c>
      <c r="CL106" s="21">
        <f>EXP(-LN(2)/25)*CL105+(1-EXP(-LN(2)/25))/(LN(2)/25)*Calculateur!CG106*Calculateur!CI106*VLOOKUP('Données projet'!$B$12,Paramètres!$A$1:$I$89,3,0)*0.475*44/12</f>
        <v>3.3569430161313676</v>
      </c>
      <c r="CM106" s="21">
        <f>EXP(-LN(2)/2)*CM105+(1-EXP(-LN(2)/2))/(LN(2)/2)*CG106*CJ106*VLOOKUP('Données projet'!$B$12,Paramètres!$A$1:$I$89,3,0)*0.475*44/12</f>
        <v>2.9705745624859537E-10</v>
      </c>
      <c r="CN106" s="22">
        <f t="shared" si="66"/>
        <v>4.2793752660051192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5.2</v>
      </c>
      <c r="CT106" s="12">
        <f>IF('Données projet'!$A$140&gt;35,CT105+CS106-DB105,IF(A106&lt;'Données projet'!$A$140,$CQ$205^A106,IF(A106='Données projet'!$A$140,'Données projet'!$B$140,CT105+CS106-DB105)))</f>
        <v>321.59999999999974</v>
      </c>
      <c r="CU106" s="17">
        <f>CT106*VLOOKUP('Données projet'!$B$13,Paramètres!$A$1:$I$89,3,0)*VLOOKUP('Données projet'!$B$13,Paramètres!$A$1:$I$89,5,0)</f>
        <v>250.84799999999981</v>
      </c>
      <c r="CV106" s="13">
        <f t="shared" si="95"/>
        <v>60.767491486783541</v>
      </c>
      <c r="CW106" s="20">
        <f t="shared" si="67"/>
        <v>542.73031433948097</v>
      </c>
      <c r="CX106" s="59">
        <f t="shared" si="68"/>
        <v>836.06364767281434</v>
      </c>
      <c r="CY106" s="59">
        <f ca="1">AVERAGE(OFFSET($CX$3,0,0,'Données projet'!$E$13+1,1))-AVERAGE(OFFSET($H$3,0,0,'Données projet'!$E$13+1,1))</f>
        <v>261.59434871103355</v>
      </c>
      <c r="CZ106" s="59">
        <f t="shared" si="96"/>
        <v>194.97518096665976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0.48914276398813467</v>
      </c>
      <c r="DG106" s="21">
        <f>EXP(-LN(2)/25)*DG105+(1-EXP(-LN(2)/25))/(LN(2)/25)*Calculateur!DB106*Calculateur!DD106*VLOOKUP('Données projet'!$B$13,Paramètres!$A$1:$I$89,3,0)*0.475*44/12</f>
        <v>1.5440108266187285</v>
      </c>
      <c r="DH106" s="21">
        <f>EXP(-LN(2)/2)*DH105+(1-EXP(-LN(2)/2))/(LN(2)/2)*DB106*DE106*VLOOKUP('Données projet'!$B$13,Paramètres!$A$1:$I$89,3,0)*0.475*44/12</f>
        <v>1.9284500463791421E-10</v>
      </c>
      <c r="DI106" s="22">
        <f t="shared" si="69"/>
        <v>2.0331535907997078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4.4000000000000004</v>
      </c>
      <c r="N107" s="13">
        <f>IF('Données projet'!$A$36&gt;35,N106+M107-V106,IF(A107&lt;'Données projet'!$A$36,$K$205^A107,IF(A107='Données projet'!$A$36,'Données projet'!$B$36,N106+M107-V106)))</f>
        <v>278.60000000000014</v>
      </c>
      <c r="O107" s="13">
        <f>N107*VLOOKUP('Données projet'!$B$9,Paramètres!$A$1:$I$89,3,0)*VLOOKUP('Données projet'!$B$9,Paramètres!$A$1:$I$89,5,0)</f>
        <v>252.07728000000014</v>
      </c>
      <c r="P107" s="13">
        <f t="shared" si="87"/>
        <v>61.030544652155044</v>
      </c>
      <c r="Q107" s="20">
        <f t="shared" si="107"/>
        <v>545.32946126917022</v>
      </c>
      <c r="R107" s="59">
        <f t="shared" si="55"/>
        <v>838.66279460250348</v>
      </c>
      <c r="S107" s="59">
        <f ca="1">AVERAGE(OFFSET($R$3,0,0,'Données projet'!$E$9+1,1))-AVERAGE(OFFSET($H$3,0,0,'Données projet'!$E$9+1,1))</f>
        <v>237.22177246688199</v>
      </c>
      <c r="T107" s="59">
        <f t="shared" si="88"/>
        <v>149.27472147904302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</v>
      </c>
      <c r="AA107" s="21">
        <f>EXP(-LN(2)/25)*AA106+(1-EXP(-LN(2)/25))/(LN(2)/25)*Calculateur!V107*Calculateur!X107*VLOOKUP('Données projet'!$B$9,Paramètres!$A$1:$I$89,3,0)*0.475*44/12</f>
        <v>0.39915724748446929</v>
      </c>
      <c r="AB107" s="21">
        <f>EXP(-LN(2)/2)*AB106+(1-EXP(-LN(2)/2))/(LN(2)/2)*V107*Y107*VLOOKUP('Données projet'!$B$9,Paramètres!$A$1:$I$89,3,0)*0.475*44/12</f>
        <v>4.5033432648258366E-11</v>
      </c>
      <c r="AC107" s="22">
        <f t="shared" si="57"/>
        <v>0.39915724752950271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243.38048563215585</v>
      </c>
      <c r="AO107" s="59">
        <f t="shared" si="90"/>
        <v>372.1604147006675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1.688019424023518</v>
      </c>
      <c r="AV107" s="21">
        <f>EXP(-LN(2)/25)*AV106+(1-EXP(-LN(2)/25))/(LN(2)/25)*Calculateur!AQ107*Calculateur!AS107*VLOOKUP('Données projet'!$B$10,Paramètres!$A$1:$I$89,3,0)*0.475*44/12</f>
        <v>2.48834756173158</v>
      </c>
      <c r="AW107" s="21">
        <f>EXP(-LN(2)/2)*AW106+(1-EXP(-LN(2)/2))/(LN(2)/2)*AQ107*AT107*VLOOKUP('Données projet'!$B$10,Paramètres!$A$1:$I$89,3,0)*0.475*44/12</f>
        <v>2.1329425517733152E-10</v>
      </c>
      <c r="AX107" s="21">
        <f t="shared" si="60"/>
        <v>4.1763669859683921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-5.6843418860808015E-13</v>
      </c>
      <c r="BE107" s="13">
        <f>BD107*VLOOKUP('Données projet'!$B$11,Paramètres!$A$1:$I$89,3,0)*VLOOKUP('Données projet'!$B$11,Paramètres!$A$1:$I$89,5,0)</f>
        <v>-3.177547114319168E-13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326.31232746914907</v>
      </c>
      <c r="BJ107" s="59">
        <f t="shared" si="92"/>
        <v>330.17137761430297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1.0550121400146995</v>
      </c>
      <c r="BQ107" s="21">
        <f>EXP(-LN(2)/25)*BQ106+(1-EXP(-LN(2)/25))/(LN(2)/25)*Calculateur!BL107*Calculateur!BN107*VLOOKUP('Données projet'!$B$11,Paramètres!$A$1:$I$89,3,0)*0.475*44/12</f>
        <v>3.8776531632324738</v>
      </c>
      <c r="BR107" s="21">
        <f>EXP(-LN(2)/2)*BR106+(1-EXP(-LN(2)/2))/(LN(2)/2)*BL107*BO107*VLOOKUP('Données projet'!$B$11,Paramètres!$A$1:$I$89,3,0)*0.475*44/12</f>
        <v>2.3662933650801454E-10</v>
      </c>
      <c r="BS107" s="22">
        <f t="shared" si="63"/>
        <v>4.9326653034838026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-2.2737367544323206E-13</v>
      </c>
      <c r="BZ107" s="13">
        <f>BY107*VLOOKUP('Données projet'!$B$12,Paramètres!$A$1:$I$89,3,0)*VLOOKUP('Données projet'!$B$12,Paramètres!$A$1:$I$89,5,0)</f>
        <v>-1.8089849618263545E-13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314.94704727988847</v>
      </c>
      <c r="CE107" s="59">
        <f t="shared" si="94"/>
        <v>366.49199094166454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0.90434391579061224</v>
      </c>
      <c r="CL107" s="21">
        <f>EXP(-LN(2)/25)*CL106+(1-EXP(-LN(2)/25))/(LN(2)/25)*Calculateur!CG107*Calculateur!CI107*VLOOKUP('Données projet'!$B$12,Paramètres!$A$1:$I$89,3,0)*0.475*44/12</f>
        <v>3.2651472328212945</v>
      </c>
      <c r="CM107" s="21">
        <f>EXP(-LN(2)/2)*CM106+(1-EXP(-LN(2)/2))/(LN(2)/2)*CG107*CJ107*VLOOKUP('Données projet'!$B$12,Paramètres!$A$1:$I$89,3,0)*0.475*44/12</f>
        <v>2.1005134171540794E-10</v>
      </c>
      <c r="CN107" s="22">
        <f t="shared" si="66"/>
        <v>4.1694911488219581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5.2</v>
      </c>
      <c r="CT107" s="12">
        <f>IF('Données projet'!$A$140&gt;35,CT106+CS107-DB106,IF(A107&lt;'Données projet'!$A$140,$CQ$205^A107,IF(A107='Données projet'!$A$140,'Données projet'!$B$140,CT106+CS107-DB106)))</f>
        <v>326.79999999999973</v>
      </c>
      <c r="CU107" s="17">
        <f>CT107*VLOOKUP('Données projet'!$B$13,Paramètres!$A$1:$I$89,3,0)*VLOOKUP('Données projet'!$B$13,Paramètres!$A$1:$I$89,5,0)</f>
        <v>254.9039999999998</v>
      </c>
      <c r="CV107" s="13">
        <f t="shared" si="95"/>
        <v>61.634868437438207</v>
      </c>
      <c r="CW107" s="20">
        <f t="shared" si="67"/>
        <v>551.30519586187108</v>
      </c>
      <c r="CX107" s="59">
        <f t="shared" si="68"/>
        <v>844.63852919520446</v>
      </c>
      <c r="CY107" s="59">
        <f ca="1">AVERAGE(OFFSET($CX$3,0,0,'Données projet'!$E$13+1,1))-AVERAGE(OFFSET($H$3,0,0,'Données projet'!$E$13+1,1))</f>
        <v>261.59434871103355</v>
      </c>
      <c r="CZ107" s="59">
        <f t="shared" si="96"/>
        <v>194.97518096665976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0.47955097273395397</v>
      </c>
      <c r="DG107" s="21">
        <f>EXP(-LN(2)/25)*DG106+(1-EXP(-LN(2)/25))/(LN(2)/25)*Calculateur!DB107*Calculateur!DD107*VLOOKUP('Données projet'!$B$13,Paramètres!$A$1:$I$89,3,0)*0.475*44/12</f>
        <v>1.5017897693688389</v>
      </c>
      <c r="DH107" s="21">
        <f>EXP(-LN(2)/2)*DH106+(1-EXP(-LN(2)/2))/(LN(2)/2)*DB107*DE107*VLOOKUP('Données projet'!$B$13,Paramètres!$A$1:$I$89,3,0)*0.475*44/12</f>
        <v>1.3636201049742035E-10</v>
      </c>
      <c r="DI107" s="22">
        <f t="shared" si="69"/>
        <v>1.9813407422391549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4.4000000000000004</v>
      </c>
      <c r="N108" s="13">
        <f>IF('Données projet'!$A$36&gt;35,N107+M108-V107,IF(A108&lt;'Données projet'!$A$36,$K$205^A108,IF(A108='Données projet'!$A$36,'Données projet'!$B$36,N107+M108-V107)))</f>
        <v>283.00000000000011</v>
      </c>
      <c r="O108" s="13">
        <f>N108*VLOOKUP('Données projet'!$B$9,Paramètres!$A$1:$I$89,3,0)*VLOOKUP('Données projet'!$B$9,Paramètres!$A$1:$I$89,5,0)</f>
        <v>256.05840000000006</v>
      </c>
      <c r="P108" s="13">
        <f t="shared" si="87"/>
        <v>61.881442594256484</v>
      </c>
      <c r="Q108" s="20">
        <f t="shared" si="107"/>
        <v>553.74522585166358</v>
      </c>
      <c r="R108" s="59">
        <f t="shared" si="55"/>
        <v>847.07855918499695</v>
      </c>
      <c r="S108" s="59">
        <f ca="1">AVERAGE(OFFSET($R$3,0,0,'Données projet'!$E$9+1,1))-AVERAGE(OFFSET($H$3,0,0,'Données projet'!$E$9+1,1))</f>
        <v>237.22177246688199</v>
      </c>
      <c r="T108" s="59">
        <f t="shared" si="88"/>
        <v>149.27472147904302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</v>
      </c>
      <c r="AA108" s="21">
        <f>EXP(-LN(2)/25)*AA107+(1-EXP(-LN(2)/25))/(LN(2)/25)*Calculateur!V108*Calculateur!X108*VLOOKUP('Données projet'!$B$9,Paramètres!$A$1:$I$89,3,0)*0.475*44/12</f>
        <v>0.38824227156123914</v>
      </c>
      <c r="AB108" s="21">
        <f>EXP(-LN(2)/2)*AB107+(1-EXP(-LN(2)/2))/(LN(2)/2)*V108*Y108*VLOOKUP('Données projet'!$B$9,Paramètres!$A$1:$I$89,3,0)*0.475*44/12</f>
        <v>3.1843445605691153E-11</v>
      </c>
      <c r="AC108" s="22">
        <f t="shared" si="57"/>
        <v>0.38824227159308261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243.38048563215585</v>
      </c>
      <c r="AO108" s="59">
        <f t="shared" si="90"/>
        <v>372.1604147006675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1.654918392708602</v>
      </c>
      <c r="AV108" s="21">
        <f>EXP(-LN(2)/25)*AV107+(1-EXP(-LN(2)/25))/(LN(2)/25)*Calculateur!AQ108*Calculateur!AS108*VLOOKUP('Données projet'!$B$10,Paramètres!$A$1:$I$89,3,0)*0.475*44/12</f>
        <v>2.420303566799519</v>
      </c>
      <c r="AW108" s="21">
        <f>EXP(-LN(2)/2)*AW107+(1-EXP(-LN(2)/2))/(LN(2)/2)*AQ108*AT108*VLOOKUP('Données projet'!$B$10,Paramètres!$A$1:$I$89,3,0)*0.475*44/12</f>
        <v>1.5082181422402499E-10</v>
      </c>
      <c r="AX108" s="21">
        <f t="shared" si="60"/>
        <v>4.0752219596589425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-5.6843418860808015E-13</v>
      </c>
      <c r="BE108" s="13">
        <f>BD108*VLOOKUP('Données projet'!$B$11,Paramètres!$A$1:$I$89,3,0)*VLOOKUP('Données projet'!$B$11,Paramètres!$A$1:$I$89,5,0)</f>
        <v>-3.177547114319168E-13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326.31232746914907</v>
      </c>
      <c r="BJ108" s="59">
        <f t="shared" si="92"/>
        <v>330.17137761430297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1.0343239954428769</v>
      </c>
      <c r="BQ108" s="21">
        <f>EXP(-LN(2)/25)*BQ107+(1-EXP(-LN(2)/25))/(LN(2)/25)*Calculateur!BL108*Calculateur!BN108*VLOOKUP('Données projet'!$B$11,Paramètres!$A$1:$I$89,3,0)*0.475*44/12</f>
        <v>3.7716185335669645</v>
      </c>
      <c r="BR108" s="21">
        <f>EXP(-LN(2)/2)*BR107+(1-EXP(-LN(2)/2))/(LN(2)/2)*BL108*BO108*VLOOKUP('Données projet'!$B$11,Paramètres!$A$1:$I$89,3,0)*0.475*44/12</f>
        <v>1.6732220847249056E-10</v>
      </c>
      <c r="BS108" s="22">
        <f t="shared" si="63"/>
        <v>4.8059425291771634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-2.2737367544323206E-13</v>
      </c>
      <c r="BZ108" s="13">
        <f>BY108*VLOOKUP('Données projet'!$B$12,Paramètres!$A$1:$I$89,3,0)*VLOOKUP('Données projet'!$B$12,Paramètres!$A$1:$I$89,5,0)</f>
        <v>-1.8089849618263545E-13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314.94704727988847</v>
      </c>
      <c r="CE108" s="59">
        <f t="shared" si="94"/>
        <v>366.49199094166454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0.88661028319728141</v>
      </c>
      <c r="CL108" s="21">
        <f>EXP(-LN(2)/25)*CL107+(1-EXP(-LN(2)/25))/(LN(2)/25)*Calculateur!CG108*Calculateur!CI108*VLOOKUP('Données projet'!$B$12,Paramètres!$A$1:$I$89,3,0)*0.475*44/12</f>
        <v>3.175861610033166</v>
      </c>
      <c r="CM108" s="21">
        <f>EXP(-LN(2)/2)*CM107+(1-EXP(-LN(2)/2))/(LN(2)/2)*CG108*CJ108*VLOOKUP('Données projet'!$B$12,Paramètres!$A$1:$I$89,3,0)*0.475*44/12</f>
        <v>1.4852872812429768E-10</v>
      </c>
      <c r="CN108" s="22">
        <f t="shared" si="66"/>
        <v>4.0624718933789756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5.2</v>
      </c>
      <c r="CT108" s="12">
        <f>IF('Données projet'!$A$140&gt;35,CT107+CS108-DB107,IF(A108&lt;'Données projet'!$A$140,$CQ$205^A108,IF(A108='Données projet'!$A$140,'Données projet'!$B$140,CT107+CS108-DB107)))</f>
        <v>331.99999999999972</v>
      </c>
      <c r="CU108" s="17">
        <f>CT108*VLOOKUP('Données projet'!$B$13,Paramètres!$A$1:$I$89,3,0)*VLOOKUP('Données projet'!$B$13,Paramètres!$A$1:$I$89,5,0)</f>
        <v>258.95999999999981</v>
      </c>
      <c r="CV108" s="13">
        <f t="shared" si="95"/>
        <v>62.500640298036011</v>
      </c>
      <c r="CW108" s="20">
        <f t="shared" si="67"/>
        <v>559.87728185241235</v>
      </c>
      <c r="CX108" s="59">
        <f t="shared" si="68"/>
        <v>853.21061518574561</v>
      </c>
      <c r="CY108" s="59">
        <f ca="1">AVERAGE(OFFSET($CX$3,0,0,'Données projet'!$E$13+1,1))-AVERAGE(OFFSET($H$3,0,0,'Données projet'!$E$13+1,1))</f>
        <v>261.59434871103355</v>
      </c>
      <c r="CZ108" s="59">
        <f t="shared" si="96"/>
        <v>194.97518096665976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0.47014727065585282</v>
      </c>
      <c r="DG108" s="21">
        <f>EXP(-LN(2)/25)*DG107+(1-EXP(-LN(2)/25))/(LN(2)/25)*Calculateur!DB108*Calculateur!DD108*VLOOKUP('Données projet'!$B$13,Paramètres!$A$1:$I$89,3,0)*0.475*44/12</f>
        <v>1.4607232491497564</v>
      </c>
      <c r="DH108" s="21">
        <f>EXP(-LN(2)/2)*DH107+(1-EXP(-LN(2)/2))/(LN(2)/2)*DB108*DE108*VLOOKUP('Données projet'!$B$13,Paramètres!$A$1:$I$89,3,0)*0.475*44/12</f>
        <v>9.6422502318957107E-11</v>
      </c>
      <c r="DI108" s="22">
        <f t="shared" si="69"/>
        <v>1.9308705199020317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4.4000000000000004</v>
      </c>
      <c r="N109" s="13">
        <f>IF('Données projet'!$A$36&gt;35,N108+M109-V108,IF(A109&lt;'Données projet'!$A$36,$K$205^A109,IF(A109='Données projet'!$A$36,'Données projet'!$B$36,N108+M109-V108)))</f>
        <v>287.40000000000009</v>
      </c>
      <c r="O109" s="13">
        <f>N109*VLOOKUP('Données projet'!$B$9,Paramètres!$A$1:$I$89,3,0)*VLOOKUP('Données projet'!$B$9,Paramètres!$A$1:$I$89,5,0)</f>
        <v>260.03952000000004</v>
      </c>
      <c r="P109" s="13">
        <f t="shared" si="87"/>
        <v>62.730801948604871</v>
      </c>
      <c r="Q109" s="20">
        <f t="shared" si="107"/>
        <v>562.15831072715355</v>
      </c>
      <c r="R109" s="59">
        <f t="shared" si="55"/>
        <v>855.49164406048681</v>
      </c>
      <c r="S109" s="59">
        <f ca="1">AVERAGE(OFFSET($R$3,0,0,'Données projet'!$E$9+1,1))-AVERAGE(OFFSET($H$3,0,0,'Données projet'!$E$9+1,1))</f>
        <v>237.22177246688199</v>
      </c>
      <c r="T109" s="59">
        <f t="shared" si="88"/>
        <v>149.27472147904302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</v>
      </c>
      <c r="AA109" s="21">
        <f>EXP(-LN(2)/25)*AA108+(1-EXP(-LN(2)/25))/(LN(2)/25)*Calculateur!V109*Calculateur!X109*VLOOKUP('Données projet'!$B$9,Paramètres!$A$1:$I$89,3,0)*0.475*44/12</f>
        <v>0.37762576622862332</v>
      </c>
      <c r="AB109" s="21">
        <f>EXP(-LN(2)/2)*AB108+(1-EXP(-LN(2)/2))/(LN(2)/2)*V109*Y109*VLOOKUP('Données projet'!$B$9,Paramètres!$A$1:$I$89,3,0)*0.475*44/12</f>
        <v>2.2516716324129183E-11</v>
      </c>
      <c r="AC109" s="22">
        <f t="shared" si="57"/>
        <v>0.37762576625114003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243.38048563215585</v>
      </c>
      <c r="AO109" s="59">
        <f t="shared" si="90"/>
        <v>372.1604147006675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1.6224664524281358</v>
      </c>
      <c r="AV109" s="21">
        <f>EXP(-LN(2)/25)*AV108+(1-EXP(-LN(2)/25))/(LN(2)/25)*Calculateur!AQ109*Calculateur!AS109*VLOOKUP('Données projet'!$B$10,Paramètres!$A$1:$I$89,3,0)*0.475*44/12</f>
        <v>2.3541202384871531</v>
      </c>
      <c r="AW109" s="21">
        <f>EXP(-LN(2)/2)*AW108+(1-EXP(-LN(2)/2))/(LN(2)/2)*AQ109*AT109*VLOOKUP('Données projet'!$B$10,Paramètres!$A$1:$I$89,3,0)*0.475*44/12</f>
        <v>1.0664712758866576E-10</v>
      </c>
      <c r="AX109" s="21">
        <f t="shared" si="60"/>
        <v>3.9765866910219358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-5.6843418860808015E-13</v>
      </c>
      <c r="BE109" s="13">
        <f>BD109*VLOOKUP('Données projet'!$B$11,Paramètres!$A$1:$I$89,3,0)*VLOOKUP('Données projet'!$B$11,Paramètres!$A$1:$I$89,5,0)</f>
        <v>-3.177547114319168E-13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326.31232746914907</v>
      </c>
      <c r="BJ109" s="59">
        <f t="shared" si="92"/>
        <v>330.17137761430297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1.0140415327675856</v>
      </c>
      <c r="BQ109" s="21">
        <f>EXP(-LN(2)/25)*BQ108+(1-EXP(-LN(2)/25))/(LN(2)/25)*Calculateur!BL109*Calculateur!BN109*VLOOKUP('Données projet'!$B$11,Paramètres!$A$1:$I$89,3,0)*0.475*44/12</f>
        <v>3.6684834264257775</v>
      </c>
      <c r="BR109" s="21">
        <f>EXP(-LN(2)/2)*BR108+(1-EXP(-LN(2)/2))/(LN(2)/2)*BL109*BO109*VLOOKUP('Données projet'!$B$11,Paramètres!$A$1:$I$89,3,0)*0.475*44/12</f>
        <v>1.1831466825400727E-10</v>
      </c>
      <c r="BS109" s="22">
        <f t="shared" si="63"/>
        <v>4.6825249593116771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-2.2737367544323206E-13</v>
      </c>
      <c r="BZ109" s="13">
        <f>BY109*VLOOKUP('Données projet'!$B$12,Paramètres!$A$1:$I$89,3,0)*VLOOKUP('Données projet'!$B$12,Paramètres!$A$1:$I$89,5,0)</f>
        <v>-1.8089849618263545E-13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314.94704727988847</v>
      </c>
      <c r="CE109" s="59">
        <f t="shared" si="94"/>
        <v>366.49199094166454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0.86922439632265802</v>
      </c>
      <c r="CL109" s="21">
        <f>EXP(-LN(2)/25)*CL108+(1-EXP(-LN(2)/25))/(LN(2)/25)*Calculateur!CG109*Calculateur!CI109*VLOOKUP('Données projet'!$B$12,Paramètres!$A$1:$I$89,3,0)*0.475*44/12</f>
        <v>3.0890175072955057</v>
      </c>
      <c r="CM109" s="21">
        <f>EXP(-LN(2)/2)*CM108+(1-EXP(-LN(2)/2))/(LN(2)/2)*CG109*CJ109*VLOOKUP('Données projet'!$B$12,Paramètres!$A$1:$I$89,3,0)*0.475*44/12</f>
        <v>1.0502567085770397E-10</v>
      </c>
      <c r="CN109" s="22">
        <f t="shared" si="66"/>
        <v>3.9582419037231893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5.2</v>
      </c>
      <c r="CT109" s="12">
        <f>IF('Données projet'!$A$140&gt;35,CT108+CS109-DB108,IF(A109&lt;'Données projet'!$A$140,$CQ$205^A109,IF(A109='Données projet'!$A$140,'Données projet'!$B$140,CT108+CS109-DB108)))</f>
        <v>337.1999999999997</v>
      </c>
      <c r="CU109" s="17">
        <f>CT109*VLOOKUP('Données projet'!$B$13,Paramètres!$A$1:$I$89,3,0)*VLOOKUP('Données projet'!$B$13,Paramètres!$A$1:$I$89,5,0)</f>
        <v>263.01599999999979</v>
      </c>
      <c r="CV109" s="13">
        <f t="shared" si="95"/>
        <v>63.364835111574173</v>
      </c>
      <c r="CW109" s="20">
        <f t="shared" si="67"/>
        <v>568.44662115265794</v>
      </c>
      <c r="CX109" s="59">
        <f t="shared" si="68"/>
        <v>861.77995448599131</v>
      </c>
      <c r="CY109" s="59">
        <f ca="1">AVERAGE(OFFSET($CX$3,0,0,'Données projet'!$E$13+1,1))-AVERAGE(OFFSET($H$3,0,0,'Données projet'!$E$13+1,1))</f>
        <v>261.59434871103355</v>
      </c>
      <c r="CZ109" s="59">
        <f t="shared" si="96"/>
        <v>194.97518096665976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0.46092796943981129</v>
      </c>
      <c r="DG109" s="21">
        <f>EXP(-LN(2)/25)*DG108+(1-EXP(-LN(2)/25))/(LN(2)/25)*Calculateur!DB109*Calculateur!DD109*VLOOKUP('Données projet'!$B$13,Paramètres!$A$1:$I$89,3,0)*0.475*44/12</f>
        <v>1.420779695085659</v>
      </c>
      <c r="DH109" s="21">
        <f>EXP(-LN(2)/2)*DH108+(1-EXP(-LN(2)/2))/(LN(2)/2)*DB109*DE109*VLOOKUP('Données projet'!$B$13,Paramètres!$A$1:$I$89,3,0)*0.475*44/12</f>
        <v>6.8181005248710174E-11</v>
      </c>
      <c r="DI109" s="22">
        <f t="shared" si="69"/>
        <v>1.8817076645936512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4.4000000000000004</v>
      </c>
      <c r="N110" s="13">
        <f>IF('Données projet'!$A$36&gt;35,N109+M110-V109,IF(A110&lt;'Données projet'!$A$36,$K$205^A110,IF(A110='Données projet'!$A$36,'Données projet'!$B$36,N109+M110-V109)))</f>
        <v>291.80000000000007</v>
      </c>
      <c r="O110" s="13">
        <f>N110*VLOOKUP('Données projet'!$B$9,Paramètres!$A$1:$I$89,3,0)*VLOOKUP('Données projet'!$B$9,Paramètres!$A$1:$I$89,5,0)</f>
        <v>264.02064000000007</v>
      </c>
      <c r="P110" s="13">
        <f t="shared" si="87"/>
        <v>63.578648990959174</v>
      </c>
      <c r="Q110" s="20">
        <f t="shared" si="107"/>
        <v>570.56876165925394</v>
      </c>
      <c r="R110" s="59">
        <f t="shared" si="55"/>
        <v>863.90209499258731</v>
      </c>
      <c r="S110" s="59">
        <f ca="1">AVERAGE(OFFSET($R$3,0,0,'Données projet'!$E$9+1,1))-AVERAGE(OFFSET($H$3,0,0,'Données projet'!$E$9+1,1))</f>
        <v>237.22177246688199</v>
      </c>
      <c r="T110" s="59">
        <f t="shared" si="88"/>
        <v>149.27472147904302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</v>
      </c>
      <c r="AA110" s="21">
        <f>EXP(-LN(2)/25)*AA109+(1-EXP(-LN(2)/25))/(LN(2)/25)*Calculateur!V110*Calculateur!X110*VLOOKUP('Données projet'!$B$9,Paramètres!$A$1:$I$89,3,0)*0.475*44/12</f>
        <v>0.36729956979262562</v>
      </c>
      <c r="AB110" s="21">
        <f>EXP(-LN(2)/2)*AB109+(1-EXP(-LN(2)/2))/(LN(2)/2)*V110*Y110*VLOOKUP('Données projet'!$B$9,Paramètres!$A$1:$I$89,3,0)*0.475*44/12</f>
        <v>1.5921722802845577E-11</v>
      </c>
      <c r="AC110" s="22">
        <f t="shared" si="57"/>
        <v>0.36729956980854733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243.38048563215585</v>
      </c>
      <c r="AO110" s="59">
        <f t="shared" si="90"/>
        <v>372.1604147006675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1.5906508749028405</v>
      </c>
      <c r="AV110" s="21">
        <f>EXP(-LN(2)/25)*AV109+(1-EXP(-LN(2)/25))/(LN(2)/25)*Calculateur!AQ110*Calculateur!AS110*VLOOKUP('Données projet'!$B$10,Paramètres!$A$1:$I$89,3,0)*0.475*44/12</f>
        <v>2.289746696767919</v>
      </c>
      <c r="AW110" s="21">
        <f>EXP(-LN(2)/2)*AW109+(1-EXP(-LN(2)/2))/(LN(2)/2)*AQ110*AT110*VLOOKUP('Données projet'!$B$10,Paramètres!$A$1:$I$89,3,0)*0.475*44/12</f>
        <v>7.5410907112012496E-11</v>
      </c>
      <c r="AX110" s="21">
        <f t="shared" si="60"/>
        <v>3.8803975717461703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-5.6843418860808015E-13</v>
      </c>
      <c r="BE110" s="13">
        <f>BD110*VLOOKUP('Données projet'!$B$11,Paramètres!$A$1:$I$89,3,0)*VLOOKUP('Données projet'!$B$11,Paramètres!$A$1:$I$89,5,0)</f>
        <v>-3.177547114319168E-13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326.31232746914907</v>
      </c>
      <c r="BJ110" s="59">
        <f t="shared" si="92"/>
        <v>330.17137761430297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0.99415679681427593</v>
      </c>
      <c r="BQ110" s="21">
        <f>EXP(-LN(2)/25)*BQ109+(1-EXP(-LN(2)/25))/(LN(2)/25)*Calculateur!BL110*Calculateur!BN110*VLOOKUP('Données projet'!$B$11,Paramètres!$A$1:$I$89,3,0)*0.475*44/12</f>
        <v>3.5681685542130057</v>
      </c>
      <c r="BR110" s="21">
        <f>EXP(-LN(2)/2)*BR109+(1-EXP(-LN(2)/2))/(LN(2)/2)*BL110*BO110*VLOOKUP('Données projet'!$B$11,Paramètres!$A$1:$I$89,3,0)*0.475*44/12</f>
        <v>8.366110423624528E-11</v>
      </c>
      <c r="BS110" s="22">
        <f t="shared" si="63"/>
        <v>4.5623253511109425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-2.2737367544323206E-13</v>
      </c>
      <c r="BZ110" s="13">
        <f>BY110*VLOOKUP('Données projet'!$B$12,Paramètres!$A$1:$I$89,3,0)*VLOOKUP('Données projet'!$B$12,Paramètres!$A$1:$I$89,5,0)</f>
        <v>-1.8089849618263545E-13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314.94704727988847</v>
      </c>
      <c r="CE110" s="59">
        <f t="shared" si="94"/>
        <v>366.49199094166454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0.85217943608530211</v>
      </c>
      <c r="CL110" s="21">
        <f>EXP(-LN(2)/25)*CL109+(1-EXP(-LN(2)/25))/(LN(2)/25)*Calculateur!CG110*Calculateur!CI110*VLOOKUP('Données projet'!$B$12,Paramètres!$A$1:$I$89,3,0)*0.475*44/12</f>
        <v>3.0045481611141396</v>
      </c>
      <c r="CM110" s="21">
        <f>EXP(-LN(2)/2)*CM109+(1-EXP(-LN(2)/2))/(LN(2)/2)*CG110*CJ110*VLOOKUP('Données projet'!$B$12,Paramètres!$A$1:$I$89,3,0)*0.475*44/12</f>
        <v>7.4264364062148842E-11</v>
      </c>
      <c r="CN110" s="22">
        <f t="shared" si="66"/>
        <v>3.8567275972737058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5.2</v>
      </c>
      <c r="CT110" s="12">
        <f>IF('Données projet'!$A$140&gt;35,CT109+CS110-DB109,IF(A110&lt;'Données projet'!$A$140,$CQ$205^A110,IF(A110='Données projet'!$A$140,'Données projet'!$B$140,CT109+CS110-DB109)))</f>
        <v>342.39999999999969</v>
      </c>
      <c r="CU110" s="17">
        <f>CT110*VLOOKUP('Données projet'!$B$13,Paramètres!$A$1:$I$89,3,0)*VLOOKUP('Données projet'!$B$13,Paramètres!$A$1:$I$89,5,0)</f>
        <v>267.07199999999978</v>
      </c>
      <c r="CV110" s="13">
        <f t="shared" si="95"/>
        <v>64.227480006516515</v>
      </c>
      <c r="CW110" s="20">
        <f t="shared" si="67"/>
        <v>577.01326101134919</v>
      </c>
      <c r="CX110" s="59">
        <f t="shared" si="68"/>
        <v>870.34659434468244</v>
      </c>
      <c r="CY110" s="59">
        <f ca="1">AVERAGE(OFFSET($CX$3,0,0,'Données projet'!$E$13+1,1))-AVERAGE(OFFSET($H$3,0,0,'Données projet'!$E$13+1,1))</f>
        <v>261.59434871103355</v>
      </c>
      <c r="CZ110" s="59">
        <f t="shared" si="96"/>
        <v>194.97518096665976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0.45188945309739786</v>
      </c>
      <c r="DG110" s="21">
        <f>EXP(-LN(2)/25)*DG109+(1-EXP(-LN(2)/25))/(LN(2)/25)*Calculateur!DB110*Calculateur!DD110*VLOOKUP('Données projet'!$B$13,Paramètres!$A$1:$I$89,3,0)*0.475*44/12</f>
        <v>1.3819283996079847</v>
      </c>
      <c r="DH110" s="21">
        <f>EXP(-LN(2)/2)*DH109+(1-EXP(-LN(2)/2))/(LN(2)/2)*DB110*DE110*VLOOKUP('Données projet'!$B$13,Paramètres!$A$1:$I$89,3,0)*0.475*44/12</f>
        <v>4.8211251159478554E-11</v>
      </c>
      <c r="DI110" s="22">
        <f t="shared" si="69"/>
        <v>1.8338178527535938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4.4000000000000004</v>
      </c>
      <c r="N111" s="13">
        <f>IF('Données projet'!$A$36&gt;35,N110+M111-V110,IF(A111&lt;'Données projet'!$A$36,$K$205^A111,IF(A111='Données projet'!$A$36,'Données projet'!$B$36,N110+M111-V110)))</f>
        <v>296.20000000000005</v>
      </c>
      <c r="O111" s="13">
        <f>N111*VLOOKUP('Données projet'!$B$9,Paramètres!$A$1:$I$89,3,0)*VLOOKUP('Données projet'!$B$9,Paramètres!$A$1:$I$89,5,0)</f>
        <v>268.00176000000005</v>
      </c>
      <c r="P111" s="13">
        <f t="shared" si="87"/>
        <v>64.425009159185578</v>
      </c>
      <c r="Q111" s="20">
        <f t="shared" si="107"/>
        <v>578.97662295224825</v>
      </c>
      <c r="R111" s="59">
        <f t="shared" si="55"/>
        <v>872.30995628558162</v>
      </c>
      <c r="S111" s="59">
        <f ca="1">AVERAGE(OFFSET($R$3,0,0,'Données projet'!$E$9+1,1))-AVERAGE(OFFSET($H$3,0,0,'Données projet'!$E$9+1,1))</f>
        <v>237.22177246688199</v>
      </c>
      <c r="T111" s="59">
        <f t="shared" si="88"/>
        <v>149.27472147904302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</v>
      </c>
      <c r="AA111" s="21">
        <f>EXP(-LN(2)/25)*AA110+(1-EXP(-LN(2)/25))/(LN(2)/25)*Calculateur!V111*Calculateur!X111*VLOOKUP('Données projet'!$B$9,Paramètres!$A$1:$I$89,3,0)*0.475*44/12</f>
        <v>0.35725574374120139</v>
      </c>
      <c r="AB111" s="21">
        <f>EXP(-LN(2)/2)*AB110+(1-EXP(-LN(2)/2))/(LN(2)/2)*V111*Y111*VLOOKUP('Données projet'!$B$9,Paramètres!$A$1:$I$89,3,0)*0.475*44/12</f>
        <v>1.1258358162064591E-11</v>
      </c>
      <c r="AC111" s="22">
        <f t="shared" si="57"/>
        <v>0.35725574375245978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243.38048563215585</v>
      </c>
      <c r="AO111" s="59">
        <f t="shared" si="90"/>
        <v>372.1604147006675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1.5594591814472301</v>
      </c>
      <c r="AV111" s="21">
        <f>EXP(-LN(2)/25)*AV110+(1-EXP(-LN(2)/25))/(LN(2)/25)*Calculateur!AQ111*Calculateur!AS111*VLOOKUP('Données projet'!$B$10,Paramètres!$A$1:$I$89,3,0)*0.475*44/12</f>
        <v>2.2271334529322546</v>
      </c>
      <c r="AW111" s="21">
        <f>EXP(-LN(2)/2)*AW110+(1-EXP(-LN(2)/2))/(LN(2)/2)*AQ111*AT111*VLOOKUP('Données projet'!$B$10,Paramètres!$A$1:$I$89,3,0)*0.475*44/12</f>
        <v>5.3323563794332881E-11</v>
      </c>
      <c r="AX111" s="21">
        <f t="shared" si="60"/>
        <v>3.7865926344328082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-5.6843418860808015E-13</v>
      </c>
      <c r="BE111" s="13">
        <f>BD111*VLOOKUP('Données projet'!$B$11,Paramètres!$A$1:$I$89,3,0)*VLOOKUP('Données projet'!$B$11,Paramètres!$A$1:$I$89,5,0)</f>
        <v>-3.177547114319168E-13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326.31232746914907</v>
      </c>
      <c r="BJ111" s="59">
        <f t="shared" si="92"/>
        <v>330.17137761430297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0.97466198840451945</v>
      </c>
      <c r="BQ111" s="21">
        <f>EXP(-LN(2)/25)*BQ110+(1-EXP(-LN(2)/25))/(LN(2)/25)*Calculateur!BL111*Calculateur!BN111*VLOOKUP('Données projet'!$B$11,Paramètres!$A$1:$I$89,3,0)*0.475*44/12</f>
        <v>3.470596797456222</v>
      </c>
      <c r="BR111" s="21">
        <f>EXP(-LN(2)/2)*BR110+(1-EXP(-LN(2)/2))/(LN(2)/2)*BL111*BO111*VLOOKUP('Données projet'!$B$11,Paramètres!$A$1:$I$89,3,0)*0.475*44/12</f>
        <v>5.9157334127003636E-11</v>
      </c>
      <c r="BS111" s="22">
        <f t="shared" si="63"/>
        <v>4.4452587859198989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-2.2737367544323206E-13</v>
      </c>
      <c r="BZ111" s="13">
        <f>BY111*VLOOKUP('Données projet'!$B$12,Paramètres!$A$1:$I$89,3,0)*VLOOKUP('Données projet'!$B$12,Paramètres!$A$1:$I$89,5,0)</f>
        <v>-1.8089849618263545E-13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314.94704727988847</v>
      </c>
      <c r="CE111" s="59">
        <f t="shared" si="94"/>
        <v>366.49199094166454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0.83546871712180149</v>
      </c>
      <c r="CL111" s="21">
        <f>EXP(-LN(2)/25)*CL110+(1-EXP(-LN(2)/25))/(LN(2)/25)*Calculateur!CG111*Calculateur!CI111*VLOOKUP('Données projet'!$B$12,Paramètres!$A$1:$I$89,3,0)*0.475*44/12</f>
        <v>2.9223886336461526</v>
      </c>
      <c r="CM111" s="21">
        <f>EXP(-LN(2)/2)*CM110+(1-EXP(-LN(2)/2))/(LN(2)/2)*CG111*CJ111*VLOOKUP('Données projet'!$B$12,Paramètres!$A$1:$I$89,3,0)*0.475*44/12</f>
        <v>5.2512835428851985E-11</v>
      </c>
      <c r="CN111" s="22">
        <f t="shared" si="66"/>
        <v>3.7578573508204669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5.2</v>
      </c>
      <c r="CT111" s="12">
        <f>IF('Données projet'!$A$140&gt;35,CT110+CS111-DB110,IF(A111&lt;'Données projet'!$A$140,$CQ$205^A111,IF(A111='Données projet'!$A$140,'Données projet'!$B$140,CT110+CS111-DB110)))</f>
        <v>347.59999999999968</v>
      </c>
      <c r="CU111" s="17">
        <f>CT111*VLOOKUP('Données projet'!$B$13,Paramètres!$A$1:$I$89,3,0)*VLOOKUP('Données projet'!$B$13,Paramètres!$A$1:$I$89,5,0)</f>
        <v>271.12799999999976</v>
      </c>
      <c r="CV111" s="13">
        <f t="shared" si="95"/>
        <v>65.088601240045222</v>
      </c>
      <c r="CW111" s="20">
        <f t="shared" si="67"/>
        <v>585.57724715974496</v>
      </c>
      <c r="CX111" s="59">
        <f t="shared" si="68"/>
        <v>878.91058049307821</v>
      </c>
      <c r="CY111" s="59">
        <f ca="1">AVERAGE(OFFSET($CX$3,0,0,'Données projet'!$E$13+1,1))-AVERAGE(OFFSET($H$3,0,0,'Données projet'!$E$13+1,1))</f>
        <v>261.59434871103355</v>
      </c>
      <c r="CZ111" s="59">
        <f t="shared" si="96"/>
        <v>194.97518096665976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0.44302817654750853</v>
      </c>
      <c r="DG111" s="21">
        <f>EXP(-LN(2)/25)*DG110+(1-EXP(-LN(2)/25))/(LN(2)/25)*Calculateur!DB111*Calculateur!DD111*VLOOKUP('Données projet'!$B$13,Paramètres!$A$1:$I$89,3,0)*0.475*44/12</f>
        <v>1.3441394948482484</v>
      </c>
      <c r="DH111" s="21">
        <f>EXP(-LN(2)/2)*DH110+(1-EXP(-LN(2)/2))/(LN(2)/2)*DB111*DE111*VLOOKUP('Données projet'!$B$13,Paramètres!$A$1:$I$89,3,0)*0.475*44/12</f>
        <v>3.4090502624355087E-11</v>
      </c>
      <c r="DI111" s="22">
        <f t="shared" si="69"/>
        <v>1.7871676714298474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4.4000000000000004</v>
      </c>
      <c r="N112" s="13">
        <f>IF('Données projet'!$A$36&gt;35,N111+M112-V111,IF(A112&lt;'Données projet'!$A$36,$K$205^A112,IF(A112='Données projet'!$A$36,'Données projet'!$B$36,N111+M112-V111)))</f>
        <v>300.60000000000002</v>
      </c>
      <c r="O112" s="13">
        <f>N112*VLOOKUP('Données projet'!$B$9,Paramètres!$A$1:$I$89,3,0)*VLOOKUP('Données projet'!$B$9,Paramètres!$A$1:$I$89,5,0)</f>
        <v>271.98288000000002</v>
      </c>
      <c r="P112" s="13">
        <f t="shared" si="87"/>
        <v>65.269907092018755</v>
      </c>
      <c r="Q112" s="20">
        <f t="shared" si="107"/>
        <v>587.38193751859933</v>
      </c>
      <c r="R112" s="59">
        <f t="shared" si="55"/>
        <v>880.7152708519327</v>
      </c>
      <c r="S112" s="59">
        <f ca="1">AVERAGE(OFFSET($R$3,0,0,'Données projet'!$E$9+1,1))-AVERAGE(OFFSET($H$3,0,0,'Données projet'!$E$9+1,1))</f>
        <v>237.22177246688199</v>
      </c>
      <c r="T112" s="59">
        <f t="shared" si="88"/>
        <v>149.27472147904302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</v>
      </c>
      <c r="AA112" s="21">
        <f>EXP(-LN(2)/25)*AA111+(1-EXP(-LN(2)/25))/(LN(2)/25)*Calculateur!V112*Calculateur!X112*VLOOKUP('Données projet'!$B$9,Paramètres!$A$1:$I$89,3,0)*0.475*44/12</f>
        <v>0.3474865666413352</v>
      </c>
      <c r="AB112" s="21">
        <f>EXP(-LN(2)/2)*AB111+(1-EXP(-LN(2)/2))/(LN(2)/2)*V112*Y112*VLOOKUP('Données projet'!$B$9,Paramètres!$A$1:$I$89,3,0)*0.475*44/12</f>
        <v>7.9608614014227883E-12</v>
      </c>
      <c r="AC112" s="22">
        <f t="shared" si="57"/>
        <v>0.34748656664929606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243.38048563215585</v>
      </c>
      <c r="AO112" s="59">
        <f t="shared" si="90"/>
        <v>372.1604147006675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1.5288791380752298</v>
      </c>
      <c r="AV112" s="21">
        <f>EXP(-LN(2)/25)*AV111+(1-EXP(-LN(2)/25))/(LN(2)/25)*Calculateur!AQ112*Calculateur!AS112*VLOOKUP('Données projet'!$B$10,Paramètres!$A$1:$I$89,3,0)*0.475*44/12</f>
        <v>2.1662323715419638</v>
      </c>
      <c r="AW112" s="21">
        <f>EXP(-LN(2)/2)*AW111+(1-EXP(-LN(2)/2))/(LN(2)/2)*AQ112*AT112*VLOOKUP('Données projet'!$B$10,Paramètres!$A$1:$I$89,3,0)*0.475*44/12</f>
        <v>3.7705453556006248E-11</v>
      </c>
      <c r="AX112" s="21">
        <f t="shared" si="60"/>
        <v>3.695111509654899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-5.6843418860808015E-13</v>
      </c>
      <c r="BE112" s="13">
        <f>BD112*VLOOKUP('Données projet'!$B$11,Paramètres!$A$1:$I$89,3,0)*VLOOKUP('Données projet'!$B$11,Paramètres!$A$1:$I$89,5,0)</f>
        <v>-3.177547114319168E-13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326.31232746914907</v>
      </c>
      <c r="BJ112" s="59">
        <f t="shared" si="92"/>
        <v>330.17137761430297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0.95554946129701923</v>
      </c>
      <c r="BQ112" s="21">
        <f>EXP(-LN(2)/25)*BQ111+(1-EXP(-LN(2)/25))/(LN(2)/25)*Calculateur!BL112*Calculateur!BN112*VLOOKUP('Données projet'!$B$11,Paramètres!$A$1:$I$89,3,0)*0.475*44/12</f>
        <v>3.375693145519028</v>
      </c>
      <c r="BR112" s="21">
        <f>EXP(-LN(2)/2)*BR111+(1-EXP(-LN(2)/2))/(LN(2)/2)*BL112*BO112*VLOOKUP('Données projet'!$B$11,Paramètres!$A$1:$I$89,3,0)*0.475*44/12</f>
        <v>4.183055211812264E-11</v>
      </c>
      <c r="BS112" s="22">
        <f t="shared" si="63"/>
        <v>4.3312426068578782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-2.2737367544323206E-13</v>
      </c>
      <c r="BZ112" s="13">
        <f>BY112*VLOOKUP('Données projet'!$B$12,Paramètres!$A$1:$I$89,3,0)*VLOOKUP('Données projet'!$B$12,Paramètres!$A$1:$I$89,5,0)</f>
        <v>-1.8089849618263545E-13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314.94704727988847</v>
      </c>
      <c r="CE112" s="59">
        <f t="shared" si="94"/>
        <v>366.49199094166454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0.81908568516464297</v>
      </c>
      <c r="CL112" s="21">
        <f>EXP(-LN(2)/25)*CL111+(1-EXP(-LN(2)/25))/(LN(2)/25)*Calculateur!CG112*Calculateur!CI112*VLOOKUP('Données projet'!$B$12,Paramètres!$A$1:$I$89,3,0)*0.475*44/12</f>
        <v>2.8424757627773594</v>
      </c>
      <c r="CM112" s="21">
        <f>EXP(-LN(2)/2)*CM111+(1-EXP(-LN(2)/2))/(LN(2)/2)*CG112*CJ112*VLOOKUP('Données projet'!$B$12,Paramètres!$A$1:$I$89,3,0)*0.475*44/12</f>
        <v>3.7132182031074421E-11</v>
      </c>
      <c r="CN112" s="22">
        <f t="shared" si="66"/>
        <v>3.6615614479791345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5.2</v>
      </c>
      <c r="CT112" s="12">
        <f>IF('Données projet'!$A$140&gt;35,CT111+CS112-DB111,IF(A112&lt;'Données projet'!$A$140,$CQ$205^A112,IF(A112='Données projet'!$A$140,'Données projet'!$B$140,CT111+CS112-DB111)))</f>
        <v>352.79999999999967</v>
      </c>
      <c r="CU112" s="17">
        <f>CT112*VLOOKUP('Données projet'!$B$13,Paramètres!$A$1:$I$89,3,0)*VLOOKUP('Données projet'!$B$13,Paramètres!$A$1:$I$89,5,0)</f>
        <v>275.18399999999974</v>
      </c>
      <c r="CV112" s="13">
        <f t="shared" si="95"/>
        <v>65.948224238651022</v>
      </c>
      <c r="CW112" s="20">
        <f t="shared" si="67"/>
        <v>594.13862388231678</v>
      </c>
      <c r="CX112" s="59">
        <f t="shared" si="68"/>
        <v>887.47195721565004</v>
      </c>
      <c r="CY112" s="59">
        <f ca="1">AVERAGE(OFFSET($CX$3,0,0,'Données projet'!$E$13+1,1))-AVERAGE(OFFSET($H$3,0,0,'Données projet'!$E$13+1,1))</f>
        <v>261.59434871103355</v>
      </c>
      <c r="CZ112" s="59">
        <f t="shared" si="96"/>
        <v>194.97518096665976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0.43434066422591755</v>
      </c>
      <c r="DG112" s="21">
        <f>EXP(-LN(2)/25)*DG111+(1-EXP(-LN(2)/25))/(LN(2)/25)*Calculateur!DB112*Calculateur!DD112*VLOOKUP('Données projet'!$B$13,Paramètres!$A$1:$I$89,3,0)*0.475*44/12</f>
        <v>1.3073839296763989</v>
      </c>
      <c r="DH112" s="21">
        <f>EXP(-LN(2)/2)*DH111+(1-EXP(-LN(2)/2))/(LN(2)/2)*DB112*DE112*VLOOKUP('Données projet'!$B$13,Paramètres!$A$1:$I$89,3,0)*0.475*44/12</f>
        <v>2.4105625579739277E-11</v>
      </c>
      <c r="DI112" s="22">
        <f t="shared" si="69"/>
        <v>1.7417245939264221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305</v>
      </c>
      <c r="L113" s="12">
        <f>VLOOKUP(A113,'Données projet'!$A$35:$I$55,9,0)</f>
        <v>4.4000000000000004</v>
      </c>
      <c r="M113" s="12">
        <f t="array" ref="M113">INDEX(L:L,MIN(IF(ISNUMBER(L113:L309),ROW(L113:L309),"")))</f>
        <v>4.4000000000000004</v>
      </c>
      <c r="N113" s="13">
        <f>IF('Données projet'!$A$36&gt;35,N112+M113-V112,IF(A113&lt;'Données projet'!$A$36,$K$205^A113,IF(A113='Données projet'!$A$36,'Données projet'!$B$36,N112+M113-V112)))</f>
        <v>305</v>
      </c>
      <c r="O113" s="13">
        <f>N113*VLOOKUP('Données projet'!$B$9,Paramètres!$A$1:$I$89,3,0)*VLOOKUP('Données projet'!$B$9,Paramètres!$A$1:$I$89,5,0)</f>
        <v>275.964</v>
      </c>
      <c r="P113" s="13">
        <f t="shared" si="87"/>
        <v>66.113366665488911</v>
      </c>
      <c r="Q113" s="20">
        <f t="shared" si="107"/>
        <v>595.7847469423931</v>
      </c>
      <c r="R113" s="59">
        <f t="shared" si="55"/>
        <v>889.11808027572647</v>
      </c>
      <c r="S113" s="59">
        <f ca="1">AVERAGE(OFFSET($R$3,0,0,'Données projet'!$E$9+1,1))-AVERAGE(OFFSET($H$3,0,0,'Données projet'!$E$9+1,1))</f>
        <v>237.22177246688199</v>
      </c>
      <c r="T113" s="59">
        <f t="shared" si="88"/>
        <v>149.27472147904302</v>
      </c>
      <c r="U113" s="15">
        <f>IF(ISNA(VLOOKUP(A113,'Données projet'!$A$35:$I$55,3,0)),0,VLOOKUP(A113,'Données projet'!$A$35:$I$55,3,0))</f>
        <v>9</v>
      </c>
      <c r="V113" s="15">
        <f>IF(ISNA(VLOOKUP(A113,'Données projet'!$A$35:$I$55,4,0)),0,VLOOKUP(A113,'Données projet'!$A$35:$I$55,4,0))</f>
        <v>39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</v>
      </c>
      <c r="AA113" s="21">
        <f>EXP(-LN(2)/25)*AA112+(1-EXP(-LN(2)/25))/(LN(2)/25)*Calculateur!V113*Calculateur!X113*VLOOKUP('Données projet'!$B$9,Paramètres!$A$1:$I$89,3,0)*0.475*44/12</f>
        <v>0.33798452820300356</v>
      </c>
      <c r="AB113" s="21">
        <f>EXP(-LN(2)/2)*AB112+(1-EXP(-LN(2)/2))/(LN(2)/2)*V113*Y113*VLOOKUP('Données projet'!$B$9,Paramètres!$A$1:$I$89,3,0)*0.475*44/12</f>
        <v>5.6291790810322957E-12</v>
      </c>
      <c r="AC113" s="22">
        <f t="shared" si="57"/>
        <v>0.33798452820863273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243.38048563215585</v>
      </c>
      <c r="AO113" s="59">
        <f t="shared" si="90"/>
        <v>372.1604147006675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1.4988987507017697</v>
      </c>
      <c r="AV113" s="21">
        <f>EXP(-LN(2)/25)*AV112+(1-EXP(-LN(2)/25))/(LN(2)/25)*Calculateur!AQ113*Calculateur!AS113*VLOOKUP('Données projet'!$B$10,Paramètres!$A$1:$I$89,3,0)*0.475*44/12</f>
        <v>2.1069966334249393</v>
      </c>
      <c r="AW113" s="21">
        <f>EXP(-LN(2)/2)*AW112+(1-EXP(-LN(2)/2))/(LN(2)/2)*AQ113*AT113*VLOOKUP('Données projet'!$B$10,Paramètres!$A$1:$I$89,3,0)*0.475*44/12</f>
        <v>2.6661781897166441E-11</v>
      </c>
      <c r="AX113" s="21">
        <f t="shared" si="60"/>
        <v>3.6058953841533707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-5.6843418860808015E-13</v>
      </c>
      <c r="BE113" s="13">
        <f>BD113*VLOOKUP('Données projet'!$B$11,Paramètres!$A$1:$I$89,3,0)*VLOOKUP('Données projet'!$B$11,Paramètres!$A$1:$I$89,5,0)</f>
        <v>-3.177547114319168E-13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326.31232746914907</v>
      </c>
      <c r="BJ113" s="59">
        <f t="shared" si="92"/>
        <v>330.17137761430297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0.93681171918860662</v>
      </c>
      <c r="BQ113" s="21">
        <f>EXP(-LN(2)/25)*BQ112+(1-EXP(-LN(2)/25))/(LN(2)/25)*Calculateur!BL113*Calculateur!BN113*VLOOKUP('Données projet'!$B$11,Paramètres!$A$1:$I$89,3,0)*0.475*44/12</f>
        <v>3.2833846389348227</v>
      </c>
      <c r="BR113" s="21">
        <f>EXP(-LN(2)/2)*BR112+(1-EXP(-LN(2)/2))/(LN(2)/2)*BL113*BO113*VLOOKUP('Données projet'!$B$11,Paramètres!$A$1:$I$89,3,0)*0.475*44/12</f>
        <v>2.9578667063501818E-11</v>
      </c>
      <c r="BS113" s="22">
        <f t="shared" si="63"/>
        <v>4.2201963581530082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-2.2737367544323206E-13</v>
      </c>
      <c r="BZ113" s="13">
        <f>BY113*VLOOKUP('Données projet'!$B$12,Paramètres!$A$1:$I$89,3,0)*VLOOKUP('Données projet'!$B$12,Paramètres!$A$1:$I$89,5,0)</f>
        <v>-1.8089849618263545E-13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314.94704727988847</v>
      </c>
      <c r="CE113" s="59">
        <f t="shared" si="94"/>
        <v>366.49199094166454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0.80302391447150157</v>
      </c>
      <c r="CL113" s="21">
        <f>EXP(-LN(2)/25)*CL112+(1-EXP(-LN(2)/25))/(LN(2)/25)*Calculateur!CG113*Calculateur!CI113*VLOOKUP('Données projet'!$B$12,Paramètres!$A$1:$I$89,3,0)*0.475*44/12</f>
        <v>2.7647481135649086</v>
      </c>
      <c r="CM113" s="21">
        <f>EXP(-LN(2)/2)*CM112+(1-EXP(-LN(2)/2))/(LN(2)/2)*CG113*CJ113*VLOOKUP('Données projet'!$B$12,Paramètres!$A$1:$I$89,3,0)*0.475*44/12</f>
        <v>2.6256417714425993E-11</v>
      </c>
      <c r="CN113" s="22">
        <f t="shared" si="66"/>
        <v>3.5677720280626666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>
        <f>VLOOKUP(A113,'Données projet'!$A$139:$I$159,2,0)</f>
        <v>358</v>
      </c>
      <c r="CR113" s="12">
        <f>VLOOKUP(A113,'Données projet'!$A$139:$I$159,9,0)</f>
        <v>5.2</v>
      </c>
      <c r="CS113" s="12">
        <f t="array" ref="CS113">INDEX(CR:CR,MIN(IF(ISNUMBER(CR113:CR309),ROW(CR113:CR309),"")))</f>
        <v>5.2</v>
      </c>
      <c r="CT113" s="12">
        <f>IF('Données projet'!$A$140&gt;35,CT112+CS113-DB112,IF(A113&lt;'Données projet'!$A$140,$CQ$205^A113,IF(A113='Données projet'!$A$140,'Données projet'!$B$140,CT112+CS113-DB112)))</f>
        <v>357.99999999999966</v>
      </c>
      <c r="CU113" s="17">
        <f>CT113*VLOOKUP('Données projet'!$B$13,Paramètres!$A$1:$I$89,3,0)*VLOOKUP('Données projet'!$B$13,Paramètres!$A$1:$I$89,5,0)</f>
        <v>279.23999999999972</v>
      </c>
      <c r="CV113" s="13">
        <f t="shared" si="95"/>
        <v>66.80637363626235</v>
      </c>
      <c r="CW113" s="20">
        <f t="shared" si="67"/>
        <v>602.69743408315639</v>
      </c>
      <c r="CX113" s="59">
        <f t="shared" si="68"/>
        <v>896.03076741648965</v>
      </c>
      <c r="CY113" s="59">
        <f ca="1">AVERAGE(OFFSET($CX$3,0,0,'Données projet'!$E$13+1,1))-AVERAGE(OFFSET($H$3,0,0,'Données projet'!$E$13+1,1))</f>
        <v>261.59434871103355</v>
      </c>
      <c r="CZ113" s="59">
        <f t="shared" si="96"/>
        <v>194.97518096665976</v>
      </c>
      <c r="DA113" s="15">
        <f>IF(ISNA(VLOOKUP(A113,'Données projet'!$A$139:$I$159,3,0)),0,VLOOKUP(A113,'Données projet'!$A$139:$I$159,3,0))</f>
        <v>10</v>
      </c>
      <c r="DB113" s="15">
        <f>IF(ISNA(VLOOKUP(A113,'Données projet'!$A$139:$I$159,4,0)),0,VLOOKUP(A113,'Données projet'!$A$139:$I$159,4,0))</f>
        <v>51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0.42582350872209362</v>
      </c>
      <c r="DG113" s="21">
        <f>EXP(-LN(2)/25)*DG112+(1-EXP(-LN(2)/25))/(LN(2)/25)*Calculateur!DB113*Calculateur!DD113*VLOOKUP('Données projet'!$B$13,Paramètres!$A$1:$I$89,3,0)*0.475*44/12</f>
        <v>1.271633447367065</v>
      </c>
      <c r="DH113" s="21">
        <f>EXP(-LN(2)/2)*DH112+(1-EXP(-LN(2)/2))/(LN(2)/2)*DB113*DE113*VLOOKUP('Données projet'!$B$13,Paramètres!$A$1:$I$89,3,0)*0.475*44/12</f>
        <v>1.7045251312177544E-11</v>
      </c>
      <c r="DI113" s="22">
        <f t="shared" si="69"/>
        <v>1.6974569561062038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3.7</v>
      </c>
      <c r="N114" s="13">
        <f>IF('Données projet'!$A$36&gt;35,N113+M114-V113,IF(A114&lt;'Données projet'!$A$36,$K$205^A114,IF(A114='Données projet'!$A$36,'Données projet'!$B$36,N113+M114-V113)))</f>
        <v>269.7</v>
      </c>
      <c r="O114" s="13">
        <f>N114*VLOOKUP('Données projet'!$B$9,Paramètres!$A$1:$I$89,3,0)*VLOOKUP('Données projet'!$B$9,Paramètres!$A$1:$I$89,5,0)</f>
        <v>244.02455999999998</v>
      </c>
      <c r="P114" s="13">
        <f t="shared" si="87"/>
        <v>59.304594314969279</v>
      </c>
      <c r="Q114" s="20">
        <f t="shared" si="107"/>
        <v>528.29827709857148</v>
      </c>
      <c r="R114" s="59">
        <f t="shared" si="55"/>
        <v>821.63161043190485</v>
      </c>
      <c r="S114" s="59">
        <f ca="1">AVERAGE(OFFSET($R$3,0,0,'Données projet'!$E$9+1,1))-AVERAGE(OFFSET($H$3,0,0,'Données projet'!$E$9+1,1))</f>
        <v>237.22177246688199</v>
      </c>
      <c r="T114" s="59">
        <f t="shared" si="88"/>
        <v>149.27472147904302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</v>
      </c>
      <c r="AA114" s="21">
        <f>EXP(-LN(2)/25)*AA113+(1-EXP(-LN(2)/25))/(LN(2)/25)*Calculateur!V114*Calculateur!X114*VLOOKUP('Données projet'!$B$9,Paramètres!$A$1:$I$89,3,0)*0.475*44/12</f>
        <v>0.32874232350545857</v>
      </c>
      <c r="AB114" s="21">
        <f>EXP(-LN(2)/2)*AB113+(1-EXP(-LN(2)/2))/(LN(2)/2)*V114*Y114*VLOOKUP('Données projet'!$B$9,Paramètres!$A$1:$I$89,3,0)*0.475*44/12</f>
        <v>3.9804307007113941E-12</v>
      </c>
      <c r="AC114" s="22">
        <f t="shared" si="57"/>
        <v>0.32874232350943899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243.38048563215585</v>
      </c>
      <c r="AO114" s="59">
        <f t="shared" si="90"/>
        <v>372.1604147006675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1.4695062604384723</v>
      </c>
      <c r="AV114" s="21">
        <f>EXP(-LN(2)/25)*AV113+(1-EXP(-LN(2)/25))/(LN(2)/25)*Calculateur!AQ114*Calculateur!AS114*VLOOKUP('Données projet'!$B$10,Paramètres!$A$1:$I$89,3,0)*0.475*44/12</f>
        <v>2.0493806996817971</v>
      </c>
      <c r="AW114" s="21">
        <f>EXP(-LN(2)/2)*AW113+(1-EXP(-LN(2)/2))/(LN(2)/2)*AQ114*AT114*VLOOKUP('Données projet'!$B$10,Paramètres!$A$1:$I$89,3,0)*0.475*44/12</f>
        <v>1.8852726778003124E-11</v>
      </c>
      <c r="AX114" s="21">
        <f t="shared" si="60"/>
        <v>3.5188869601391226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-5.6843418860808015E-13</v>
      </c>
      <c r="BE114" s="13">
        <f>BD114*VLOOKUP('Données projet'!$B$11,Paramètres!$A$1:$I$89,3,0)*VLOOKUP('Données projet'!$B$11,Paramètres!$A$1:$I$89,5,0)</f>
        <v>-3.177547114319168E-13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326.31232746914907</v>
      </c>
      <c r="BJ114" s="59">
        <f t="shared" si="92"/>
        <v>330.17137761430297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0.91844141277404578</v>
      </c>
      <c r="BQ114" s="21">
        <f>EXP(-LN(2)/25)*BQ113+(1-EXP(-LN(2)/25))/(LN(2)/25)*Calculateur!BL114*Calculateur!BN114*VLOOKUP('Données projet'!$B$11,Paramètres!$A$1:$I$89,3,0)*0.475*44/12</f>
        <v>3.193600313317456</v>
      </c>
      <c r="BR114" s="21">
        <f>EXP(-LN(2)/2)*BR113+(1-EXP(-LN(2)/2))/(LN(2)/2)*BL114*BO114*VLOOKUP('Données projet'!$B$11,Paramètres!$A$1:$I$89,3,0)*0.475*44/12</f>
        <v>2.091527605906132E-11</v>
      </c>
      <c r="BS114" s="22">
        <f t="shared" si="63"/>
        <v>4.1120417261124178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-2.2737367544323206E-13</v>
      </c>
      <c r="BZ114" s="13">
        <f>BY114*VLOOKUP('Données projet'!$B$12,Paramètres!$A$1:$I$89,3,0)*VLOOKUP('Données projet'!$B$12,Paramètres!$A$1:$I$89,5,0)</f>
        <v>-1.8089849618263545E-13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314.94704727988847</v>
      </c>
      <c r="CE114" s="59">
        <f t="shared" si="94"/>
        <v>366.49199094166454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0.78727710530493988</v>
      </c>
      <c r="CL114" s="21">
        <f>EXP(-LN(2)/25)*CL113+(1-EXP(-LN(2)/25))/(LN(2)/25)*Calculateur!CG114*Calculateur!CI114*VLOOKUP('Données projet'!$B$12,Paramètres!$A$1:$I$89,3,0)*0.475*44/12</f>
        <v>2.6891459310076917</v>
      </c>
      <c r="CM114" s="21">
        <f>EXP(-LN(2)/2)*CM113+(1-EXP(-LN(2)/2))/(LN(2)/2)*CG114*CJ114*VLOOKUP('Données projet'!$B$12,Paramètres!$A$1:$I$89,3,0)*0.475*44/12</f>
        <v>1.856609101553721E-11</v>
      </c>
      <c r="CN114" s="22">
        <f t="shared" si="66"/>
        <v>3.4764230363311976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5.4</v>
      </c>
      <c r="CT114" s="12">
        <f>IF('Données projet'!$A$140&gt;35,CT113+CS114-DB113,IF(A114&lt;'Données projet'!$A$140,$CQ$205^A114,IF(A114='Données projet'!$A$140,'Données projet'!$B$140,CT113+CS114-DB113)))</f>
        <v>312.39999999999964</v>
      </c>
      <c r="CU114" s="17">
        <f>CT114*VLOOKUP('Données projet'!$B$13,Paramètres!$A$1:$I$89,3,0)*VLOOKUP('Données projet'!$B$13,Paramètres!$A$1:$I$89,5,0)</f>
        <v>243.67199999999971</v>
      </c>
      <c r="CV114" s="13">
        <f t="shared" si="95"/>
        <v>59.228879636606095</v>
      </c>
      <c r="CW114" s="20">
        <f t="shared" si="67"/>
        <v>527.55236536708833</v>
      </c>
      <c r="CX114" s="59">
        <f t="shared" si="68"/>
        <v>820.8856987004217</v>
      </c>
      <c r="CY114" s="59">
        <f ca="1">AVERAGE(OFFSET($CX$3,0,0,'Données projet'!$E$13+1,1))-AVERAGE(OFFSET($H$3,0,0,'Données projet'!$E$13+1,1))</f>
        <v>261.59434871103355</v>
      </c>
      <c r="CZ114" s="59">
        <f t="shared" si="96"/>
        <v>194.97518096665976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0.41747336944274782</v>
      </c>
      <c r="DG114" s="21">
        <f>EXP(-LN(2)/25)*DG113+(1-EXP(-LN(2)/25))/(LN(2)/25)*Calculateur!DB114*Calculateur!DD114*VLOOKUP('Données projet'!$B$13,Paramètres!$A$1:$I$89,3,0)*0.475*44/12</f>
        <v>1.236860563876516</v>
      </c>
      <c r="DH114" s="21">
        <f>EXP(-LN(2)/2)*DH113+(1-EXP(-LN(2)/2))/(LN(2)/2)*DB114*DE114*VLOOKUP('Données projet'!$B$13,Paramètres!$A$1:$I$89,3,0)*0.475*44/12</f>
        <v>1.2052812789869638E-11</v>
      </c>
      <c r="DI114" s="22">
        <f t="shared" si="69"/>
        <v>1.6543339333313167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3.7</v>
      </c>
      <c r="N115" s="13">
        <f>IF('Données projet'!$A$36&gt;35,N114+M115-V114,IF(A115&lt;'Données projet'!$A$36,$K$205^A115,IF(A115='Données projet'!$A$36,'Données projet'!$B$36,N114+M115-V114)))</f>
        <v>273.39999999999998</v>
      </c>
      <c r="O115" s="13">
        <f>N115*VLOOKUP('Données projet'!$B$9,Paramètres!$A$1:$I$89,3,0)*VLOOKUP('Données projet'!$B$9,Paramètres!$A$1:$I$89,5,0)</f>
        <v>247.37231999999997</v>
      </c>
      <c r="P115" s="13">
        <f t="shared" si="87"/>
        <v>60.022917171131049</v>
      </c>
      <c r="Q115" s="20">
        <f t="shared" si="107"/>
        <v>535.38003807305324</v>
      </c>
      <c r="R115" s="59">
        <f t="shared" si="55"/>
        <v>828.71337140638661</v>
      </c>
      <c r="S115" s="59">
        <f ca="1">AVERAGE(OFFSET($R$3,0,0,'Données projet'!$E$9+1,1))-AVERAGE(OFFSET($H$3,0,0,'Données projet'!$E$9+1,1))</f>
        <v>237.22177246688199</v>
      </c>
      <c r="T115" s="59">
        <f t="shared" si="88"/>
        <v>149.27472147904302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</v>
      </c>
      <c r="AA115" s="21">
        <f>EXP(-LN(2)/25)*AA114+(1-EXP(-LN(2)/25))/(LN(2)/25)*Calculateur!V115*Calculateur!X115*VLOOKUP('Données projet'!$B$9,Paramètres!$A$1:$I$89,3,0)*0.475*44/12</f>
        <v>0.31975284738139437</v>
      </c>
      <c r="AB115" s="21">
        <f>EXP(-LN(2)/2)*AB114+(1-EXP(-LN(2)/2))/(LN(2)/2)*V115*Y115*VLOOKUP('Données projet'!$B$9,Paramètres!$A$1:$I$89,3,0)*0.475*44/12</f>
        <v>2.8145895405161479E-12</v>
      </c>
      <c r="AC115" s="22">
        <f t="shared" si="57"/>
        <v>0.31975284738420895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243.38048563215585</v>
      </c>
      <c r="AO115" s="59">
        <f t="shared" si="90"/>
        <v>372.1604147006675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1.4406901389815894</v>
      </c>
      <c r="AV115" s="21">
        <f>EXP(-LN(2)/25)*AV114+(1-EXP(-LN(2)/25))/(LN(2)/25)*Calculateur!AQ115*Calculateur!AS115*VLOOKUP('Données projet'!$B$10,Paramètres!$A$1:$I$89,3,0)*0.475*44/12</f>
        <v>1.9933402766767514</v>
      </c>
      <c r="AW115" s="21">
        <f>EXP(-LN(2)/2)*AW114+(1-EXP(-LN(2)/2))/(LN(2)/2)*AQ115*AT115*VLOOKUP('Données projet'!$B$10,Paramètres!$A$1:$I$89,3,0)*0.475*44/12</f>
        <v>1.333089094858322E-11</v>
      </c>
      <c r="AX115" s="21">
        <f t="shared" si="60"/>
        <v>3.4340304156716712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-5.6843418860808015E-13</v>
      </c>
      <c r="BE115" s="13">
        <f>BD115*VLOOKUP('Données projet'!$B$11,Paramètres!$A$1:$I$89,3,0)*VLOOKUP('Données projet'!$B$11,Paramètres!$A$1:$I$89,5,0)</f>
        <v>-3.177547114319168E-13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326.31232746914907</v>
      </c>
      <c r="BJ115" s="59">
        <f t="shared" si="92"/>
        <v>330.17137761430297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0.90043133686349397</v>
      </c>
      <c r="BQ115" s="21">
        <f>EXP(-LN(2)/25)*BQ114+(1-EXP(-LN(2)/25))/(LN(2)/25)*Calculateur!BL115*Calculateur!BN115*VLOOKUP('Données projet'!$B$11,Paramètres!$A$1:$I$89,3,0)*0.475*44/12</f>
        <v>3.1062711448056488</v>
      </c>
      <c r="BR115" s="21">
        <f>EXP(-LN(2)/2)*BR114+(1-EXP(-LN(2)/2))/(LN(2)/2)*BL115*BO115*VLOOKUP('Données projet'!$B$11,Paramètres!$A$1:$I$89,3,0)*0.475*44/12</f>
        <v>1.4789333531750909E-11</v>
      </c>
      <c r="BS115" s="22">
        <f t="shared" si="63"/>
        <v>4.0067024816839316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-2.2737367544323206E-13</v>
      </c>
      <c r="BZ115" s="13">
        <f>BY115*VLOOKUP('Données projet'!$B$12,Paramètres!$A$1:$I$89,3,0)*VLOOKUP('Données projet'!$B$12,Paramètres!$A$1:$I$89,5,0)</f>
        <v>-1.8089849618263545E-13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314.94704727988847</v>
      </c>
      <c r="CE115" s="59">
        <f t="shared" si="94"/>
        <v>366.49199094166454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0.77183908146152924</v>
      </c>
      <c r="CL115" s="21">
        <f>EXP(-LN(2)/25)*CL114+(1-EXP(-LN(2)/25))/(LN(2)/25)*Calculateur!CG115*Calculateur!CI115*VLOOKUP('Données projet'!$B$12,Paramètres!$A$1:$I$89,3,0)*0.475*44/12</f>
        <v>2.6156110941082482</v>
      </c>
      <c r="CM115" s="21">
        <f>EXP(-LN(2)/2)*CM114+(1-EXP(-LN(2)/2))/(LN(2)/2)*CG115*CJ115*VLOOKUP('Données projet'!$B$12,Paramètres!$A$1:$I$89,3,0)*0.475*44/12</f>
        <v>1.3128208857212996E-11</v>
      </c>
      <c r="CN115" s="22">
        <f t="shared" si="66"/>
        <v>3.3874501755829058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5.4</v>
      </c>
      <c r="CT115" s="12">
        <f>IF('Données projet'!$A$140&gt;35,CT114+CS115-DB114,IF(A115&lt;'Données projet'!$A$140,$CQ$205^A115,IF(A115='Données projet'!$A$140,'Données projet'!$B$140,CT114+CS115-DB114)))</f>
        <v>317.79999999999961</v>
      </c>
      <c r="CU115" s="17">
        <f>CT115*VLOOKUP('Données projet'!$B$13,Paramètres!$A$1:$I$89,3,0)*VLOOKUP('Données projet'!$B$13,Paramètres!$A$1:$I$89,5,0)</f>
        <v>247.8839999999997</v>
      </c>
      <c r="CV115" s="13">
        <f t="shared" si="95"/>
        <v>60.132607389383885</v>
      </c>
      <c r="CW115" s="20">
        <f t="shared" si="67"/>
        <v>536.46225786984303</v>
      </c>
      <c r="CX115" s="59">
        <f t="shared" si="68"/>
        <v>829.7955912031764</v>
      </c>
      <c r="CY115" s="59">
        <f ca="1">AVERAGE(OFFSET($CX$3,0,0,'Données projet'!$E$13+1,1))-AVERAGE(OFFSET($H$3,0,0,'Données projet'!$E$13+1,1))</f>
        <v>261.59434871103355</v>
      </c>
      <c r="CZ115" s="59">
        <f t="shared" si="96"/>
        <v>194.97518096665976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0.40928697130158792</v>
      </c>
      <c r="DG115" s="21">
        <f>EXP(-LN(2)/25)*DG114+(1-EXP(-LN(2)/25))/(LN(2)/25)*Calculateur!DB115*Calculateur!DD115*VLOOKUP('Données projet'!$B$13,Paramètres!$A$1:$I$89,3,0)*0.475*44/12</f>
        <v>1.2030385467136424</v>
      </c>
      <c r="DH115" s="21">
        <f>EXP(-LN(2)/2)*DH114+(1-EXP(-LN(2)/2))/(LN(2)/2)*DB115*DE115*VLOOKUP('Données projet'!$B$13,Paramètres!$A$1:$I$89,3,0)*0.475*44/12</f>
        <v>8.5226256560887718E-12</v>
      </c>
      <c r="DI115" s="22">
        <f t="shared" si="69"/>
        <v>1.6123255180237528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3.7</v>
      </c>
      <c r="N116" s="13">
        <f>IF('Données projet'!$A$36&gt;35,N115+M116-V115,IF(A116&lt;'Données projet'!$A$36,$K$205^A116,IF(A116='Données projet'!$A$36,'Données projet'!$B$36,N115+M116-V115)))</f>
        <v>277.09999999999997</v>
      </c>
      <c r="O116" s="13">
        <f>N116*VLOOKUP('Données projet'!$B$9,Paramètres!$A$1:$I$89,3,0)*VLOOKUP('Données projet'!$B$9,Paramètres!$A$1:$I$89,5,0)</f>
        <v>250.72007999999994</v>
      </c>
      <c r="P116" s="13">
        <f t="shared" si="87"/>
        <v>60.740109326032758</v>
      </c>
      <c r="Q116" s="20">
        <f t="shared" si="107"/>
        <v>542.45982974284027</v>
      </c>
      <c r="R116" s="59">
        <f t="shared" si="55"/>
        <v>835.79316307617364</v>
      </c>
      <c r="S116" s="59">
        <f ca="1">AVERAGE(OFFSET($R$3,0,0,'Données projet'!$E$9+1,1))-AVERAGE(OFFSET($H$3,0,0,'Données projet'!$E$9+1,1))</f>
        <v>237.22177246688199</v>
      </c>
      <c r="T116" s="59">
        <f t="shared" si="88"/>
        <v>149.27472147904302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</v>
      </c>
      <c r="AA116" s="21">
        <f>EXP(-LN(2)/25)*AA115+(1-EXP(-LN(2)/25))/(LN(2)/25)*Calculateur!V116*Calculateur!X116*VLOOKUP('Données projet'!$B$9,Paramètres!$A$1:$I$89,3,0)*0.475*44/12</f>
        <v>0.31100918895467872</v>
      </c>
      <c r="AB116" s="21">
        <f>EXP(-LN(2)/2)*AB115+(1-EXP(-LN(2)/2))/(LN(2)/2)*V116*Y116*VLOOKUP('Données projet'!$B$9,Paramètres!$A$1:$I$89,3,0)*0.475*44/12</f>
        <v>1.9902153503556971E-12</v>
      </c>
      <c r="AC116" s="22">
        <f t="shared" si="57"/>
        <v>0.31100918895666896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243.38048563215585</v>
      </c>
      <c r="AO116" s="59">
        <f t="shared" si="90"/>
        <v>372.1604147006675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1.4124390840903773</v>
      </c>
      <c r="AV116" s="21">
        <f>EXP(-LN(2)/25)*AV115+(1-EXP(-LN(2)/25))/(LN(2)/25)*Calculateur!AQ116*Calculateur!AS116*VLOOKUP('Données projet'!$B$10,Paramètres!$A$1:$I$89,3,0)*0.475*44/12</f>
        <v>1.9388322819858164</v>
      </c>
      <c r="AW116" s="21">
        <f>EXP(-LN(2)/2)*AW115+(1-EXP(-LN(2)/2))/(LN(2)/2)*AQ116*AT116*VLOOKUP('Données projet'!$B$10,Paramètres!$A$1:$I$89,3,0)*0.475*44/12</f>
        <v>9.426363389001562E-12</v>
      </c>
      <c r="AX116" s="21">
        <f t="shared" si="60"/>
        <v>3.3512713660856202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-5.6843418860808015E-13</v>
      </c>
      <c r="BE116" s="13">
        <f>BD116*VLOOKUP('Données projet'!$B$11,Paramètres!$A$1:$I$89,3,0)*VLOOKUP('Données projet'!$B$11,Paramètres!$A$1:$I$89,5,0)</f>
        <v>-3.177547114319168E-13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326.31232746914907</v>
      </c>
      <c r="BJ116" s="59">
        <f t="shared" si="92"/>
        <v>330.17137761430297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0.8827744275564865</v>
      </c>
      <c r="BQ116" s="21">
        <f>EXP(-LN(2)/25)*BQ115+(1-EXP(-LN(2)/25))/(LN(2)/25)*Calculateur!BL116*Calculateur!BN116*VLOOKUP('Données projet'!$B$11,Paramètres!$A$1:$I$89,3,0)*0.475*44/12</f>
        <v>3.0213299969992384</v>
      </c>
      <c r="BR116" s="21">
        <f>EXP(-LN(2)/2)*BR115+(1-EXP(-LN(2)/2))/(LN(2)/2)*BL116*BO116*VLOOKUP('Données projet'!$B$11,Paramètres!$A$1:$I$89,3,0)*0.475*44/12</f>
        <v>1.045763802953066E-11</v>
      </c>
      <c r="BS116" s="22">
        <f t="shared" si="63"/>
        <v>3.9041044245661829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-2.2737367544323206E-13</v>
      </c>
      <c r="BZ116" s="13">
        <f>BY116*VLOOKUP('Données projet'!$B$12,Paramètres!$A$1:$I$89,3,0)*VLOOKUP('Données projet'!$B$12,Paramètres!$A$1:$I$89,5,0)</f>
        <v>-1.8089849618263545E-13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314.94704727988847</v>
      </c>
      <c r="CE116" s="59">
        <f t="shared" si="94"/>
        <v>366.49199094166454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0.75670378784942316</v>
      </c>
      <c r="CL116" s="21">
        <f>EXP(-LN(2)/25)*CL115+(1-EXP(-LN(2)/25))/(LN(2)/25)*Calculateur!CG116*Calculateur!CI116*VLOOKUP('Données projet'!$B$12,Paramètres!$A$1:$I$89,3,0)*0.475*44/12</f>
        <v>2.544087071190849</v>
      </c>
      <c r="CM116" s="21">
        <f>EXP(-LN(2)/2)*CM115+(1-EXP(-LN(2)/2))/(LN(2)/2)*CG116*CJ116*VLOOKUP('Données projet'!$B$12,Paramètres!$A$1:$I$89,3,0)*0.475*44/12</f>
        <v>9.2830455077686052E-12</v>
      </c>
      <c r="CN116" s="22">
        <f t="shared" si="66"/>
        <v>3.3007908590495552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5.4</v>
      </c>
      <c r="CT116" s="12">
        <f>IF('Données projet'!$A$140&gt;35,CT115+CS116-DB115,IF(A116&lt;'Données projet'!$A$140,$CQ$205^A116,IF(A116='Données projet'!$A$140,'Données projet'!$B$140,CT115+CS116-DB115)))</f>
        <v>323.19999999999959</v>
      </c>
      <c r="CU116" s="17">
        <f>CT116*VLOOKUP('Données projet'!$B$13,Paramètres!$A$1:$I$89,3,0)*VLOOKUP('Données projet'!$B$13,Paramètres!$A$1:$I$89,5,0)</f>
        <v>252.09599999999969</v>
      </c>
      <c r="CV116" s="13">
        <f t="shared" si="95"/>
        <v>61.034549381925849</v>
      </c>
      <c r="CW116" s="20">
        <f t="shared" si="67"/>
        <v>545.36904017352026</v>
      </c>
      <c r="CX116" s="59">
        <f t="shared" si="68"/>
        <v>838.70237350685352</v>
      </c>
      <c r="CY116" s="59">
        <f ca="1">AVERAGE(OFFSET($CX$3,0,0,'Données projet'!$E$13+1,1))-AVERAGE(OFFSET($H$3,0,0,'Données projet'!$E$13+1,1))</f>
        <v>261.59434871103355</v>
      </c>
      <c r="CZ116" s="59">
        <f t="shared" si="96"/>
        <v>194.97518096665976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0.40126110343476634</v>
      </c>
      <c r="DG116" s="21">
        <f>EXP(-LN(2)/25)*DG115+(1-EXP(-LN(2)/25))/(LN(2)/25)*Calculateur!DB116*Calculateur!DD116*VLOOKUP('Données projet'!$B$13,Paramètres!$A$1:$I$89,3,0)*0.475*44/12</f>
        <v>1.1701413943887102</v>
      </c>
      <c r="DH116" s="21">
        <f>EXP(-LN(2)/2)*DH115+(1-EXP(-LN(2)/2))/(LN(2)/2)*DB116*DE116*VLOOKUP('Données projet'!$B$13,Paramètres!$A$1:$I$89,3,0)*0.475*44/12</f>
        <v>6.0264063949348192E-12</v>
      </c>
      <c r="DI116" s="22">
        <f t="shared" si="69"/>
        <v>1.5714024978295031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3.7</v>
      </c>
      <c r="N117" s="13">
        <f>IF('Données projet'!$A$36&gt;35,N116+M117-V116,IF(A117&lt;'Données projet'!$A$36,$K$205^A117,IF(A117='Données projet'!$A$36,'Données projet'!$B$36,N116+M117-V116)))</f>
        <v>280.79999999999995</v>
      </c>
      <c r="O117" s="13">
        <f>N117*VLOOKUP('Données projet'!$B$9,Paramètres!$A$1:$I$89,3,0)*VLOOKUP('Données projet'!$B$9,Paramètres!$A$1:$I$89,5,0)</f>
        <v>254.06783999999996</v>
      </c>
      <c r="P117" s="13">
        <f t="shared" si="87"/>
        <v>61.456187622750718</v>
      </c>
      <c r="Q117" s="20">
        <f t="shared" si="107"/>
        <v>549.53768144295748</v>
      </c>
      <c r="R117" s="59">
        <f t="shared" si="55"/>
        <v>842.87101477629085</v>
      </c>
      <c r="S117" s="59">
        <f ca="1">AVERAGE(OFFSET($R$3,0,0,'Données projet'!$E$9+1,1))-AVERAGE(OFFSET($H$3,0,0,'Données projet'!$E$9+1,1))</f>
        <v>237.22177246688199</v>
      </c>
      <c r="T117" s="59">
        <f t="shared" si="88"/>
        <v>149.27472147904302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</v>
      </c>
      <c r="AA117" s="21">
        <f>EXP(-LN(2)/25)*AA116+(1-EXP(-LN(2)/25))/(LN(2)/25)*Calculateur!V117*Calculateur!X117*VLOOKUP('Données projet'!$B$9,Paramètres!$A$1:$I$89,3,0)*0.475*44/12</f>
        <v>0.30250462632745062</v>
      </c>
      <c r="AB117" s="21">
        <f>EXP(-LN(2)/2)*AB116+(1-EXP(-LN(2)/2))/(LN(2)/2)*V117*Y117*VLOOKUP('Données projet'!$B$9,Paramètres!$A$1:$I$89,3,0)*0.475*44/12</f>
        <v>1.4072947702580739E-12</v>
      </c>
      <c r="AC117" s="22">
        <f t="shared" si="57"/>
        <v>0.30250462632885794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243.38048563215585</v>
      </c>
      <c r="AO117" s="59">
        <f t="shared" si="90"/>
        <v>372.1604147006675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1.3847420151541401</v>
      </c>
      <c r="AV117" s="21">
        <f>EXP(-LN(2)/25)*AV116+(1-EXP(-LN(2)/25))/(LN(2)/25)*Calculateur!AQ117*Calculateur!AS117*VLOOKUP('Données projet'!$B$10,Paramètres!$A$1:$I$89,3,0)*0.475*44/12</f>
        <v>1.8858148112761557</v>
      </c>
      <c r="AW117" s="21">
        <f>EXP(-LN(2)/2)*AW116+(1-EXP(-LN(2)/2))/(LN(2)/2)*AQ117*AT117*VLOOKUP('Données projet'!$B$10,Paramètres!$A$1:$I$89,3,0)*0.475*44/12</f>
        <v>6.6654454742916101E-12</v>
      </c>
      <c r="AX117" s="21">
        <f t="shared" si="60"/>
        <v>3.2705568264369611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-5.6843418860808015E-13</v>
      </c>
      <c r="BE117" s="13">
        <f>BD117*VLOOKUP('Données projet'!$B$11,Paramètres!$A$1:$I$89,3,0)*VLOOKUP('Données projet'!$B$11,Paramètres!$A$1:$I$89,5,0)</f>
        <v>-3.177547114319168E-13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326.31232746914907</v>
      </c>
      <c r="BJ117" s="59">
        <f t="shared" si="92"/>
        <v>330.17137761430297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0.86546375947133813</v>
      </c>
      <c r="BQ117" s="21">
        <f>EXP(-LN(2)/25)*BQ116+(1-EXP(-LN(2)/25))/(LN(2)/25)*Calculateur!BL117*Calculateur!BN117*VLOOKUP('Données projet'!$B$11,Paramètres!$A$1:$I$89,3,0)*0.475*44/12</f>
        <v>2.9387115693464549</v>
      </c>
      <c r="BR117" s="21">
        <f>EXP(-LN(2)/2)*BR116+(1-EXP(-LN(2)/2))/(LN(2)/2)*BL117*BO117*VLOOKUP('Données projet'!$B$11,Paramètres!$A$1:$I$89,3,0)*0.475*44/12</f>
        <v>7.3946667658754545E-12</v>
      </c>
      <c r="BS117" s="22">
        <f t="shared" si="63"/>
        <v>3.8041753288251878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-2.2737367544323206E-13</v>
      </c>
      <c r="BZ117" s="13">
        <f>BY117*VLOOKUP('Données projet'!$B$12,Paramètres!$A$1:$I$89,3,0)*VLOOKUP('Données projet'!$B$12,Paramètres!$A$1:$I$89,5,0)</f>
        <v>-1.8089849618263545E-13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314.94704727988847</v>
      </c>
      <c r="CE117" s="59">
        <f t="shared" si="94"/>
        <v>366.49199094166454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0.74186528811343289</v>
      </c>
      <c r="CL117" s="21">
        <f>EXP(-LN(2)/25)*CL116+(1-EXP(-LN(2)/25))/(LN(2)/25)*Calculateur!CG117*Calculateur!CI117*VLOOKUP('Données projet'!$B$12,Paramètres!$A$1:$I$89,3,0)*0.475*44/12</f>
        <v>2.4745188764414108</v>
      </c>
      <c r="CM117" s="21">
        <f>EXP(-LN(2)/2)*CM116+(1-EXP(-LN(2)/2))/(LN(2)/2)*CG117*CJ117*VLOOKUP('Données projet'!$B$12,Paramètres!$A$1:$I$89,3,0)*0.475*44/12</f>
        <v>6.5641044286064982E-12</v>
      </c>
      <c r="CN117" s="22">
        <f t="shared" si="66"/>
        <v>3.2163841645614077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5.4</v>
      </c>
      <c r="CT117" s="12">
        <f>IF('Données projet'!$A$140&gt;35,CT116+CS117-DB116,IF(A117&lt;'Données projet'!$A$140,$CQ$205^A117,IF(A117='Données projet'!$A$140,'Données projet'!$B$140,CT116+CS117-DB116)))</f>
        <v>328.59999999999957</v>
      </c>
      <c r="CU117" s="17">
        <f>CT117*VLOOKUP('Données projet'!$B$13,Paramètres!$A$1:$I$89,3,0)*VLOOKUP('Données projet'!$B$13,Paramètres!$A$1:$I$89,5,0)</f>
        <v>256.30799999999965</v>
      </c>
      <c r="CV117" s="13">
        <f t="shared" si="95"/>
        <v>61.934738894273792</v>
      </c>
      <c r="CW117" s="20">
        <f t="shared" si="67"/>
        <v>554.27277024085959</v>
      </c>
      <c r="CX117" s="59">
        <f t="shared" si="68"/>
        <v>847.60610357419296</v>
      </c>
      <c r="CY117" s="59">
        <f ca="1">AVERAGE(OFFSET($CX$3,0,0,'Données projet'!$E$13+1,1))-AVERAGE(OFFSET($H$3,0,0,'Données projet'!$E$13+1,1))</f>
        <v>261.59434871103355</v>
      </c>
      <c r="CZ117" s="59">
        <f t="shared" si="96"/>
        <v>194.97518096665976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0.39339261794151709</v>
      </c>
      <c r="DG117" s="21">
        <f>EXP(-LN(2)/25)*DG116+(1-EXP(-LN(2)/25))/(LN(2)/25)*Calculateur!DB117*Calculateur!DD117*VLOOKUP('Données projet'!$B$13,Paramètres!$A$1:$I$89,3,0)*0.475*44/12</f>
        <v>1.1381438164240893</v>
      </c>
      <c r="DH117" s="21">
        <f>EXP(-LN(2)/2)*DH116+(1-EXP(-LN(2)/2))/(LN(2)/2)*DB117*DE117*VLOOKUP('Données projet'!$B$13,Paramètres!$A$1:$I$89,3,0)*0.475*44/12</f>
        <v>4.2613128280443859E-12</v>
      </c>
      <c r="DI117" s="22">
        <f t="shared" si="69"/>
        <v>1.5315364343698676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3.7</v>
      </c>
      <c r="N118" s="13">
        <f>IF('Données projet'!$A$36&gt;35,N117+M118-V117,IF(A118&lt;'Données projet'!$A$36,$K$205^A118,IF(A118='Données projet'!$A$36,'Données projet'!$B$36,N117+M118-V117)))</f>
        <v>284.49999999999994</v>
      </c>
      <c r="O118" s="13">
        <f>N118*VLOOKUP('Données projet'!$B$9,Paramètres!$A$1:$I$89,3,0)*VLOOKUP('Données projet'!$B$9,Paramètres!$A$1:$I$89,5,0)</f>
        <v>257.41559999999993</v>
      </c>
      <c r="P118" s="13">
        <f t="shared" si="87"/>
        <v>62.171168434977119</v>
      </c>
      <c r="Q118" s="20">
        <f t="shared" si="107"/>
        <v>556.61362169091831</v>
      </c>
      <c r="R118" s="59">
        <f t="shared" si="55"/>
        <v>849.94695502425157</v>
      </c>
      <c r="S118" s="59">
        <f ca="1">AVERAGE(OFFSET($R$3,0,0,'Données projet'!$E$9+1,1))-AVERAGE(OFFSET($H$3,0,0,'Données projet'!$E$9+1,1))</f>
        <v>237.22177246688199</v>
      </c>
      <c r="T118" s="59">
        <f t="shared" si="88"/>
        <v>149.27472147904302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</v>
      </c>
      <c r="AA118" s="21">
        <f>EXP(-LN(2)/25)*AA117+(1-EXP(-LN(2)/25))/(LN(2)/25)*Calculateur!V118*Calculateur!X118*VLOOKUP('Données projet'!$B$9,Paramètres!$A$1:$I$89,3,0)*0.475*44/12</f>
        <v>0.29423262141249956</v>
      </c>
      <c r="AB118" s="21">
        <f>EXP(-LN(2)/2)*AB117+(1-EXP(-LN(2)/2))/(LN(2)/2)*V118*Y118*VLOOKUP('Données projet'!$B$9,Paramètres!$A$1:$I$89,3,0)*0.475*44/12</f>
        <v>9.9510767517784854E-13</v>
      </c>
      <c r="AC118" s="22">
        <f t="shared" si="57"/>
        <v>0.29423262141349465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243.38048563215585</v>
      </c>
      <c r="AO118" s="59">
        <f t="shared" si="90"/>
        <v>372.1604147006675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1.3575880688461983</v>
      </c>
      <c r="AV118" s="21">
        <f>EXP(-LN(2)/25)*AV117+(1-EXP(-LN(2)/25))/(LN(2)/25)*Calculateur!AQ118*Calculateur!AS118*VLOOKUP('Données projet'!$B$10,Paramètres!$A$1:$I$89,3,0)*0.475*44/12</f>
        <v>1.8342471060911183</v>
      </c>
      <c r="AW118" s="21">
        <f>EXP(-LN(2)/2)*AW117+(1-EXP(-LN(2)/2))/(LN(2)/2)*AQ118*AT118*VLOOKUP('Données projet'!$B$10,Paramètres!$A$1:$I$89,3,0)*0.475*44/12</f>
        <v>4.713181694500781E-12</v>
      </c>
      <c r="AX118" s="21">
        <f t="shared" si="60"/>
        <v>3.1918351749420295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-5.6843418860808015E-13</v>
      </c>
      <c r="BE118" s="13">
        <f>BD118*VLOOKUP('Données projet'!$B$11,Paramètres!$A$1:$I$89,3,0)*VLOOKUP('Données projet'!$B$11,Paramètres!$A$1:$I$89,5,0)</f>
        <v>-3.177547114319168E-13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326.31232746914907</v>
      </c>
      <c r="BJ118" s="59">
        <f t="shared" si="92"/>
        <v>330.17137761430297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0.84849254302887456</v>
      </c>
      <c r="BQ118" s="21">
        <f>EXP(-LN(2)/25)*BQ117+(1-EXP(-LN(2)/25))/(LN(2)/25)*Calculateur!BL118*Calculateur!BN118*VLOOKUP('Données projet'!$B$11,Paramètres!$A$1:$I$89,3,0)*0.475*44/12</f>
        <v>2.8583523469425511</v>
      </c>
      <c r="BR118" s="21">
        <f>EXP(-LN(2)/2)*BR117+(1-EXP(-LN(2)/2))/(LN(2)/2)*BL118*BO118*VLOOKUP('Données projet'!$B$11,Paramètres!$A$1:$I$89,3,0)*0.475*44/12</f>
        <v>5.22881901476533E-12</v>
      </c>
      <c r="BS118" s="22">
        <f t="shared" si="63"/>
        <v>3.7068448899766544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-2.2737367544323206E-13</v>
      </c>
      <c r="BZ118" s="13">
        <f>BY118*VLOOKUP('Données projet'!$B$12,Paramètres!$A$1:$I$89,3,0)*VLOOKUP('Données projet'!$B$12,Paramètres!$A$1:$I$89,5,0)</f>
        <v>-1.8089849618263545E-13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314.94704727988847</v>
      </c>
      <c r="CE118" s="59">
        <f t="shared" si="94"/>
        <v>366.49199094166454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0.72731776230667422</v>
      </c>
      <c r="CL118" s="21">
        <f>EXP(-LN(2)/25)*CL117+(1-EXP(-LN(2)/25))/(LN(2)/25)*Calculateur!CG118*Calculateur!CI118*VLOOKUP('Données projet'!$B$12,Paramètres!$A$1:$I$89,3,0)*0.475*44/12</f>
        <v>2.4068530276358282</v>
      </c>
      <c r="CM118" s="21">
        <f>EXP(-LN(2)/2)*CM117+(1-EXP(-LN(2)/2))/(LN(2)/2)*CG118*CJ118*VLOOKUP('Données projet'!$B$12,Paramètres!$A$1:$I$89,3,0)*0.475*44/12</f>
        <v>4.6415227538843026E-12</v>
      </c>
      <c r="CN118" s="22">
        <f t="shared" si="66"/>
        <v>3.1341707899471443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5.4</v>
      </c>
      <c r="CT118" s="12">
        <f>IF('Données projet'!$A$140&gt;35,CT117+CS118-DB117,IF(A118&lt;'Données projet'!$A$140,$CQ$205^A118,IF(A118='Données projet'!$A$140,'Données projet'!$B$140,CT117+CS118-DB117)))</f>
        <v>333.99999999999955</v>
      </c>
      <c r="CU118" s="17">
        <f>CT118*VLOOKUP('Données projet'!$B$13,Paramètres!$A$1:$I$89,3,0)*VLOOKUP('Données projet'!$B$13,Paramètres!$A$1:$I$89,5,0)</f>
        <v>260.51999999999964</v>
      </c>
      <c r="CV118" s="13">
        <f t="shared" si="95"/>
        <v>62.833208049955637</v>
      </c>
      <c r="CW118" s="20">
        <f t="shared" si="67"/>
        <v>563.17350402033878</v>
      </c>
      <c r="CX118" s="59">
        <f t="shared" si="68"/>
        <v>856.50683735367215</v>
      </c>
      <c r="CY118" s="59">
        <f ca="1">AVERAGE(OFFSET($CX$3,0,0,'Données projet'!$E$13+1,1))-AVERAGE(OFFSET($H$3,0,0,'Données projet'!$E$13+1,1))</f>
        <v>261.59434871103355</v>
      </c>
      <c r="CZ118" s="59">
        <f t="shared" si="96"/>
        <v>194.97518096665976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0.3856784286494882</v>
      </c>
      <c r="DG118" s="21">
        <f>EXP(-LN(2)/25)*DG117+(1-EXP(-LN(2)/25))/(LN(2)/25)*Calculateur!DB118*Calculateur!DD118*VLOOKUP('Données projet'!$B$13,Paramètres!$A$1:$I$89,3,0)*0.475*44/12</f>
        <v>1.1070212139115905</v>
      </c>
      <c r="DH118" s="21">
        <f>EXP(-LN(2)/2)*DH117+(1-EXP(-LN(2)/2))/(LN(2)/2)*DB118*DE118*VLOOKUP('Données projet'!$B$13,Paramètres!$A$1:$I$89,3,0)*0.475*44/12</f>
        <v>3.0132031974674096E-12</v>
      </c>
      <c r="DI118" s="22">
        <f t="shared" si="69"/>
        <v>1.4926996425640917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3.7</v>
      </c>
      <c r="N119" s="13">
        <f>IF('Données projet'!$A$36&gt;35,N118+M119-V118,IF(A119&lt;'Données projet'!$A$36,$K$205^A119,IF(A119='Données projet'!$A$36,'Données projet'!$B$36,N118+M119-V118)))</f>
        <v>288.19999999999993</v>
      </c>
      <c r="O119" s="13">
        <f>N119*VLOOKUP('Données projet'!$B$9,Paramètres!$A$1:$I$89,3,0)*VLOOKUP('Données projet'!$B$9,Paramètres!$A$1:$I$89,5,0)</f>
        <v>260.76335999999992</v>
      </c>
      <c r="P119" s="13">
        <f t="shared" si="87"/>
        <v>62.885067686031952</v>
      </c>
      <c r="Q119" s="20">
        <f t="shared" si="107"/>
        <v>563.68767821983886</v>
      </c>
      <c r="R119" s="59">
        <f t="shared" si="55"/>
        <v>857.02101155317223</v>
      </c>
      <c r="S119" s="59">
        <f ca="1">AVERAGE(OFFSET($R$3,0,0,'Données projet'!$E$9+1,1))-AVERAGE(OFFSET($H$3,0,0,'Données projet'!$E$9+1,1))</f>
        <v>237.22177246688199</v>
      </c>
      <c r="T119" s="59">
        <f t="shared" si="88"/>
        <v>149.27472147904302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</v>
      </c>
      <c r="AA119" s="21">
        <f>EXP(-LN(2)/25)*AA118+(1-EXP(-LN(2)/25))/(LN(2)/25)*Calculateur!V119*Calculateur!X119*VLOOKUP('Données projet'!$B$9,Paramètres!$A$1:$I$89,3,0)*0.475*44/12</f>
        <v>0.28618681490695369</v>
      </c>
      <c r="AB119" s="21">
        <f>EXP(-LN(2)/2)*AB118+(1-EXP(-LN(2)/2))/(LN(2)/2)*V119*Y119*VLOOKUP('Données projet'!$B$9,Paramètres!$A$1:$I$89,3,0)*0.475*44/12</f>
        <v>7.0364738512903697E-13</v>
      </c>
      <c r="AC119" s="22">
        <f t="shared" si="57"/>
        <v>0.28618681490765735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243.38048563215585</v>
      </c>
      <c r="AO119" s="59">
        <f t="shared" si="90"/>
        <v>372.1604147006675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1.3309665948630836</v>
      </c>
      <c r="AV119" s="21">
        <f>EXP(-LN(2)/25)*AV118+(1-EXP(-LN(2)/25))/(LN(2)/25)*Calculateur!AQ119*Calculateur!AS119*VLOOKUP('Données projet'!$B$10,Paramètres!$A$1:$I$89,3,0)*0.475*44/12</f>
        <v>1.7840895225161937</v>
      </c>
      <c r="AW119" s="21">
        <f>EXP(-LN(2)/2)*AW118+(1-EXP(-LN(2)/2))/(LN(2)/2)*AQ119*AT119*VLOOKUP('Données projet'!$B$10,Paramètres!$A$1:$I$89,3,0)*0.475*44/12</f>
        <v>3.3327227371458051E-12</v>
      </c>
      <c r="AX119" s="21">
        <f t="shared" si="60"/>
        <v>3.1150561173826099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-5.6843418860808015E-13</v>
      </c>
      <c r="BE119" s="13">
        <f>BD119*VLOOKUP('Données projet'!$B$11,Paramètres!$A$1:$I$89,3,0)*VLOOKUP('Données projet'!$B$11,Paramètres!$A$1:$I$89,5,0)</f>
        <v>-3.177547114319168E-13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326.31232746914907</v>
      </c>
      <c r="BJ119" s="59">
        <f t="shared" si="92"/>
        <v>330.17137761430297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0.83185412178942775</v>
      </c>
      <c r="BQ119" s="21">
        <f>EXP(-LN(2)/25)*BQ118+(1-EXP(-LN(2)/25))/(LN(2)/25)*Calculateur!BL119*Calculateur!BN119*VLOOKUP('Données projet'!$B$11,Paramètres!$A$1:$I$89,3,0)*0.475*44/12</f>
        <v>2.7801905517011898</v>
      </c>
      <c r="BR119" s="21">
        <f>EXP(-LN(2)/2)*BR118+(1-EXP(-LN(2)/2))/(LN(2)/2)*BL119*BO119*VLOOKUP('Données projet'!$B$11,Paramètres!$A$1:$I$89,3,0)*0.475*44/12</f>
        <v>3.6973333829377272E-12</v>
      </c>
      <c r="BS119" s="22">
        <f t="shared" si="63"/>
        <v>3.612044673494315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-2.2737367544323206E-13</v>
      </c>
      <c r="BZ119" s="13">
        <f>BY119*VLOOKUP('Données projet'!$B$12,Paramètres!$A$1:$I$89,3,0)*VLOOKUP('Données projet'!$B$12,Paramètres!$A$1:$I$89,5,0)</f>
        <v>-1.8089849618263545E-13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314.94704727988847</v>
      </c>
      <c r="CE119" s="59">
        <f t="shared" si="94"/>
        <v>366.49199094166454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0.71305550460787148</v>
      </c>
      <c r="CL119" s="21">
        <f>EXP(-LN(2)/25)*CL118+(1-EXP(-LN(2)/25))/(LN(2)/25)*Calculateur!CG119*Calculateur!CI119*VLOOKUP('Données projet'!$B$12,Paramètres!$A$1:$I$89,3,0)*0.475*44/12</f>
        <v>2.3410375050242265</v>
      </c>
      <c r="CM119" s="21">
        <f>EXP(-LN(2)/2)*CM118+(1-EXP(-LN(2)/2))/(LN(2)/2)*CG119*CJ119*VLOOKUP('Données projet'!$B$12,Paramètres!$A$1:$I$89,3,0)*0.475*44/12</f>
        <v>3.2820522143032491E-12</v>
      </c>
      <c r="CN119" s="22">
        <f t="shared" si="66"/>
        <v>3.05409300963538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5.4</v>
      </c>
      <c r="CT119" s="12">
        <f>IF('Données projet'!$A$140&gt;35,CT118+CS119-DB118,IF(A119&lt;'Données projet'!$A$140,$CQ$205^A119,IF(A119='Données projet'!$A$140,'Données projet'!$B$140,CT118+CS119-DB118)))</f>
        <v>339.39999999999952</v>
      </c>
      <c r="CU119" s="17">
        <f>CT119*VLOOKUP('Données projet'!$B$13,Paramètres!$A$1:$I$89,3,0)*VLOOKUP('Données projet'!$B$13,Paramètres!$A$1:$I$89,5,0)</f>
        <v>264.73199999999963</v>
      </c>
      <c r="CV119" s="13">
        <f t="shared" si="95"/>
        <v>63.72998787421087</v>
      </c>
      <c r="CW119" s="20">
        <f t="shared" si="67"/>
        <v>572.0712955475833</v>
      </c>
      <c r="CX119" s="59">
        <f t="shared" si="68"/>
        <v>865.40462888091656</v>
      </c>
      <c r="CY119" s="59">
        <f ca="1">AVERAGE(OFFSET($CX$3,0,0,'Données projet'!$E$13+1,1))-AVERAGE(OFFSET($H$3,0,0,'Données projet'!$E$13+1,1))</f>
        <v>261.59434871103355</v>
      </c>
      <c r="CZ119" s="59">
        <f t="shared" si="96"/>
        <v>194.97518096665976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0.37811550990428511</v>
      </c>
      <c r="DG119" s="21">
        <f>EXP(-LN(2)/25)*DG118+(1-EXP(-LN(2)/25))/(LN(2)/25)*Calculateur!DB119*Calculateur!DD119*VLOOKUP('Données projet'!$B$13,Paramètres!$A$1:$I$89,3,0)*0.475*44/12</f>
        <v>1.0767496606014626</v>
      </c>
      <c r="DH119" s="21">
        <f>EXP(-LN(2)/2)*DH118+(1-EXP(-LN(2)/2))/(LN(2)/2)*DB119*DE119*VLOOKUP('Données projet'!$B$13,Paramètres!$A$1:$I$89,3,0)*0.475*44/12</f>
        <v>2.1306564140221929E-12</v>
      </c>
      <c r="DI119" s="22">
        <f t="shared" si="69"/>
        <v>1.4548651705078783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3.7</v>
      </c>
      <c r="N120" s="13">
        <f>IF('Données projet'!$A$36&gt;35,N119+M120-V119,IF(A120&lt;'Données projet'!$A$36,$K$205^A120,IF(A120='Données projet'!$A$36,'Données projet'!$B$36,N119+M120-V119)))</f>
        <v>291.89999999999992</v>
      </c>
      <c r="O120" s="13">
        <f>N120*VLOOKUP('Données projet'!$B$9,Paramètres!$A$1:$I$89,3,0)*VLOOKUP('Données projet'!$B$9,Paramètres!$A$1:$I$89,5,0)</f>
        <v>264.11111999999991</v>
      </c>
      <c r="P120" s="13">
        <f t="shared" si="87"/>
        <v>63.59790086687066</v>
      </c>
      <c r="Q120" s="20">
        <f t="shared" si="107"/>
        <v>570.75987800979954</v>
      </c>
      <c r="R120" s="59">
        <f t="shared" si="55"/>
        <v>864.09321134313291</v>
      </c>
      <c r="S120" s="59">
        <f ca="1">AVERAGE(OFFSET($R$3,0,0,'Données projet'!$E$9+1,1))-AVERAGE(OFFSET($H$3,0,0,'Données projet'!$E$9+1,1))</f>
        <v>237.22177246688199</v>
      </c>
      <c r="T120" s="59">
        <f t="shared" si="88"/>
        <v>149.27472147904302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</v>
      </c>
      <c r="AA120" s="21">
        <f>EXP(-LN(2)/25)*AA119+(1-EXP(-LN(2)/25))/(LN(2)/25)*Calculateur!V120*Calculateur!X120*VLOOKUP('Données projet'!$B$9,Paramètres!$A$1:$I$89,3,0)*0.475*44/12</f>
        <v>0.27836102140341251</v>
      </c>
      <c r="AB120" s="21">
        <f>EXP(-LN(2)/2)*AB119+(1-EXP(-LN(2)/2))/(LN(2)/2)*V120*Y120*VLOOKUP('Données projet'!$B$9,Paramètres!$A$1:$I$89,3,0)*0.475*44/12</f>
        <v>4.9755383758892427E-13</v>
      </c>
      <c r="AC120" s="22">
        <f t="shared" si="57"/>
        <v>0.27836102140391006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243.38048563215585</v>
      </c>
      <c r="AO120" s="59">
        <f t="shared" si="90"/>
        <v>372.1604147006675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1.3048671517472819</v>
      </c>
      <c r="AV120" s="21">
        <f>EXP(-LN(2)/25)*AV119+(1-EXP(-LN(2)/25))/(LN(2)/25)*Calculateur!AQ120*Calculateur!AS120*VLOOKUP('Données projet'!$B$10,Paramètres!$A$1:$I$89,3,0)*0.475*44/12</f>
        <v>1.7353035007017981</v>
      </c>
      <c r="AW120" s="21">
        <f>EXP(-LN(2)/2)*AW119+(1-EXP(-LN(2)/2))/(LN(2)/2)*AQ120*AT120*VLOOKUP('Données projet'!$B$10,Paramètres!$A$1:$I$89,3,0)*0.475*44/12</f>
        <v>2.3565908472503905E-12</v>
      </c>
      <c r="AX120" s="21">
        <f t="shared" si="60"/>
        <v>3.0401706524514367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-5.6843418860808015E-13</v>
      </c>
      <c r="BE120" s="13">
        <f>BD120*VLOOKUP('Données projet'!$B$11,Paramètres!$A$1:$I$89,3,0)*VLOOKUP('Données projet'!$B$11,Paramètres!$A$1:$I$89,5,0)</f>
        <v>-3.177547114319168E-13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326.31232746914907</v>
      </c>
      <c r="BJ120" s="59">
        <f t="shared" si="92"/>
        <v>330.17137761430297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0.81554196984205163</v>
      </c>
      <c r="BQ120" s="21">
        <f>EXP(-LN(2)/25)*BQ119+(1-EXP(-LN(2)/25))/(LN(2)/25)*Calculateur!BL120*Calculateur!BN120*VLOOKUP('Données projet'!$B$11,Paramètres!$A$1:$I$89,3,0)*0.475*44/12</f>
        <v>2.704166094861054</v>
      </c>
      <c r="BR120" s="21">
        <f>EXP(-LN(2)/2)*BR119+(1-EXP(-LN(2)/2))/(LN(2)/2)*BL120*BO120*VLOOKUP('Données projet'!$B$11,Paramètres!$A$1:$I$89,3,0)*0.475*44/12</f>
        <v>2.614409507382665E-12</v>
      </c>
      <c r="BS120" s="22">
        <f t="shared" si="63"/>
        <v>3.51970806470572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-2.2737367544323206E-13</v>
      </c>
      <c r="BZ120" s="13">
        <f>BY120*VLOOKUP('Données projet'!$B$12,Paramètres!$A$1:$I$89,3,0)*VLOOKUP('Données projet'!$B$12,Paramètres!$A$1:$I$89,5,0)</f>
        <v>-1.8089849618263545E-13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314.94704727988847</v>
      </c>
      <c r="CE120" s="59">
        <f t="shared" si="94"/>
        <v>366.49199094166454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0.69907292108342411</v>
      </c>
      <c r="CL120" s="21">
        <f>EXP(-LN(2)/25)*CL119+(1-EXP(-LN(2)/25))/(LN(2)/25)*Calculateur!CG120*Calculateur!CI120*VLOOKUP('Données projet'!$B$12,Paramètres!$A$1:$I$89,3,0)*0.475*44/12</f>
        <v>2.2770217113395272</v>
      </c>
      <c r="CM120" s="21">
        <f>EXP(-LN(2)/2)*CM119+(1-EXP(-LN(2)/2))/(LN(2)/2)*CG120*CJ120*VLOOKUP('Données projet'!$B$12,Paramètres!$A$1:$I$89,3,0)*0.475*44/12</f>
        <v>2.3207613769421513E-12</v>
      </c>
      <c r="CN120" s="22">
        <f t="shared" si="66"/>
        <v>2.9760946324252719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5.4</v>
      </c>
      <c r="CT120" s="12">
        <f>IF('Données projet'!$A$140&gt;35,CT119+CS120-DB119,IF(A120&lt;'Données projet'!$A$140,$CQ$205^A120,IF(A120='Données projet'!$A$140,'Données projet'!$B$140,CT119+CS120-DB119)))</f>
        <v>344.7999999999995</v>
      </c>
      <c r="CU120" s="17">
        <f>CT120*VLOOKUP('Données projet'!$B$13,Paramètres!$A$1:$I$89,3,0)*VLOOKUP('Données projet'!$B$13,Paramètres!$A$1:$I$89,5,0)</f>
        <v>268.94399999999962</v>
      </c>
      <c r="CV120" s="13">
        <f t="shared" si="95"/>
        <v>64.625108348406869</v>
      </c>
      <c r="CW120" s="20">
        <f t="shared" si="67"/>
        <v>580.9661970401412</v>
      </c>
      <c r="CX120" s="59">
        <f t="shared" si="68"/>
        <v>874.29953037347445</v>
      </c>
      <c r="CY120" s="59">
        <f ca="1">AVERAGE(OFFSET($CX$3,0,0,'Données projet'!$E$13+1,1))-AVERAGE(OFFSET($H$3,0,0,'Données projet'!$E$13+1,1))</f>
        <v>261.59434871103355</v>
      </c>
      <c r="CZ120" s="59">
        <f t="shared" si="96"/>
        <v>194.97518096665976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0.37070089538275053</v>
      </c>
      <c r="DG120" s="21">
        <f>EXP(-LN(2)/25)*DG119+(1-EXP(-LN(2)/25))/(LN(2)/25)*Calculateur!DB120*Calculateur!DD120*VLOOKUP('Données projet'!$B$13,Paramètres!$A$1:$I$89,3,0)*0.475*44/12</f>
        <v>1.0473058845085119</v>
      </c>
      <c r="DH120" s="21">
        <f>EXP(-LN(2)/2)*DH119+(1-EXP(-LN(2)/2))/(LN(2)/2)*DB120*DE120*VLOOKUP('Données projet'!$B$13,Paramètres!$A$1:$I$89,3,0)*0.475*44/12</f>
        <v>1.5066015987337048E-12</v>
      </c>
      <c r="DI120" s="22">
        <f t="shared" si="69"/>
        <v>1.4180067798927689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3.7</v>
      </c>
      <c r="N121" s="13">
        <f>IF('Données projet'!$A$36&gt;35,N120+M121-V120,IF(A121&lt;'Données projet'!$A$36,$K$205^A121,IF(A121='Données projet'!$A$36,'Données projet'!$B$36,N120+M121-V120)))</f>
        <v>295.59999999999991</v>
      </c>
      <c r="O121" s="13">
        <f>N121*VLOOKUP('Données projet'!$B$9,Paramètres!$A$1:$I$89,3,0)*VLOOKUP('Données projet'!$B$9,Paramètres!$A$1:$I$89,5,0)</f>
        <v>267.45887999999991</v>
      </c>
      <c r="P121" s="13">
        <f t="shared" si="87"/>
        <v>64.309683053152384</v>
      </c>
      <c r="Q121" s="20">
        <f t="shared" si="107"/>
        <v>577.83024731757359</v>
      </c>
      <c r="R121" s="59">
        <f t="shared" si="55"/>
        <v>871.16358065090685</v>
      </c>
      <c r="S121" s="59">
        <f ca="1">AVERAGE(OFFSET($R$3,0,0,'Données projet'!$E$9+1,1))-AVERAGE(OFFSET($H$3,0,0,'Données projet'!$E$9+1,1))</f>
        <v>237.22177246688199</v>
      </c>
      <c r="T121" s="59">
        <f t="shared" si="88"/>
        <v>149.27472147904302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</v>
      </c>
      <c r="AA121" s="21">
        <f>EXP(-LN(2)/25)*AA120+(1-EXP(-LN(2)/25))/(LN(2)/25)*Calculateur!V121*Calculateur!X121*VLOOKUP('Données projet'!$B$9,Paramètres!$A$1:$I$89,3,0)*0.475*44/12</f>
        <v>0.27074922463476631</v>
      </c>
      <c r="AB121" s="21">
        <f>EXP(-LN(2)/2)*AB120+(1-EXP(-LN(2)/2))/(LN(2)/2)*V121*Y121*VLOOKUP('Données projet'!$B$9,Paramètres!$A$1:$I$89,3,0)*0.475*44/12</f>
        <v>3.5182369256451848E-13</v>
      </c>
      <c r="AC121" s="22">
        <f t="shared" si="57"/>
        <v>0.27074922463511814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243.38048563215585</v>
      </c>
      <c r="AO121" s="59">
        <f t="shared" si="90"/>
        <v>372.1604147006675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1.2792795027918926</v>
      </c>
      <c r="AV121" s="21">
        <f>EXP(-LN(2)/25)*AV120+(1-EXP(-LN(2)/25))/(LN(2)/25)*Calculateur!AQ121*Calculateur!AS121*VLOOKUP('Données projet'!$B$10,Paramètres!$A$1:$I$89,3,0)*0.475*44/12</f>
        <v>1.6878515352194623</v>
      </c>
      <c r="AW121" s="21">
        <f>EXP(-LN(2)/2)*AW120+(1-EXP(-LN(2)/2))/(LN(2)/2)*AQ121*AT121*VLOOKUP('Données projet'!$B$10,Paramètres!$A$1:$I$89,3,0)*0.475*44/12</f>
        <v>1.6663613685729025E-12</v>
      </c>
      <c r="AX121" s="21">
        <f t="shared" si="60"/>
        <v>2.9671310380130214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-5.6843418860808015E-13</v>
      </c>
      <c r="BE121" s="13">
        <f>BD121*VLOOKUP('Données projet'!$B$11,Paramètres!$A$1:$I$89,3,0)*VLOOKUP('Données projet'!$B$11,Paramètres!$A$1:$I$89,5,0)</f>
        <v>-3.177547114319168E-13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326.31232746914907</v>
      </c>
      <c r="BJ121" s="59">
        <f t="shared" si="92"/>
        <v>330.17137761430297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0.7995496892449333</v>
      </c>
      <c r="BQ121" s="21">
        <f>EXP(-LN(2)/25)*BQ120+(1-EXP(-LN(2)/25))/(LN(2)/25)*Calculateur!BL121*Calculateur!BN121*VLOOKUP('Données projet'!$B$11,Paramètres!$A$1:$I$89,3,0)*0.475*44/12</f>
        <v>2.6302205307911639</v>
      </c>
      <c r="BR121" s="21">
        <f>EXP(-LN(2)/2)*BR120+(1-EXP(-LN(2)/2))/(LN(2)/2)*BL121*BO121*VLOOKUP('Données projet'!$B$11,Paramètres!$A$1:$I$89,3,0)*0.475*44/12</f>
        <v>1.8486666914688636E-12</v>
      </c>
      <c r="BS121" s="22">
        <f t="shared" si="63"/>
        <v>3.4297702200379461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-2.2737367544323206E-13</v>
      </c>
      <c r="BZ121" s="13">
        <f>BY121*VLOOKUP('Données projet'!$B$12,Paramètres!$A$1:$I$89,3,0)*VLOOKUP('Données projet'!$B$12,Paramètres!$A$1:$I$89,5,0)</f>
        <v>-1.8089849618263545E-13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314.94704727988847</v>
      </c>
      <c r="CE121" s="59">
        <f t="shared" si="94"/>
        <v>366.49199094166454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0.6853645274933573</v>
      </c>
      <c r="CL121" s="21">
        <f>EXP(-LN(2)/25)*CL120+(1-EXP(-LN(2)/25))/(LN(2)/25)*Calculateur!CG121*Calculateur!CI121*VLOOKUP('Données projet'!$B$12,Paramètres!$A$1:$I$89,3,0)*0.475*44/12</f>
        <v>2.2147564328995801</v>
      </c>
      <c r="CM121" s="21">
        <f>EXP(-LN(2)/2)*CM120+(1-EXP(-LN(2)/2))/(LN(2)/2)*CG121*CJ121*VLOOKUP('Données projet'!$B$12,Paramètres!$A$1:$I$89,3,0)*0.475*44/12</f>
        <v>1.6410261071516245E-12</v>
      </c>
      <c r="CN121" s="22">
        <f t="shared" si="66"/>
        <v>2.9001209603945783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5.4</v>
      </c>
      <c r="CT121" s="12">
        <f>IF('Données projet'!$A$140&gt;35,CT120+CS121-DB120,IF(A121&lt;'Données projet'!$A$140,$CQ$205^A121,IF(A121='Données projet'!$A$140,'Données projet'!$B$140,CT120+CS121-DB120)))</f>
        <v>350.19999999999948</v>
      </c>
      <c r="CU121" s="17">
        <f>CT121*VLOOKUP('Données projet'!$B$13,Paramètres!$A$1:$I$89,3,0)*VLOOKUP('Données projet'!$B$13,Paramètres!$A$1:$I$89,5,0)</f>
        <v>273.15599999999961</v>
      </c>
      <c r="CV121" s="13">
        <f t="shared" si="95"/>
        <v>65.518598460948112</v>
      </c>
      <c r="CW121" s="20">
        <f t="shared" si="67"/>
        <v>589.85825898615064</v>
      </c>
      <c r="CX121" s="59">
        <f t="shared" si="68"/>
        <v>883.19159231948402</v>
      </c>
      <c r="CY121" s="59">
        <f ca="1">AVERAGE(OFFSET($CX$3,0,0,'Données projet'!$E$13+1,1))-AVERAGE(OFFSET($H$3,0,0,'Données projet'!$E$13+1,1))</f>
        <v>261.59434871103355</v>
      </c>
      <c r="CZ121" s="59">
        <f t="shared" si="96"/>
        <v>194.97518096665976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0.36343167692951495</v>
      </c>
      <c r="DG121" s="21">
        <f>EXP(-LN(2)/25)*DG120+(1-EXP(-LN(2)/25))/(LN(2)/25)*Calculateur!DB121*Calculateur!DD121*VLOOKUP('Données projet'!$B$13,Paramètres!$A$1:$I$89,3,0)*0.475*44/12</f>
        <v>1.018667250021204</v>
      </c>
      <c r="DH121" s="21">
        <f>EXP(-LN(2)/2)*DH120+(1-EXP(-LN(2)/2))/(LN(2)/2)*DB121*DE121*VLOOKUP('Données projet'!$B$13,Paramètres!$A$1:$I$89,3,0)*0.475*44/12</f>
        <v>1.0653282070110965E-12</v>
      </c>
      <c r="DI121" s="22">
        <f t="shared" si="69"/>
        <v>1.3820989269517843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3.7</v>
      </c>
      <c r="N122" s="13">
        <f>IF('Données projet'!$A$36&gt;35,N121+M122-V121,IF(A122&lt;'Données projet'!$A$36,$K$205^A122,IF(A122='Données projet'!$A$36,'Données projet'!$B$36,N121+M122-V121)))</f>
        <v>299.2999999999999</v>
      </c>
      <c r="O122" s="13">
        <f>N122*VLOOKUP('Données projet'!$B$9,Paramètres!$A$1:$I$89,3,0)*VLOOKUP('Données projet'!$B$9,Paramètres!$A$1:$I$89,5,0)</f>
        <v>270.8066399999999</v>
      </c>
      <c r="P122" s="13">
        <f t="shared" si="87"/>
        <v>65.020428921429911</v>
      </c>
      <c r="Q122" s="20">
        <f t="shared" si="107"/>
        <v>584.89881170482352</v>
      </c>
      <c r="R122" s="59">
        <f t="shared" si="55"/>
        <v>878.23214503815689</v>
      </c>
      <c r="S122" s="59">
        <f ca="1">AVERAGE(OFFSET($R$3,0,0,'Données projet'!$E$9+1,1))-AVERAGE(OFFSET($H$3,0,0,'Données projet'!$E$9+1,1))</f>
        <v>237.22177246688199</v>
      </c>
      <c r="T122" s="59">
        <f t="shared" si="88"/>
        <v>149.27472147904302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</v>
      </c>
      <c r="AA122" s="21">
        <f>EXP(-LN(2)/25)*AA121+(1-EXP(-LN(2)/25))/(LN(2)/25)*Calculateur!V122*Calculateur!X122*VLOOKUP('Données projet'!$B$9,Paramètres!$A$1:$I$89,3,0)*0.475*44/12</f>
        <v>0.26334557284904569</v>
      </c>
      <c r="AB122" s="21">
        <f>EXP(-LN(2)/2)*AB121+(1-EXP(-LN(2)/2))/(LN(2)/2)*V122*Y122*VLOOKUP('Données projet'!$B$9,Paramètres!$A$1:$I$89,3,0)*0.475*44/12</f>
        <v>2.4877691879446213E-13</v>
      </c>
      <c r="AC122" s="22">
        <f t="shared" si="57"/>
        <v>0.2633455728492945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243.38048563215585</v>
      </c>
      <c r="AO122" s="59">
        <f t="shared" si="90"/>
        <v>372.1604147006675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1.2541936120255937</v>
      </c>
      <c r="AV122" s="21">
        <f>EXP(-LN(2)/25)*AV121+(1-EXP(-LN(2)/25))/(LN(2)/25)*Calculateur!AQ122*Calculateur!AS122*VLOOKUP('Données projet'!$B$10,Paramètres!$A$1:$I$89,3,0)*0.475*44/12</f>
        <v>1.6416971462286316</v>
      </c>
      <c r="AW122" s="21">
        <f>EXP(-LN(2)/2)*AW121+(1-EXP(-LN(2)/2))/(LN(2)/2)*AQ122*AT122*VLOOKUP('Données projet'!$B$10,Paramètres!$A$1:$I$89,3,0)*0.475*44/12</f>
        <v>1.1782954236251952E-12</v>
      </c>
      <c r="AX122" s="21">
        <f t="shared" si="60"/>
        <v>2.8958907582554034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-5.6843418860808015E-13</v>
      </c>
      <c r="BE122" s="13">
        <f>BD122*VLOOKUP('Données projet'!$B$11,Paramètres!$A$1:$I$89,3,0)*VLOOKUP('Données projet'!$B$11,Paramètres!$A$1:$I$89,5,0)</f>
        <v>-3.177547114319168E-13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326.31232746914907</v>
      </c>
      <c r="BJ122" s="59">
        <f t="shared" si="92"/>
        <v>330.17137761430297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0.78387100751599648</v>
      </c>
      <c r="BQ122" s="21">
        <f>EXP(-LN(2)/25)*BQ121+(1-EXP(-LN(2)/25))/(LN(2)/25)*Calculateur!BL122*Calculateur!BN122*VLOOKUP('Données projet'!$B$11,Paramètres!$A$1:$I$89,3,0)*0.475*44/12</f>
        <v>2.5582970120593931</v>
      </c>
      <c r="BR122" s="21">
        <f>EXP(-LN(2)/2)*BR121+(1-EXP(-LN(2)/2))/(LN(2)/2)*BL122*BO122*VLOOKUP('Données projet'!$B$11,Paramètres!$A$1:$I$89,3,0)*0.475*44/12</f>
        <v>1.3072047536913325E-12</v>
      </c>
      <c r="BS122" s="22">
        <f t="shared" si="63"/>
        <v>3.3421680195766967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-2.2737367544323206E-13</v>
      </c>
      <c r="BZ122" s="13">
        <f>BY122*VLOOKUP('Données projet'!$B$12,Paramètres!$A$1:$I$89,3,0)*VLOOKUP('Données projet'!$B$12,Paramètres!$A$1:$I$89,5,0)</f>
        <v>-1.8089849618263545E-13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314.94704727988847</v>
      </c>
      <c r="CE122" s="59">
        <f t="shared" si="94"/>
        <v>366.49199094166454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0.67192494714029716</v>
      </c>
      <c r="CL122" s="21">
        <f>EXP(-LN(2)/25)*CL121+(1-EXP(-LN(2)/25))/(LN(2)/25)*Calculateur!CG122*Calculateur!CI122*VLOOKUP('Données projet'!$B$12,Paramètres!$A$1:$I$89,3,0)*0.475*44/12</f>
        <v>2.154193801772962</v>
      </c>
      <c r="CM122" s="21">
        <f>EXP(-LN(2)/2)*CM121+(1-EXP(-LN(2)/2))/(LN(2)/2)*CG122*CJ122*VLOOKUP('Données projet'!$B$12,Paramètres!$A$1:$I$89,3,0)*0.475*44/12</f>
        <v>1.1603806884710756E-12</v>
      </c>
      <c r="CN122" s="22">
        <f t="shared" si="66"/>
        <v>2.8261187489144195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5.4</v>
      </c>
      <c r="CT122" s="12">
        <f>IF('Données projet'!$A$140&gt;35,CT121+CS122-DB121,IF(A122&lt;'Données projet'!$A$140,$CQ$205^A122,IF(A122='Données projet'!$A$140,'Données projet'!$B$140,CT121+CS122-DB121)))</f>
        <v>355.59999999999945</v>
      </c>
      <c r="CU122" s="17">
        <f>CT122*VLOOKUP('Données projet'!$B$13,Paramètres!$A$1:$I$89,3,0)*VLOOKUP('Données projet'!$B$13,Paramètres!$A$1:$I$89,5,0)</f>
        <v>277.3679999999996</v>
      </c>
      <c r="CV122" s="13">
        <f t="shared" si="95"/>
        <v>66.410486254957092</v>
      </c>
      <c r="CW122" s="20">
        <f t="shared" si="67"/>
        <v>598.74753022738287</v>
      </c>
      <c r="CX122" s="59">
        <f t="shared" si="68"/>
        <v>892.08086356071612</v>
      </c>
      <c r="CY122" s="59">
        <f ca="1">AVERAGE(OFFSET($CX$3,0,0,'Données projet'!$E$13+1,1))-AVERAGE(OFFSET($H$3,0,0,'Données projet'!$E$13+1,1))</f>
        <v>261.59434871103355</v>
      </c>
      <c r="CZ122" s="59">
        <f t="shared" si="96"/>
        <v>194.97518096665976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0.35630500341636184</v>
      </c>
      <c r="DG122" s="21">
        <f>EXP(-LN(2)/25)*DG121+(1-EXP(-LN(2)/25))/(LN(2)/25)*Calculateur!DB122*Calculateur!DD122*VLOOKUP('Données projet'!$B$13,Paramètres!$A$1:$I$89,3,0)*0.475*44/12</f>
        <v>0.99081174049999166</v>
      </c>
      <c r="DH122" s="21">
        <f>EXP(-LN(2)/2)*DH121+(1-EXP(-LN(2)/2))/(LN(2)/2)*DB122*DE122*VLOOKUP('Données projet'!$B$13,Paramètres!$A$1:$I$89,3,0)*0.475*44/12</f>
        <v>7.533007993668524E-13</v>
      </c>
      <c r="DI122" s="22">
        <f t="shared" si="69"/>
        <v>1.347116743917107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303</v>
      </c>
      <c r="L123" s="12">
        <f>VLOOKUP(A123,'Données projet'!$A$35:$I$55,9,0)</f>
        <v>3.7</v>
      </c>
      <c r="M123" s="12">
        <f t="array" ref="M123">INDEX(L:L,MIN(IF(ISNUMBER(L123:L319),ROW(L123:L319),"")))</f>
        <v>3.7</v>
      </c>
      <c r="N123" s="13">
        <f>IF('Données projet'!$A$36&gt;35,N122+M123-V122,IF(A123&lt;'Données projet'!$A$36,$K$205^A123,IF(A123='Données projet'!$A$36,'Données projet'!$B$36,N122+M123-V122)))</f>
        <v>302.99999999999989</v>
      </c>
      <c r="O123" s="13">
        <f>N123*VLOOKUP('Données projet'!$B$9,Paramètres!$A$1:$I$89,3,0)*VLOOKUP('Données projet'!$B$9,Paramètres!$A$1:$I$89,5,0)</f>
        <v>274.1543999999999</v>
      </c>
      <c r="P123" s="13">
        <f t="shared" si="87"/>
        <v>65.730152764515779</v>
      </c>
      <c r="Q123" s="20">
        <f t="shared" si="107"/>
        <v>591.96559606486471</v>
      </c>
      <c r="R123" s="59">
        <f t="shared" si="55"/>
        <v>885.29892939819797</v>
      </c>
      <c r="S123" s="59">
        <f ca="1">AVERAGE(OFFSET($R$3,0,0,'Données projet'!$E$9+1,1))-AVERAGE(OFFSET($H$3,0,0,'Données projet'!$E$9+1,1))</f>
        <v>237.22177246688199</v>
      </c>
      <c r="T123" s="59">
        <f t="shared" si="88"/>
        <v>149.27472147904302</v>
      </c>
      <c r="U123" s="15">
        <f>IF(ISNA(VLOOKUP(A123,'Données projet'!$A$35:$I$55,3,0)),0,VLOOKUP(A123,'Données projet'!$A$35:$I$55,3,0))</f>
        <v>10</v>
      </c>
      <c r="V123" s="15">
        <f>IF(ISNA(VLOOKUP(A123,'Données projet'!$A$35:$I$55,4,0)),0,VLOOKUP(A123,'Données projet'!$A$35:$I$55,4,0))</f>
        <v>303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</v>
      </c>
      <c r="AA123" s="21">
        <f>EXP(-LN(2)/25)*AA122+(1-EXP(-LN(2)/25))/(LN(2)/25)*Calculateur!V123*Calculateur!X123*VLOOKUP('Données projet'!$B$9,Paramètres!$A$1:$I$89,3,0)*0.475*44/12</f>
        <v>0.25614437431074677</v>
      </c>
      <c r="AB123" s="21">
        <f>EXP(-LN(2)/2)*AB122+(1-EXP(-LN(2)/2))/(LN(2)/2)*V123*Y123*VLOOKUP('Données projet'!$B$9,Paramètres!$A$1:$I$89,3,0)*0.475*44/12</f>
        <v>1.7591184628225924E-13</v>
      </c>
      <c r="AC123" s="22">
        <f t="shared" si="57"/>
        <v>0.25614437431092268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243.38048563215585</v>
      </c>
      <c r="AO123" s="59">
        <f t="shared" si="90"/>
        <v>372.1604147006675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1.2295996402763394</v>
      </c>
      <c r="AV123" s="21">
        <f>EXP(-LN(2)/25)*AV122+(1-EXP(-LN(2)/25))/(LN(2)/25)*Calculateur!AQ123*Calculateur!AS123*VLOOKUP('Données projet'!$B$10,Paramètres!$A$1:$I$89,3,0)*0.475*44/12</f>
        <v>1.5968048514319089</v>
      </c>
      <c r="AW123" s="21">
        <f>EXP(-LN(2)/2)*AW122+(1-EXP(-LN(2)/2))/(LN(2)/2)*AQ123*AT123*VLOOKUP('Données projet'!$B$10,Paramètres!$A$1:$I$89,3,0)*0.475*44/12</f>
        <v>8.3318068428645127E-13</v>
      </c>
      <c r="AX123" s="21">
        <f t="shared" si="60"/>
        <v>2.8264044917090816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-5.6843418860808015E-13</v>
      </c>
      <c r="BE123" s="13">
        <f>BD123*VLOOKUP('Données projet'!$B$11,Paramètres!$A$1:$I$89,3,0)*VLOOKUP('Données projet'!$B$11,Paramètres!$A$1:$I$89,5,0)</f>
        <v>-3.177547114319168E-13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326.31232746914907</v>
      </c>
      <c r="BJ123" s="59">
        <f t="shared" si="92"/>
        <v>330.17137761430297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0.76849977517271251</v>
      </c>
      <c r="BQ123" s="21">
        <f>EXP(-LN(2)/25)*BQ122+(1-EXP(-LN(2)/25))/(LN(2)/25)*Calculateur!BL123*Calculateur!BN123*VLOOKUP('Données projet'!$B$11,Paramètres!$A$1:$I$89,3,0)*0.475*44/12</f>
        <v>2.4883402457296362</v>
      </c>
      <c r="BR123" s="21">
        <f>EXP(-LN(2)/2)*BR122+(1-EXP(-LN(2)/2))/(LN(2)/2)*BL123*BO123*VLOOKUP('Données projet'!$B$11,Paramètres!$A$1:$I$89,3,0)*0.475*44/12</f>
        <v>9.2433334573443181E-13</v>
      </c>
      <c r="BS123" s="22">
        <f t="shared" si="63"/>
        <v>3.2568400209032728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-2.2737367544323206E-13</v>
      </c>
      <c r="BZ123" s="13">
        <f>BY123*VLOOKUP('Données projet'!$B$12,Paramètres!$A$1:$I$89,3,0)*VLOOKUP('Données projet'!$B$12,Paramètres!$A$1:$I$89,5,0)</f>
        <v>-1.8089849618263545E-13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314.94704727988847</v>
      </c>
      <c r="CE123" s="59">
        <f t="shared" si="94"/>
        <v>366.49199094166454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0.65874890876062597</v>
      </c>
      <c r="CL123" s="21">
        <f>EXP(-LN(2)/25)*CL122+(1-EXP(-LN(2)/25))/(LN(2)/25)*Calculateur!CG123*Calculateur!CI123*VLOOKUP('Données projet'!$B$12,Paramètres!$A$1:$I$89,3,0)*0.475*44/12</f>
        <v>2.0952872589793516</v>
      </c>
      <c r="CM123" s="21">
        <f>EXP(-LN(2)/2)*CM122+(1-EXP(-LN(2)/2))/(LN(2)/2)*CG123*CJ123*VLOOKUP('Données projet'!$B$12,Paramètres!$A$1:$I$89,3,0)*0.475*44/12</f>
        <v>8.2051305357581227E-13</v>
      </c>
      <c r="CN123" s="22">
        <f t="shared" si="66"/>
        <v>2.7540361677407983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>
        <f>VLOOKUP(A123,'Données projet'!$A$139:$I$159,2,0)</f>
        <v>361</v>
      </c>
      <c r="CR123" s="12">
        <f>VLOOKUP(A123,'Données projet'!$A$139:$I$159,9,0)</f>
        <v>5.4</v>
      </c>
      <c r="CS123" s="12">
        <f t="array" ref="CS123">INDEX(CR:CR,MIN(IF(ISNUMBER(CR123:CR319),ROW(CR123:CR319),"")))</f>
        <v>5.4</v>
      </c>
      <c r="CT123" s="12">
        <f>IF('Données projet'!$A$140&gt;35,CT122+CS123-DB122,IF(A123&lt;'Données projet'!$A$140,$CQ$205^A123,IF(A123='Données projet'!$A$140,'Données projet'!$B$140,CT122+CS123-DB122)))</f>
        <v>360.99999999999943</v>
      </c>
      <c r="CU123" s="17">
        <f>CT123*VLOOKUP('Données projet'!$B$13,Paramètres!$A$1:$I$89,3,0)*VLOOKUP('Données projet'!$B$13,Paramètres!$A$1:$I$89,5,0)</f>
        <v>281.57999999999959</v>
      </c>
      <c r="CV123" s="13">
        <f t="shared" si="95"/>
        <v>67.300798872976671</v>
      </c>
      <c r="CW123" s="20">
        <f t="shared" si="67"/>
        <v>607.63405803710032</v>
      </c>
      <c r="CX123" s="59">
        <f t="shared" si="68"/>
        <v>900.96739137043369</v>
      </c>
      <c r="CY123" s="59">
        <f ca="1">AVERAGE(OFFSET($CX$3,0,0,'Données projet'!$E$13+1,1))-AVERAGE(OFFSET($H$3,0,0,'Données projet'!$E$13+1,1))</f>
        <v>261.59434871103355</v>
      </c>
      <c r="CZ123" s="59">
        <f t="shared" si="96"/>
        <v>194.97518096665976</v>
      </c>
      <c r="DA123" s="15">
        <f>IF(ISNA(VLOOKUP(A123,'Données projet'!$A$139:$I$159,3,0)),0,VLOOKUP(A123,'Données projet'!$A$139:$I$159,3,0))</f>
        <v>11</v>
      </c>
      <c r="DB123" s="15">
        <f>IF(ISNA(VLOOKUP(A123,'Données projet'!$A$139:$I$159,4,0)),0,VLOOKUP(A123,'Données projet'!$A$139:$I$159,4,0))</f>
        <v>361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0.34931807962396005</v>
      </c>
      <c r="DG123" s="21">
        <f>EXP(-LN(2)/25)*DG122+(1-EXP(-LN(2)/25))/(LN(2)/25)*Calculateur!DB123*Calculateur!DD123*VLOOKUP('Données projet'!$B$13,Paramètres!$A$1:$I$89,3,0)*0.475*44/12</f>
        <v>0.96371794135149447</v>
      </c>
      <c r="DH123" s="21">
        <f>EXP(-LN(2)/2)*DH122+(1-EXP(-LN(2)/2))/(LN(2)/2)*DB123*DE123*VLOOKUP('Données projet'!$B$13,Paramètres!$A$1:$I$89,3,0)*0.475*44/12</f>
        <v>5.3266410350554824E-13</v>
      </c>
      <c r="DI123" s="22">
        <f t="shared" si="69"/>
        <v>1.3130360209759873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-1.0286385077051818E-13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237.22177246688199</v>
      </c>
      <c r="T124" s="59">
        <f t="shared" si="88"/>
        <v>149.27472147904302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</v>
      </c>
      <c r="AA124" s="21">
        <f>EXP(-LN(2)/25)*AA123+(1-EXP(-LN(2)/25))/(LN(2)/25)*Calculateur!V124*Calculateur!X124*VLOOKUP('Données projet'!$B$9,Paramètres!$A$1:$I$89,3,0)*0.475*44/12</f>
        <v>0.24914009292517217</v>
      </c>
      <c r="AB124" s="21">
        <f>EXP(-LN(2)/2)*AB123+(1-EXP(-LN(2)/2))/(LN(2)/2)*V124*Y124*VLOOKUP('Données projet'!$B$9,Paramètres!$A$1:$I$89,3,0)*0.475*44/12</f>
        <v>1.2438845939723107E-13</v>
      </c>
      <c r="AC124" s="22">
        <f t="shared" si="57"/>
        <v>0.24914009292529657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243.38048563215585</v>
      </c>
      <c r="AO124" s="59">
        <f t="shared" si="90"/>
        <v>372.1604147006675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1.2054879413122463</v>
      </c>
      <c r="AV124" s="21">
        <f>EXP(-LN(2)/25)*AV123+(1-EXP(-LN(2)/25))/(LN(2)/25)*Calculateur!AQ124*Calculateur!AS124*VLOOKUP('Données projet'!$B$10,Paramètres!$A$1:$I$89,3,0)*0.475*44/12</f>
        <v>1.5531401387971857</v>
      </c>
      <c r="AW124" s="21">
        <f>EXP(-LN(2)/2)*AW123+(1-EXP(-LN(2)/2))/(LN(2)/2)*AQ124*AT124*VLOOKUP('Données projet'!$B$10,Paramètres!$A$1:$I$89,3,0)*0.475*44/12</f>
        <v>5.8914771181259762E-13</v>
      </c>
      <c r="AX124" s="21">
        <f t="shared" si="60"/>
        <v>2.7586280801100211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-5.6843418860808015E-13</v>
      </c>
      <c r="BE124" s="13">
        <f>BD124*VLOOKUP('Données projet'!$B$11,Paramètres!$A$1:$I$89,3,0)*VLOOKUP('Données projet'!$B$11,Paramètres!$A$1:$I$89,5,0)</f>
        <v>-3.177547114319168E-13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326.31232746914907</v>
      </c>
      <c r="BJ124" s="59">
        <f t="shared" si="92"/>
        <v>330.17137761430297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0.75342996332015433</v>
      </c>
      <c r="BQ124" s="21">
        <f>EXP(-LN(2)/25)*BQ123+(1-EXP(-LN(2)/25))/(LN(2)/25)*Calculateur!BL124*Calculateur!BN124*VLOOKUP('Données projet'!$B$11,Paramètres!$A$1:$I$89,3,0)*0.475*44/12</f>
        <v>2.4202964508540328</v>
      </c>
      <c r="BR124" s="21">
        <f>EXP(-LN(2)/2)*BR123+(1-EXP(-LN(2)/2))/(LN(2)/2)*BL124*BO124*VLOOKUP('Données projet'!$B$11,Paramètres!$A$1:$I$89,3,0)*0.475*44/12</f>
        <v>6.5360237684566625E-13</v>
      </c>
      <c r="BS124" s="22">
        <f t="shared" si="63"/>
        <v>3.1737264141748409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-2.2737367544323206E-13</v>
      </c>
      <c r="BZ124" s="13">
        <f>BY124*VLOOKUP('Données projet'!$B$12,Paramètres!$A$1:$I$89,3,0)*VLOOKUP('Données projet'!$B$12,Paramètres!$A$1:$I$89,5,0)</f>
        <v>-1.8089849618263545E-13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314.94704727988847</v>
      </c>
      <c r="CE124" s="59">
        <f t="shared" si="94"/>
        <v>366.49199094166454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0.64583124445699025</v>
      </c>
      <c r="CL124" s="21">
        <f>EXP(-LN(2)/25)*CL123+(1-EXP(-LN(2)/25))/(LN(2)/25)*Calculateur!CG124*Calculateur!CI124*VLOOKUP('Données projet'!$B$12,Paramètres!$A$1:$I$89,3,0)*0.475*44/12</f>
        <v>2.037991518696193</v>
      </c>
      <c r="CM124" s="21">
        <f>EXP(-LN(2)/2)*CM123+(1-EXP(-LN(2)/2))/(LN(2)/2)*CG124*CJ124*VLOOKUP('Données projet'!$B$12,Paramètres!$A$1:$I$89,3,0)*0.475*44/12</f>
        <v>5.8019034423553782E-13</v>
      </c>
      <c r="CN124" s="22">
        <f t="shared" si="66"/>
        <v>2.6838227631537634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-5.6843418860808015E-13</v>
      </c>
      <c r="CU124" s="17">
        <f>CT124*VLOOKUP('Données projet'!$B$13,Paramètres!$A$1:$I$89,3,0)*VLOOKUP('Données projet'!$B$13,Paramètres!$A$1:$I$89,5,0)</f>
        <v>-4.4337866711430256E-13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261.59434871103355</v>
      </c>
      <c r="CZ124" s="59">
        <f t="shared" si="96"/>
        <v>194.97518096665976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0.34246816514552453</v>
      </c>
      <c r="DG124" s="21">
        <f>EXP(-LN(2)/25)*DG123+(1-EXP(-LN(2)/25))/(LN(2)/25)*Calculateur!DB124*Calculateur!DD124*VLOOKUP('Données projet'!$B$13,Paramètres!$A$1:$I$89,3,0)*0.475*44/12</f>
        <v>0.93736502356551388</v>
      </c>
      <c r="DH124" s="21">
        <f>EXP(-LN(2)/2)*DH123+(1-EXP(-LN(2)/2))/(LN(2)/2)*DB124*DE124*VLOOKUP('Données projet'!$B$13,Paramètres!$A$1:$I$89,3,0)*0.475*44/12</f>
        <v>3.766503996834262E-13</v>
      </c>
      <c r="DI124" s="22">
        <f t="shared" si="69"/>
        <v>1.2798331887114149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-1.0286385077051818E-13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237.22177246688199</v>
      </c>
      <c r="T125" s="59">
        <f t="shared" si="88"/>
        <v>149.27472147904302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</v>
      </c>
      <c r="AA125" s="21">
        <f>EXP(-LN(2)/25)*AA124+(1-EXP(-LN(2)/25))/(LN(2)/25)*Calculateur!V125*Calculateur!X125*VLOOKUP('Données projet'!$B$9,Paramètres!$A$1:$I$89,3,0)*0.475*44/12</f>
        <v>0.24232734398242525</v>
      </c>
      <c r="AB125" s="21">
        <f>EXP(-LN(2)/2)*AB124+(1-EXP(-LN(2)/2))/(LN(2)/2)*V125*Y125*VLOOKUP('Données projet'!$B$9,Paramètres!$A$1:$I$89,3,0)*0.475*44/12</f>
        <v>8.7955923141129621E-14</v>
      </c>
      <c r="AC125" s="22">
        <f t="shared" si="57"/>
        <v>0.24232734398251321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243.38048563215585</v>
      </c>
      <c r="AO125" s="59">
        <f t="shared" si="90"/>
        <v>372.1604147006675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1.1818490580581551</v>
      </c>
      <c r="AV125" s="21">
        <f>EXP(-LN(2)/25)*AV124+(1-EXP(-LN(2)/25))/(LN(2)/25)*Calculateur!AQ125*Calculateur!AS125*VLOOKUP('Données projet'!$B$10,Paramètres!$A$1:$I$89,3,0)*0.475*44/12</f>
        <v>1.5106694400256866</v>
      </c>
      <c r="AW125" s="21">
        <f>EXP(-LN(2)/2)*AW124+(1-EXP(-LN(2)/2))/(LN(2)/2)*AQ125*AT125*VLOOKUP('Données projet'!$B$10,Paramètres!$A$1:$I$89,3,0)*0.475*44/12</f>
        <v>4.1659034214322563E-13</v>
      </c>
      <c r="AX125" s="21">
        <f t="shared" si="60"/>
        <v>2.692518498084258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-5.6843418860808015E-13</v>
      </c>
      <c r="BE125" s="13">
        <f>BD125*VLOOKUP('Données projet'!$B$11,Paramètres!$A$1:$I$89,3,0)*VLOOKUP('Données projet'!$B$11,Paramètres!$A$1:$I$89,5,0)</f>
        <v>-3.177547114319168E-13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326.31232746914907</v>
      </c>
      <c r="BJ125" s="59">
        <f t="shared" si="92"/>
        <v>330.17137761430297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0.73865566128634719</v>
      </c>
      <c r="BQ125" s="21">
        <f>EXP(-LN(2)/25)*BQ124+(1-EXP(-LN(2)/25))/(LN(2)/25)*Calculateur!BL125*Calculateur!BN125*VLOOKUP('Données projet'!$B$11,Paramètres!$A$1:$I$89,3,0)*0.475*44/12</f>
        <v>2.3541133171275708</v>
      </c>
      <c r="BR125" s="21">
        <f>EXP(-LN(2)/2)*BR124+(1-EXP(-LN(2)/2))/(LN(2)/2)*BL125*BO125*VLOOKUP('Données projet'!$B$11,Paramètres!$A$1:$I$89,3,0)*0.475*44/12</f>
        <v>4.621666728672159E-13</v>
      </c>
      <c r="BS125" s="22">
        <f t="shared" si="63"/>
        <v>3.0927689784143801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-2.2737367544323206E-13</v>
      </c>
      <c r="BZ125" s="13">
        <f>BY125*VLOOKUP('Données projet'!$B$12,Paramètres!$A$1:$I$89,3,0)*VLOOKUP('Données projet'!$B$12,Paramètres!$A$1:$I$89,5,0)</f>
        <v>-1.8089849618263545E-13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314.94704727988847</v>
      </c>
      <c r="CE125" s="59">
        <f t="shared" si="94"/>
        <v>366.49199094166454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0.63316688767135165</v>
      </c>
      <c r="CL125" s="21">
        <f>EXP(-LN(2)/25)*CL124+(1-EXP(-LN(2)/25))/(LN(2)/25)*Calculateur!CG125*Calculateur!CI125*VLOOKUP('Données projet'!$B$12,Paramètres!$A$1:$I$89,3,0)*0.475*44/12</f>
        <v>1.9822625334441295</v>
      </c>
      <c r="CM125" s="21">
        <f>EXP(-LN(2)/2)*CM124+(1-EXP(-LN(2)/2))/(LN(2)/2)*CG125*CJ125*VLOOKUP('Données projet'!$B$12,Paramètres!$A$1:$I$89,3,0)*0.475*44/12</f>
        <v>4.1025652678790614E-13</v>
      </c>
      <c r="CN125" s="22">
        <f t="shared" si="66"/>
        <v>2.6154294211158913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-5.6843418860808015E-13</v>
      </c>
      <c r="CU125" s="17">
        <f>CT125*VLOOKUP('Données projet'!$B$13,Paramètres!$A$1:$I$89,3,0)*VLOOKUP('Données projet'!$B$13,Paramètres!$A$1:$I$89,5,0)</f>
        <v>-4.4337866711430256E-13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261.59434871103355</v>
      </c>
      <c r="CZ125" s="59">
        <f t="shared" si="96"/>
        <v>194.97518096665976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0.33575257331197583</v>
      </c>
      <c r="DG125" s="21">
        <f>EXP(-LN(2)/25)*DG124+(1-EXP(-LN(2)/25))/(LN(2)/25)*Calculateur!DB125*Calculateur!DD125*VLOOKUP('Données projet'!$B$13,Paramètres!$A$1:$I$89,3,0)*0.475*44/12</f>
        <v>0.91173272770223068</v>
      </c>
      <c r="DH125" s="21">
        <f>EXP(-LN(2)/2)*DH124+(1-EXP(-LN(2)/2))/(LN(2)/2)*DB125*DE125*VLOOKUP('Données projet'!$B$13,Paramètres!$A$1:$I$89,3,0)*0.475*44/12</f>
        <v>2.6633205175277412E-13</v>
      </c>
      <c r="DI125" s="22">
        <f t="shared" si="69"/>
        <v>1.2474853010144729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-1.0286385077051818E-13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237.22177246688199</v>
      </c>
      <c r="T126" s="59">
        <f t="shared" si="88"/>
        <v>149.27472147904302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</v>
      </c>
      <c r="AA126" s="21">
        <f>EXP(-LN(2)/25)*AA125+(1-EXP(-LN(2)/25))/(LN(2)/25)*Calculateur!V126*Calculateur!X126*VLOOKUP('Données projet'!$B$9,Paramètres!$A$1:$I$89,3,0)*0.475*44/12</f>
        <v>0.23570089001778466</v>
      </c>
      <c r="AB126" s="21">
        <f>EXP(-LN(2)/2)*AB125+(1-EXP(-LN(2)/2))/(LN(2)/2)*V126*Y126*VLOOKUP('Données projet'!$B$9,Paramètres!$A$1:$I$89,3,0)*0.475*44/12</f>
        <v>6.2194229698615533E-14</v>
      </c>
      <c r="AC126" s="22">
        <f t="shared" si="57"/>
        <v>0.23570089001784686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243.38048563215585</v>
      </c>
      <c r="AO126" s="59">
        <f t="shared" si="90"/>
        <v>372.1604147006675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1.1586737188863814</v>
      </c>
      <c r="AV126" s="21">
        <f>EXP(-LN(2)/25)*AV125+(1-EXP(-LN(2)/25))/(LN(2)/25)*Calculateur!AQ126*Calculateur!AS126*VLOOKUP('Données projet'!$B$10,Paramètres!$A$1:$I$89,3,0)*0.475*44/12</f>
        <v>1.4693601047455309</v>
      </c>
      <c r="AW126" s="21">
        <f>EXP(-LN(2)/2)*AW125+(1-EXP(-LN(2)/2))/(LN(2)/2)*AQ126*AT126*VLOOKUP('Données projet'!$B$10,Paramètres!$A$1:$I$89,3,0)*0.475*44/12</f>
        <v>2.9457385590629881E-13</v>
      </c>
      <c r="AX126" s="21">
        <f t="shared" si="60"/>
        <v>2.6280338236322067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-5.6843418860808015E-13</v>
      </c>
      <c r="BE126" s="13">
        <f>BD126*VLOOKUP('Données projet'!$B$11,Paramètres!$A$1:$I$89,3,0)*VLOOKUP('Données projet'!$B$11,Paramètres!$A$1:$I$89,5,0)</f>
        <v>-3.177547114319168E-13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326.31232746914907</v>
      </c>
      <c r="BJ126" s="59">
        <f t="shared" si="92"/>
        <v>330.17137761430297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0.72417107430398864</v>
      </c>
      <c r="BQ126" s="21">
        <f>EXP(-LN(2)/25)*BQ125+(1-EXP(-LN(2)/25))/(LN(2)/25)*Calculateur!BL126*Calculateur!BN126*VLOOKUP('Données projet'!$B$11,Paramètres!$A$1:$I$89,3,0)*0.475*44/12</f>
        <v>2.2897399646732786</v>
      </c>
      <c r="BR126" s="21">
        <f>EXP(-LN(2)/2)*BR125+(1-EXP(-LN(2)/2))/(LN(2)/2)*BL126*BO126*VLOOKUP('Données projet'!$B$11,Paramètres!$A$1:$I$89,3,0)*0.475*44/12</f>
        <v>3.2680118842283312E-13</v>
      </c>
      <c r="BS126" s="22">
        <f t="shared" si="63"/>
        <v>3.0139110389775938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-2.2737367544323206E-13</v>
      </c>
      <c r="BZ126" s="13">
        <f>BY126*VLOOKUP('Données projet'!$B$12,Paramètres!$A$1:$I$89,3,0)*VLOOKUP('Données projet'!$B$12,Paramètres!$A$1:$I$89,5,0)</f>
        <v>-1.8089849618263545E-13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314.94704727988847</v>
      </c>
      <c r="CE126" s="59">
        <f t="shared" si="94"/>
        <v>366.49199094166454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0.62075087119778449</v>
      </c>
      <c r="CL126" s="21">
        <f>EXP(-LN(2)/25)*CL125+(1-EXP(-LN(2)/25))/(LN(2)/25)*Calculateur!CG126*Calculateur!CI126*VLOOKUP('Données projet'!$B$12,Paramètres!$A$1:$I$89,3,0)*0.475*44/12</f>
        <v>1.9280574602244436</v>
      </c>
      <c r="CM126" s="21">
        <f>EXP(-LN(2)/2)*CM125+(1-EXP(-LN(2)/2))/(LN(2)/2)*CG126*CJ126*VLOOKUP('Données projet'!$B$12,Paramètres!$A$1:$I$89,3,0)*0.475*44/12</f>
        <v>2.9009517211776891E-13</v>
      </c>
      <c r="CN126" s="22">
        <f t="shared" si="66"/>
        <v>2.5488083314225181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-5.6843418860808015E-13</v>
      </c>
      <c r="CU126" s="17">
        <f>CT126*VLOOKUP('Données projet'!$B$13,Paramètres!$A$1:$I$89,3,0)*VLOOKUP('Données projet'!$B$13,Paramètres!$A$1:$I$89,5,0)</f>
        <v>-4.4337866711430256E-13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261.59434871103355</v>
      </c>
      <c r="CZ126" s="59">
        <f t="shared" si="96"/>
        <v>194.97518096665976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0.32916867013817647</v>
      </c>
      <c r="DG126" s="21">
        <f>EXP(-LN(2)/25)*DG125+(1-EXP(-LN(2)/25))/(LN(2)/25)*Calculateur!DB126*Calculateur!DD126*VLOOKUP('Données projet'!$B$13,Paramètres!$A$1:$I$89,3,0)*0.475*44/12</f>
        <v>0.88680134831727286</v>
      </c>
      <c r="DH126" s="21">
        <f>EXP(-LN(2)/2)*DH125+(1-EXP(-LN(2)/2))/(LN(2)/2)*DB126*DE126*VLOOKUP('Données projet'!$B$13,Paramètres!$A$1:$I$89,3,0)*0.475*44/12</f>
        <v>1.883251998417131E-13</v>
      </c>
      <c r="DI126" s="22">
        <f t="shared" si="69"/>
        <v>1.2159700184556377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-1.0286385077051818E-13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237.22177246688199</v>
      </c>
      <c r="T127" s="59">
        <f t="shared" si="88"/>
        <v>149.27472147904302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</v>
      </c>
      <c r="AA127" s="21">
        <f>EXP(-LN(2)/25)*AA126+(1-EXP(-LN(2)/25))/(LN(2)/25)*Calculateur!V127*Calculateur!X127*VLOOKUP('Données projet'!$B$9,Paramètres!$A$1:$I$89,3,0)*0.475*44/12</f>
        <v>0.22925563678527724</v>
      </c>
      <c r="AB127" s="21">
        <f>EXP(-LN(2)/2)*AB126+(1-EXP(-LN(2)/2))/(LN(2)/2)*V127*Y127*VLOOKUP('Données projet'!$B$9,Paramètres!$A$1:$I$89,3,0)*0.475*44/12</f>
        <v>4.397796157056481E-14</v>
      </c>
      <c r="AC127" s="22">
        <f t="shared" si="57"/>
        <v>0.22925563678532121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243.38048563215585</v>
      </c>
      <c r="AO127" s="59">
        <f t="shared" si="90"/>
        <v>372.1604147006675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1.135952833980205</v>
      </c>
      <c r="AV127" s="21">
        <f>EXP(-LN(2)/25)*AV126+(1-EXP(-LN(2)/25))/(LN(2)/25)*Calculateur!AQ127*Calculateur!AS127*VLOOKUP('Données projet'!$B$10,Paramètres!$A$1:$I$89,3,0)*0.475*44/12</f>
        <v>1.4291803754109746</v>
      </c>
      <c r="AW127" s="21">
        <f>EXP(-LN(2)/2)*AW126+(1-EXP(-LN(2)/2))/(LN(2)/2)*AQ127*AT127*VLOOKUP('Données projet'!$B$10,Paramètres!$A$1:$I$89,3,0)*0.475*44/12</f>
        <v>2.0829517107161282E-13</v>
      </c>
      <c r="AX127" s="21">
        <f t="shared" si="60"/>
        <v>2.5651332093913877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-5.6843418860808015E-13</v>
      </c>
      <c r="BE127" s="13">
        <f>BD127*VLOOKUP('Données projet'!$B$11,Paramètres!$A$1:$I$89,3,0)*VLOOKUP('Données projet'!$B$11,Paramètres!$A$1:$I$89,5,0)</f>
        <v>-3.177547114319168E-13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326.31232746914907</v>
      </c>
      <c r="BJ127" s="59">
        <f t="shared" si="92"/>
        <v>330.17137761430297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0.70997052123762838</v>
      </c>
      <c r="BQ127" s="21">
        <f>EXP(-LN(2)/25)*BQ126+(1-EXP(-LN(2)/25))/(LN(2)/25)*Calculateur!BL127*Calculateur!BN127*VLOOKUP('Données projet'!$B$11,Paramètres!$A$1:$I$89,3,0)*0.475*44/12</f>
        <v>2.2271269049270961</v>
      </c>
      <c r="BR127" s="21">
        <f>EXP(-LN(2)/2)*BR126+(1-EXP(-LN(2)/2))/(LN(2)/2)*BL127*BO127*VLOOKUP('Données projet'!$B$11,Paramètres!$A$1:$I$89,3,0)*0.475*44/12</f>
        <v>2.3108333643360795E-13</v>
      </c>
      <c r="BS127" s="22">
        <f t="shared" si="63"/>
        <v>2.9370974261649554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-2.2737367544323206E-13</v>
      </c>
      <c r="BZ127" s="13">
        <f>BY127*VLOOKUP('Données projet'!$B$12,Paramètres!$A$1:$I$89,3,0)*VLOOKUP('Données projet'!$B$12,Paramètres!$A$1:$I$89,5,0)</f>
        <v>-1.8089849618263545E-13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314.94704727988847</v>
      </c>
      <c r="CE127" s="59">
        <f t="shared" si="94"/>
        <v>366.49199094166454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0.60857832523424171</v>
      </c>
      <c r="CL127" s="21">
        <f>EXP(-LN(2)/25)*CL126+(1-EXP(-LN(2)/25))/(LN(2)/25)*Calculateur!CG127*Calculateur!CI127*VLOOKUP('Données projet'!$B$12,Paramètres!$A$1:$I$89,3,0)*0.475*44/12</f>
        <v>1.8753346275824709</v>
      </c>
      <c r="CM127" s="21">
        <f>EXP(-LN(2)/2)*CM126+(1-EXP(-LN(2)/2))/(LN(2)/2)*CG127*CJ127*VLOOKUP('Données projet'!$B$12,Paramètres!$A$1:$I$89,3,0)*0.475*44/12</f>
        <v>2.0512826339395307E-13</v>
      </c>
      <c r="CN127" s="22">
        <f t="shared" si="66"/>
        <v>2.4839129528169179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-5.6843418860808015E-13</v>
      </c>
      <c r="CU127" s="17">
        <f>CT127*VLOOKUP('Données projet'!$B$13,Paramètres!$A$1:$I$89,3,0)*VLOOKUP('Données projet'!$B$13,Paramètres!$A$1:$I$89,5,0)</f>
        <v>-4.4337866711430256E-13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261.59434871103355</v>
      </c>
      <c r="CZ127" s="59">
        <f t="shared" si="96"/>
        <v>194.97518096665976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0.32271387328983092</v>
      </c>
      <c r="DG127" s="21">
        <f>EXP(-LN(2)/25)*DG126+(1-EXP(-LN(2)/25))/(LN(2)/25)*Calculateur!DB127*Calculateur!DD127*VLOOKUP('Données projet'!$B$13,Paramètres!$A$1:$I$89,3,0)*0.475*44/12</f>
        <v>0.86255171881268089</v>
      </c>
      <c r="DH127" s="21">
        <f>EXP(-LN(2)/2)*DH126+(1-EXP(-LN(2)/2))/(LN(2)/2)*DB127*DE127*VLOOKUP('Données projet'!$B$13,Paramètres!$A$1:$I$89,3,0)*0.475*44/12</f>
        <v>1.3316602587638706E-13</v>
      </c>
      <c r="DI127" s="22">
        <f t="shared" si="69"/>
        <v>1.1852655921026449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-1.0286385077051818E-13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237.22177246688199</v>
      </c>
      <c r="T128" s="59">
        <f t="shared" si="88"/>
        <v>149.27472147904302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</v>
      </c>
      <c r="AA128" s="21">
        <f>EXP(-LN(2)/25)*AA127+(1-EXP(-LN(2)/25))/(LN(2)/25)*Calculateur!V128*Calculateur!X128*VLOOKUP('Données projet'!$B$9,Paramètres!$A$1:$I$89,3,0)*0.475*44/12</f>
        <v>0.22298662934135388</v>
      </c>
      <c r="AB128" s="21">
        <f>EXP(-LN(2)/2)*AB127+(1-EXP(-LN(2)/2))/(LN(2)/2)*V128*Y128*VLOOKUP('Données projet'!$B$9,Paramètres!$A$1:$I$89,3,0)*0.475*44/12</f>
        <v>3.1097114849307767E-14</v>
      </c>
      <c r="AC128" s="22">
        <f t="shared" si="57"/>
        <v>0.22298662934138497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243.38048563215585</v>
      </c>
      <c r="AO128" s="59">
        <f t="shared" si="90"/>
        <v>372.1604147006675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1.1136774917686674</v>
      </c>
      <c r="AV128" s="21">
        <f>EXP(-LN(2)/25)*AV127+(1-EXP(-LN(2)/25))/(LN(2)/25)*Calculateur!AQ128*Calculateur!AS128*VLOOKUP('Données projet'!$B$10,Paramètres!$A$1:$I$89,3,0)*0.475*44/12</f>
        <v>1.390099362888032</v>
      </c>
      <c r="AW128" s="21">
        <f>EXP(-LN(2)/2)*AW127+(1-EXP(-LN(2)/2))/(LN(2)/2)*AQ128*AT128*VLOOKUP('Données projet'!$B$10,Paramètres!$A$1:$I$89,3,0)*0.475*44/12</f>
        <v>1.4728692795314941E-13</v>
      </c>
      <c r="AX128" s="21">
        <f t="shared" si="60"/>
        <v>2.5037768546568469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-5.6843418860808015E-13</v>
      </c>
      <c r="BE128" s="13">
        <f>BD128*VLOOKUP('Données projet'!$B$11,Paramètres!$A$1:$I$89,3,0)*VLOOKUP('Données projet'!$B$11,Paramètres!$A$1:$I$89,5,0)</f>
        <v>-3.177547114319168E-13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326.31232746914907</v>
      </c>
      <c r="BJ128" s="59">
        <f t="shared" si="92"/>
        <v>330.17137761430297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0.69604843235541736</v>
      </c>
      <c r="BQ128" s="21">
        <f>EXP(-LN(2)/25)*BQ127+(1-EXP(-LN(2)/25))/(LN(2)/25)*Calculateur!BL128*Calculateur!BN128*VLOOKUP('Données projet'!$B$11,Paramètres!$A$1:$I$89,3,0)*0.475*44/12</f>
        <v>2.1662260025923508</v>
      </c>
      <c r="BR128" s="21">
        <f>EXP(-LN(2)/2)*BR127+(1-EXP(-LN(2)/2))/(LN(2)/2)*BL128*BO128*VLOOKUP('Données projet'!$B$11,Paramètres!$A$1:$I$89,3,0)*0.475*44/12</f>
        <v>1.6340059421141656E-13</v>
      </c>
      <c r="BS128" s="22">
        <f t="shared" si="63"/>
        <v>2.8622744349479317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-2.2737367544323206E-13</v>
      </c>
      <c r="BZ128" s="13">
        <f>BY128*VLOOKUP('Données projet'!$B$12,Paramètres!$A$1:$I$89,3,0)*VLOOKUP('Données projet'!$B$12,Paramètres!$A$1:$I$89,5,0)</f>
        <v>-1.8089849618263545E-13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314.94704727988847</v>
      </c>
      <c r="CE128" s="59">
        <f t="shared" si="94"/>
        <v>366.49199094166454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0.59664447547252408</v>
      </c>
      <c r="CL128" s="21">
        <f>EXP(-LN(2)/25)*CL127+(1-EXP(-LN(2)/25))/(LN(2)/25)*Calculateur!CG128*Calculateur!CI128*VLOOKUP('Données projet'!$B$12,Paramètres!$A$1:$I$89,3,0)*0.475*44/12</f>
        <v>1.8240535035716663</v>
      </c>
      <c r="CM128" s="21">
        <f>EXP(-LN(2)/2)*CM127+(1-EXP(-LN(2)/2))/(LN(2)/2)*CG128*CJ128*VLOOKUP('Données projet'!$B$12,Paramètres!$A$1:$I$89,3,0)*0.475*44/12</f>
        <v>1.4504758605888446E-13</v>
      </c>
      <c r="CN128" s="22">
        <f t="shared" si="66"/>
        <v>2.4206979790443355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-5.6843418860808015E-13</v>
      </c>
      <c r="CU128" s="17">
        <f>CT128*VLOOKUP('Données projet'!$B$13,Paramètres!$A$1:$I$89,3,0)*VLOOKUP('Données projet'!$B$13,Paramètres!$A$1:$I$89,5,0)</f>
        <v>-4.4337866711430256E-13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261.59434871103355</v>
      </c>
      <c r="CZ128" s="59">
        <f t="shared" si="96"/>
        <v>194.97518096665976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0.31638565107064409</v>
      </c>
      <c r="DG128" s="21">
        <f>EXP(-LN(2)/25)*DG127+(1-EXP(-LN(2)/25))/(LN(2)/25)*Calculateur!DB128*Calculateur!DD128*VLOOKUP('Données projet'!$B$13,Paramètres!$A$1:$I$89,3,0)*0.475*44/12</f>
        <v>0.83896519670212466</v>
      </c>
      <c r="DH128" s="21">
        <f>EXP(-LN(2)/2)*DH127+(1-EXP(-LN(2)/2))/(LN(2)/2)*DB128*DE128*VLOOKUP('Données projet'!$B$13,Paramètres!$A$1:$I$89,3,0)*0.475*44/12</f>
        <v>9.416259992085655E-14</v>
      </c>
      <c r="DI128" s="22">
        <f t="shared" si="69"/>
        <v>1.1553508477728629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-1.0286385077051818E-13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237.22177246688199</v>
      </c>
      <c r="T129" s="59">
        <f t="shared" si="88"/>
        <v>149.27472147904302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</v>
      </c>
      <c r="AA129" s="21">
        <f>EXP(-LN(2)/25)*AA128+(1-EXP(-LN(2)/25))/(LN(2)/25)*Calculateur!V129*Calculateur!X129*VLOOKUP('Données projet'!$B$9,Paramètres!$A$1:$I$89,3,0)*0.475*44/12</f>
        <v>0.21688904823565736</v>
      </c>
      <c r="AB129" s="21">
        <f>EXP(-LN(2)/2)*AB128+(1-EXP(-LN(2)/2))/(LN(2)/2)*V129*Y129*VLOOKUP('Données projet'!$B$9,Paramètres!$A$1:$I$89,3,0)*0.475*44/12</f>
        <v>2.1988980785282405E-14</v>
      </c>
      <c r="AC129" s="22">
        <f t="shared" si="57"/>
        <v>0.21688904823567934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243.38048563215585</v>
      </c>
      <c r="AO129" s="59">
        <f t="shared" si="90"/>
        <v>372.1604147006675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1.0918389554312808</v>
      </c>
      <c r="AV129" s="21">
        <f>EXP(-LN(2)/25)*AV128+(1-EXP(-LN(2)/25))/(LN(2)/25)*Calculateur!AQ129*Calculateur!AS129*VLOOKUP('Données projet'!$B$10,Paramètres!$A$1:$I$89,3,0)*0.475*44/12</f>
        <v>1.3520870227077104</v>
      </c>
      <c r="AW129" s="21">
        <f>EXP(-LN(2)/2)*AW128+(1-EXP(-LN(2)/2))/(LN(2)/2)*AQ129*AT129*VLOOKUP('Données projet'!$B$10,Paramètres!$A$1:$I$89,3,0)*0.475*44/12</f>
        <v>1.0414758553580641E-13</v>
      </c>
      <c r="AX129" s="21">
        <f t="shared" si="60"/>
        <v>2.4439259781390956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-5.6843418860808015E-13</v>
      </c>
      <c r="BE129" s="13">
        <f>BD129*VLOOKUP('Données projet'!$B$11,Paramètres!$A$1:$I$89,3,0)*VLOOKUP('Données projet'!$B$11,Paramètres!$A$1:$I$89,5,0)</f>
        <v>-3.177547114319168E-13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326.31232746914907</v>
      </c>
      <c r="BJ129" s="59">
        <f t="shared" si="92"/>
        <v>330.17137761430297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0.68239934714455075</v>
      </c>
      <c r="BQ129" s="21">
        <f>EXP(-LN(2)/25)*BQ128+(1-EXP(-LN(2)/25))/(LN(2)/25)*Calculateur!BL129*Calculateur!BN129*VLOOKUP('Données projet'!$B$11,Paramètres!$A$1:$I$89,3,0)*0.475*44/12</f>
        <v>2.1069904386345883</v>
      </c>
      <c r="BR129" s="21">
        <f>EXP(-LN(2)/2)*BR128+(1-EXP(-LN(2)/2))/(LN(2)/2)*BL129*BO129*VLOOKUP('Données projet'!$B$11,Paramètres!$A$1:$I$89,3,0)*0.475*44/12</f>
        <v>1.1554166821680398E-13</v>
      </c>
      <c r="BS129" s="22">
        <f t="shared" si="63"/>
        <v>2.7893897857792544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-2.2737367544323206E-13</v>
      </c>
      <c r="BZ129" s="13">
        <f>BY129*VLOOKUP('Données projet'!$B$12,Paramètres!$A$1:$I$89,3,0)*VLOOKUP('Données projet'!$B$12,Paramètres!$A$1:$I$89,5,0)</f>
        <v>-1.8089849618263545E-13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314.94704727988847</v>
      </c>
      <c r="CE129" s="59">
        <f t="shared" si="94"/>
        <v>366.49199094166454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0.58494464122570411</v>
      </c>
      <c r="CL129" s="21">
        <f>EXP(-LN(2)/25)*CL128+(1-EXP(-LN(2)/25))/(LN(2)/25)*Calculateur!CG129*Calculateur!CI129*VLOOKUP('Données projet'!$B$12,Paramètres!$A$1:$I$89,3,0)*0.475*44/12</f>
        <v>1.7741746645936942</v>
      </c>
      <c r="CM129" s="21">
        <f>EXP(-LN(2)/2)*CM128+(1-EXP(-LN(2)/2))/(LN(2)/2)*CG129*CJ129*VLOOKUP('Données projet'!$B$12,Paramètres!$A$1:$I$89,3,0)*0.475*44/12</f>
        <v>1.0256413169697653E-13</v>
      </c>
      <c r="CN129" s="22">
        <f t="shared" si="66"/>
        <v>2.359119305819501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-5.6843418860808015E-13</v>
      </c>
      <c r="CU129" s="17">
        <f>CT129*VLOOKUP('Données projet'!$B$13,Paramètres!$A$1:$I$89,3,0)*VLOOKUP('Données projet'!$B$13,Paramètres!$A$1:$I$89,5,0)</f>
        <v>-4.4337866711430256E-13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261.59434871103355</v>
      </c>
      <c r="CZ129" s="59">
        <f t="shared" si="96"/>
        <v>194.97518096665976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0.31018152142934108</v>
      </c>
      <c r="DG129" s="21">
        <f>EXP(-LN(2)/25)*DG128+(1-EXP(-LN(2)/25))/(LN(2)/25)*Calculateur!DB129*Calculateur!DD129*VLOOKUP('Données projet'!$B$13,Paramètres!$A$1:$I$89,3,0)*0.475*44/12</f>
        <v>0.81602364927904281</v>
      </c>
      <c r="DH129" s="21">
        <f>EXP(-LN(2)/2)*DH128+(1-EXP(-LN(2)/2))/(LN(2)/2)*DB129*DE129*VLOOKUP('Données projet'!$B$13,Paramètres!$A$1:$I$89,3,0)*0.475*44/12</f>
        <v>6.658301293819353E-14</v>
      </c>
      <c r="DI129" s="22">
        <f t="shared" si="69"/>
        <v>1.1262051707084506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-1.0286385077051818E-13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237.22177246688199</v>
      </c>
      <c r="T130" s="59">
        <f t="shared" si="88"/>
        <v>149.27472147904302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</v>
      </c>
      <c r="AA130" s="21">
        <f>EXP(-LN(2)/25)*AA129+(1-EXP(-LN(2)/25))/(LN(2)/25)*Calculateur!V130*Calculateur!X130*VLOOKUP('Données projet'!$B$9,Paramètres!$A$1:$I$89,3,0)*0.475*44/12</f>
        <v>0.21095820580595395</v>
      </c>
      <c r="AB130" s="21">
        <f>EXP(-LN(2)/2)*AB129+(1-EXP(-LN(2)/2))/(LN(2)/2)*V130*Y130*VLOOKUP('Données projet'!$B$9,Paramètres!$A$1:$I$89,3,0)*0.475*44/12</f>
        <v>1.5548557424653883E-14</v>
      </c>
      <c r="AC130" s="22">
        <f t="shared" si="57"/>
        <v>0.2109582058059695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243.38048563215585</v>
      </c>
      <c r="AO130" s="59">
        <f t="shared" si="90"/>
        <v>372.1604147006675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1.0704286594712786</v>
      </c>
      <c r="AV130" s="21">
        <f>EXP(-LN(2)/25)*AV129+(1-EXP(-LN(2)/25))/(LN(2)/25)*Calculateur!AQ130*Calculateur!AS130*VLOOKUP('Données projet'!$B$10,Paramètres!$A$1:$I$89,3,0)*0.475*44/12</f>
        <v>1.3151141319686017</v>
      </c>
      <c r="AW130" s="21">
        <f>EXP(-LN(2)/2)*AW129+(1-EXP(-LN(2)/2))/(LN(2)/2)*AQ130*AT130*VLOOKUP('Données projet'!$B$10,Paramètres!$A$1:$I$89,3,0)*0.475*44/12</f>
        <v>7.3643463976574703E-14</v>
      </c>
      <c r="AX130" s="21">
        <f t="shared" si="60"/>
        <v>2.3855427914399541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-5.6843418860808015E-13</v>
      </c>
      <c r="BE130" s="13">
        <f>BD130*VLOOKUP('Données projet'!$B$11,Paramètres!$A$1:$I$89,3,0)*VLOOKUP('Données projet'!$B$11,Paramètres!$A$1:$I$89,5,0)</f>
        <v>-3.177547114319168E-13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326.31232746914907</v>
      </c>
      <c r="BJ130" s="59">
        <f t="shared" si="92"/>
        <v>330.17137761430297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0.66901791216954931</v>
      </c>
      <c r="BQ130" s="21">
        <f>EXP(-LN(2)/25)*BQ129+(1-EXP(-LN(2)/25))/(LN(2)/25)*Calculateur!BL130*Calculateur!BN130*VLOOKUP('Données projet'!$B$11,Paramètres!$A$1:$I$89,3,0)*0.475*44/12</f>
        <v>2.0493746742883139</v>
      </c>
      <c r="BR130" s="21">
        <f>EXP(-LN(2)/2)*BR129+(1-EXP(-LN(2)/2))/(LN(2)/2)*BL130*BO130*VLOOKUP('Données projet'!$B$11,Paramètres!$A$1:$I$89,3,0)*0.475*44/12</f>
        <v>8.1700297105708281E-14</v>
      </c>
      <c r="BS130" s="22">
        <f t="shared" si="63"/>
        <v>2.718392586457945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-2.2737367544323206E-13</v>
      </c>
      <c r="BZ130" s="13">
        <f>BY130*VLOOKUP('Données projet'!$B$12,Paramètres!$A$1:$I$89,3,0)*VLOOKUP('Données projet'!$B$12,Paramètres!$A$1:$I$89,5,0)</f>
        <v>-1.8089849618263545E-13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314.94704727988847</v>
      </c>
      <c r="CE130" s="59">
        <f t="shared" si="94"/>
        <v>366.49199094166454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0.57347423359227001</v>
      </c>
      <c r="CL130" s="21">
        <f>EXP(-LN(2)/25)*CL129+(1-EXP(-LN(2)/25))/(LN(2)/25)*Calculateur!CG130*Calculateur!CI130*VLOOKUP('Données projet'!$B$12,Paramètres!$A$1:$I$89,3,0)*0.475*44/12</f>
        <v>1.7256597650905889</v>
      </c>
      <c r="CM130" s="21">
        <f>EXP(-LN(2)/2)*CM129+(1-EXP(-LN(2)/2))/(LN(2)/2)*CG130*CJ130*VLOOKUP('Données projet'!$B$12,Paramètres!$A$1:$I$89,3,0)*0.475*44/12</f>
        <v>7.2523793029442228E-14</v>
      </c>
      <c r="CN130" s="22">
        <f t="shared" si="66"/>
        <v>2.2991339986829313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-5.6843418860808015E-13</v>
      </c>
      <c r="CU130" s="17">
        <f>CT130*VLOOKUP('Données projet'!$B$13,Paramètres!$A$1:$I$89,3,0)*VLOOKUP('Données projet'!$B$13,Paramètres!$A$1:$I$89,5,0)</f>
        <v>-4.4337866711430256E-13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261.59434871103355</v>
      </c>
      <c r="CZ130" s="59">
        <f t="shared" si="96"/>
        <v>194.97518096665976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0.30409905098615858</v>
      </c>
      <c r="DG130" s="21">
        <f>EXP(-LN(2)/25)*DG129+(1-EXP(-LN(2)/25))/(LN(2)/25)*Calculateur!DB130*Calculateur!DD130*VLOOKUP('Données projet'!$B$13,Paramètres!$A$1:$I$89,3,0)*0.475*44/12</f>
        <v>0.79370943967668872</v>
      </c>
      <c r="DH130" s="21">
        <f>EXP(-LN(2)/2)*DH129+(1-EXP(-LN(2)/2))/(LN(2)/2)*DB130*DE130*VLOOKUP('Données projet'!$B$13,Paramètres!$A$1:$I$89,3,0)*0.475*44/12</f>
        <v>4.7081299960428275E-14</v>
      </c>
      <c r="DI130" s="22">
        <f t="shared" si="69"/>
        <v>1.0978084906628944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-1.0286385077051818E-13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237.22177246688199</v>
      </c>
      <c r="T131" s="59">
        <f t="shared" si="88"/>
        <v>149.27472147904302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</v>
      </c>
      <c r="AA131" s="21">
        <f>EXP(-LN(2)/25)*AA130+(1-EXP(-LN(2)/25))/(LN(2)/25)*Calculateur!V131*Calculateur!X131*VLOOKUP('Données projet'!$B$9,Paramètres!$A$1:$I$89,3,0)*0.475*44/12</f>
        <v>0.20518954257438024</v>
      </c>
      <c r="AB131" s="21">
        <f>EXP(-LN(2)/2)*AB130+(1-EXP(-LN(2)/2))/(LN(2)/2)*V131*Y131*VLOOKUP('Données projet'!$B$9,Paramètres!$A$1:$I$89,3,0)*0.475*44/12</f>
        <v>1.0994490392641203E-14</v>
      </c>
      <c r="AC131" s="22">
        <f t="shared" si="57"/>
        <v>0.20518954257439123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243.38048563215585</v>
      </c>
      <c r="AO131" s="59">
        <f t="shared" si="90"/>
        <v>372.1604147006675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1.049438206356061</v>
      </c>
      <c r="AV131" s="21">
        <f>EXP(-LN(2)/25)*AV130+(1-EXP(-LN(2)/25))/(LN(2)/25)*Calculateur!AQ131*Calculateur!AS131*VLOOKUP('Données projet'!$B$10,Paramètres!$A$1:$I$89,3,0)*0.475*44/12</f>
        <v>1.2791522668710738</v>
      </c>
      <c r="AW131" s="21">
        <f>EXP(-LN(2)/2)*AW130+(1-EXP(-LN(2)/2))/(LN(2)/2)*AQ131*AT131*VLOOKUP('Données projet'!$B$10,Paramètres!$A$1:$I$89,3,0)*0.475*44/12</f>
        <v>5.2073792767903204E-14</v>
      </c>
      <c r="AX131" s="21">
        <f t="shared" si="60"/>
        <v>2.3285904732271869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-5.6843418860808015E-13</v>
      </c>
      <c r="BE131" s="13">
        <f>BD131*VLOOKUP('Données projet'!$B$11,Paramètres!$A$1:$I$89,3,0)*VLOOKUP('Données projet'!$B$11,Paramètres!$A$1:$I$89,5,0)</f>
        <v>-3.177547114319168E-13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326.31232746914907</v>
      </c>
      <c r="BJ131" s="59">
        <f t="shared" si="92"/>
        <v>330.17137761430297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0.65589887897253818</v>
      </c>
      <c r="BQ131" s="21">
        <f>EXP(-LN(2)/25)*BQ130+(1-EXP(-LN(2)/25))/(LN(2)/25)*Calculateur!BL131*Calculateur!BN131*VLOOKUP('Données projet'!$B$11,Paramètres!$A$1:$I$89,3,0)*0.475*44/12</f>
        <v>1.9933344160479698</v>
      </c>
      <c r="BR131" s="21">
        <f>EXP(-LN(2)/2)*BR130+(1-EXP(-LN(2)/2))/(LN(2)/2)*BL131*BO131*VLOOKUP('Données projet'!$B$11,Paramètres!$A$1:$I$89,3,0)*0.475*44/12</f>
        <v>5.7770834108401988E-14</v>
      </c>
      <c r="BS131" s="22">
        <f t="shared" si="63"/>
        <v>2.6492332950205659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-2.2737367544323206E-13</v>
      </c>
      <c r="BZ131" s="13">
        <f>BY131*VLOOKUP('Données projet'!$B$12,Paramètres!$A$1:$I$89,3,0)*VLOOKUP('Données projet'!$B$12,Paramètres!$A$1:$I$89,5,0)</f>
        <v>-1.8089849618263545E-13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314.94704727988847</v>
      </c>
      <c r="CE131" s="59">
        <f t="shared" si="94"/>
        <v>366.49199094166454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0.56222875365626968</v>
      </c>
      <c r="CL131" s="21">
        <f>EXP(-LN(2)/25)*CL130+(1-EXP(-LN(2)/25))/(LN(2)/25)*Calculateur!CG131*Calculateur!CI131*VLOOKUP('Données projet'!$B$12,Paramètres!$A$1:$I$89,3,0)*0.475*44/12</f>
        <v>1.6784715080656838</v>
      </c>
      <c r="CM131" s="21">
        <f>EXP(-LN(2)/2)*CM130+(1-EXP(-LN(2)/2))/(LN(2)/2)*CG131*CJ131*VLOOKUP('Données projet'!$B$12,Paramètres!$A$1:$I$89,3,0)*0.475*44/12</f>
        <v>5.1282065848488267E-14</v>
      </c>
      <c r="CN131" s="22">
        <f t="shared" si="66"/>
        <v>2.2407002617220044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-5.6843418860808015E-13</v>
      </c>
      <c r="CU131" s="17">
        <f>CT131*VLOOKUP('Données projet'!$B$13,Paramètres!$A$1:$I$89,3,0)*VLOOKUP('Données projet'!$B$13,Paramètres!$A$1:$I$89,5,0)</f>
        <v>-4.4337866711430256E-13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261.59434871103355</v>
      </c>
      <c r="CZ131" s="59">
        <f t="shared" si="96"/>
        <v>194.97518096665976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0.2981358540784263</v>
      </c>
      <c r="DG131" s="21">
        <f>EXP(-LN(2)/25)*DG130+(1-EXP(-LN(2)/25))/(LN(2)/25)*Calculateur!DB131*Calculateur!DD131*VLOOKUP('Données projet'!$B$13,Paramètres!$A$1:$I$89,3,0)*0.475*44/12</f>
        <v>0.77200541330936423</v>
      </c>
      <c r="DH131" s="21">
        <f>EXP(-LN(2)/2)*DH130+(1-EXP(-LN(2)/2))/(LN(2)/2)*DB131*DE131*VLOOKUP('Données projet'!$B$13,Paramètres!$A$1:$I$89,3,0)*0.475*44/12</f>
        <v>3.3291506469096765E-14</v>
      </c>
      <c r="DI131" s="22">
        <f t="shared" si="69"/>
        <v>1.0701412673878239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-1.0286385077051818E-13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237.22177246688199</v>
      </c>
      <c r="T132" s="59">
        <f t="shared" si="88"/>
        <v>149.27472147904302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</v>
      </c>
      <c r="AA132" s="21">
        <f>EXP(-LN(2)/25)*AA131+(1-EXP(-LN(2)/25))/(LN(2)/25)*Calculateur!V132*Calculateur!X132*VLOOKUP('Données projet'!$B$9,Paramètres!$A$1:$I$89,3,0)*0.475*44/12</f>
        <v>0.19957862374223473</v>
      </c>
      <c r="AB132" s="21">
        <f>EXP(-LN(2)/2)*AB131+(1-EXP(-LN(2)/2))/(LN(2)/2)*V132*Y132*VLOOKUP('Données projet'!$B$9,Paramètres!$A$1:$I$89,3,0)*0.475*44/12</f>
        <v>7.7742787123269417E-15</v>
      </c>
      <c r="AC132" s="22">
        <f t="shared" ref="AC132:AC153" si="111">SUM(Z132:AB132)</f>
        <v>0.1995786237422425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243.38048563215585</v>
      </c>
      <c r="AO132" s="59">
        <f t="shared" si="90"/>
        <v>372.1604147006675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1.0288593632235206</v>
      </c>
      <c r="AV132" s="21">
        <f>EXP(-LN(2)/25)*AV131+(1-EXP(-LN(2)/25))/(LN(2)/25)*Calculateur!AQ132*Calculateur!AS132*VLOOKUP('Données projet'!$B$10,Paramètres!$A$1:$I$89,3,0)*0.475*44/12</f>
        <v>1.24417378086579</v>
      </c>
      <c r="AW132" s="21">
        <f>EXP(-LN(2)/2)*AW131+(1-EXP(-LN(2)/2))/(LN(2)/2)*AQ132*AT132*VLOOKUP('Données projet'!$B$10,Paramètres!$A$1:$I$89,3,0)*0.475*44/12</f>
        <v>3.6821731988287352E-14</v>
      </c>
      <c r="AX132" s="21">
        <f t="shared" ref="AX132:AX153" si="114">SUM(AU132:AW132)</f>
        <v>2.2730331440893474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-5.6843418860808015E-13</v>
      </c>
      <c r="BE132" s="13">
        <f>BD132*VLOOKUP('Données projet'!$B$11,Paramètres!$A$1:$I$89,3,0)*VLOOKUP('Données projet'!$B$11,Paramètres!$A$1:$I$89,5,0)</f>
        <v>-3.177547114319168E-13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326.31232746914907</v>
      </c>
      <c r="BJ132" s="59">
        <f t="shared" si="92"/>
        <v>330.17137761430297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0.64303710201470032</v>
      </c>
      <c r="BQ132" s="21">
        <f>EXP(-LN(2)/25)*BQ131+(1-EXP(-LN(2)/25))/(LN(2)/25)*Calculateur!BL132*Calculateur!BN132*VLOOKUP('Données projet'!$B$11,Paramètres!$A$1:$I$89,3,0)*0.475*44/12</f>
        <v>1.9388265816162369</v>
      </c>
      <c r="BR132" s="21">
        <f>EXP(-LN(2)/2)*BR131+(1-EXP(-LN(2)/2))/(LN(2)/2)*BL132*BO132*VLOOKUP('Données projet'!$B$11,Paramètres!$A$1:$I$89,3,0)*0.475*44/12</f>
        <v>4.0850148552854141E-14</v>
      </c>
      <c r="BS132" s="22">
        <f t="shared" ref="BS132:BS153" si="117">SUM(BP132:BR132)</f>
        <v>2.5818636836309778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-2.2737367544323206E-13</v>
      </c>
      <c r="BZ132" s="13">
        <f>BY132*VLOOKUP('Données projet'!$B$12,Paramètres!$A$1:$I$89,3,0)*VLOOKUP('Données projet'!$B$12,Paramètres!$A$1:$I$89,5,0)</f>
        <v>-1.8089849618263545E-13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314.94704727988847</v>
      </c>
      <c r="CE132" s="59">
        <f t="shared" si="94"/>
        <v>366.49199094166454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0.55120379072274883</v>
      </c>
      <c r="CL132" s="21">
        <f>EXP(-LN(2)/25)*CL131+(1-EXP(-LN(2)/25))/(LN(2)/25)*Calculateur!CG132*Calculateur!CI132*VLOOKUP('Données projet'!$B$12,Paramètres!$A$1:$I$89,3,0)*0.475*44/12</f>
        <v>1.6325736164106472</v>
      </c>
      <c r="CM132" s="21">
        <f>EXP(-LN(2)/2)*CM131+(1-EXP(-LN(2)/2))/(LN(2)/2)*CG132*CJ132*VLOOKUP('Données projet'!$B$12,Paramètres!$A$1:$I$89,3,0)*0.475*44/12</f>
        <v>3.6261896514721114E-14</v>
      </c>
      <c r="CN132" s="22">
        <f t="shared" ref="CN132:CN153" si="120">SUM(CK132:CM132)</f>
        <v>2.1837774071334324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-5.6843418860808015E-13</v>
      </c>
      <c r="CU132" s="17">
        <f>CT132*VLOOKUP('Données projet'!$B$13,Paramètres!$A$1:$I$89,3,0)*VLOOKUP('Données projet'!$B$13,Paramètres!$A$1:$I$89,5,0)</f>
        <v>-4.4337866711430256E-13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261.59434871103355</v>
      </c>
      <c r="CZ132" s="59">
        <f t="shared" si="96"/>
        <v>194.97518096665976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0.29228959182486364</v>
      </c>
      <c r="DG132" s="21">
        <f>EXP(-LN(2)/25)*DG131+(1-EXP(-LN(2)/25))/(LN(2)/25)*Calculateur!DB132*Calculateur!DD132*VLOOKUP('Données projet'!$B$13,Paramètres!$A$1:$I$89,3,0)*0.475*44/12</f>
        <v>0.75089488468441945</v>
      </c>
      <c r="DH132" s="21">
        <f>EXP(-LN(2)/2)*DH131+(1-EXP(-LN(2)/2))/(LN(2)/2)*DB132*DE132*VLOOKUP('Données projet'!$B$13,Paramètres!$A$1:$I$89,3,0)*0.475*44/12</f>
        <v>2.3540649980214138E-14</v>
      </c>
      <c r="DI132" s="22">
        <f t="shared" ref="DI132:DI153" si="123">SUM(DF132:DH132)</f>
        <v>1.0431844765093066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-1.0286385077051818E-13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237.22177246688199</v>
      </c>
      <c r="T133" s="59">
        <f t="shared" ref="T133:T196" si="142">$T$3</f>
        <v>149.27472147904302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</v>
      </c>
      <c r="AA133" s="21">
        <f>EXP(-LN(2)/25)*AA132+(1-EXP(-LN(2)/25))/(LN(2)/25)*Calculateur!V133*Calculateur!X133*VLOOKUP('Données projet'!$B$9,Paramètres!$A$1:$I$89,3,0)*0.475*44/12</f>
        <v>0.19412113578061965</v>
      </c>
      <c r="AB133" s="21">
        <f>EXP(-LN(2)/2)*AB132+(1-EXP(-LN(2)/2))/(LN(2)/2)*V133*Y133*VLOOKUP('Données projet'!$B$9,Paramètres!$A$1:$I$89,3,0)*0.475*44/12</f>
        <v>5.4972451963206013E-15</v>
      </c>
      <c r="AC133" s="22">
        <f t="shared" si="111"/>
        <v>0.19412113578062515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243.38048563215585</v>
      </c>
      <c r="AO133" s="59">
        <f t="shared" ref="AO133:AO196" si="144">$AO$3</f>
        <v>372.1604147006675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1.0086840586529542</v>
      </c>
      <c r="AV133" s="21">
        <f>EXP(-LN(2)/25)*AV132+(1-EXP(-LN(2)/25))/(LN(2)/25)*Calculateur!AQ133*Calculateur!AS133*VLOOKUP('Données projet'!$B$10,Paramètres!$A$1:$I$89,3,0)*0.475*44/12</f>
        <v>1.2101517833997595</v>
      </c>
      <c r="AW133" s="21">
        <f>EXP(-LN(2)/2)*AW132+(1-EXP(-LN(2)/2))/(LN(2)/2)*AQ133*AT133*VLOOKUP('Données projet'!$B$10,Paramètres!$A$1:$I$89,3,0)*0.475*44/12</f>
        <v>2.6036896383951602E-14</v>
      </c>
      <c r="AX133" s="21">
        <f t="shared" si="114"/>
        <v>2.2188358420527399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-5.6843418860808015E-13</v>
      </c>
      <c r="BE133" s="13">
        <f>BD133*VLOOKUP('Données projet'!$B$11,Paramètres!$A$1:$I$89,3,0)*VLOOKUP('Données projet'!$B$11,Paramètres!$A$1:$I$89,5,0)</f>
        <v>-3.177547114319168E-13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326.31232746914907</v>
      </c>
      <c r="BJ133" s="59">
        <f t="shared" ref="BJ133:BJ196" si="146">$BJ$3</f>
        <v>330.17137761430297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0.63042753665809637</v>
      </c>
      <c r="BQ133" s="21">
        <f>EXP(-LN(2)/25)*BQ132+(1-EXP(-LN(2)/25))/(LN(2)/25)*Calculateur!BL133*Calculateur!BN133*VLOOKUP('Données projet'!$B$11,Paramètres!$A$1:$I$89,3,0)*0.475*44/12</f>
        <v>1.8858092667834823</v>
      </c>
      <c r="BR133" s="21">
        <f>EXP(-LN(2)/2)*BR132+(1-EXP(-LN(2)/2))/(LN(2)/2)*BL133*BO133*VLOOKUP('Données projet'!$B$11,Paramètres!$A$1:$I$89,3,0)*0.475*44/12</f>
        <v>2.8885417054200994E-14</v>
      </c>
      <c r="BS133" s="22">
        <f t="shared" si="117"/>
        <v>2.5162368034416076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-2.2737367544323206E-13</v>
      </c>
      <c r="BZ133" s="13">
        <f>BY133*VLOOKUP('Données projet'!$B$12,Paramètres!$A$1:$I$89,3,0)*VLOOKUP('Données projet'!$B$12,Paramètres!$A$1:$I$89,5,0)</f>
        <v>-1.8089849618263545E-13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314.94704727988847</v>
      </c>
      <c r="CE133" s="59">
        <f t="shared" ref="CE133:CE196" si="148">$CE$3</f>
        <v>366.49199094166454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0.54039502058779099</v>
      </c>
      <c r="CL133" s="21">
        <f>EXP(-LN(2)/25)*CL132+(1-EXP(-LN(2)/25))/(LN(2)/25)*Calculateur!CG133*Calculateur!CI133*VLOOKUP('Données projet'!$B$12,Paramètres!$A$1:$I$89,3,0)*0.475*44/12</f>
        <v>1.587930805016583</v>
      </c>
      <c r="CM133" s="21">
        <f>EXP(-LN(2)/2)*CM132+(1-EXP(-LN(2)/2))/(LN(2)/2)*CG133*CJ133*VLOOKUP('Données projet'!$B$12,Paramètres!$A$1:$I$89,3,0)*0.475*44/12</f>
        <v>2.5641032924244134E-14</v>
      </c>
      <c r="CN133" s="22">
        <f t="shared" si="120"/>
        <v>2.1283258256043998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-5.6843418860808015E-13</v>
      </c>
      <c r="CU133" s="17">
        <f>CT133*VLOOKUP('Données projet'!$B$13,Paramètres!$A$1:$I$89,3,0)*VLOOKUP('Données projet'!$B$13,Paramètres!$A$1:$I$89,5,0)</f>
        <v>-4.4337866711430256E-13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261.59434871103355</v>
      </c>
      <c r="CZ133" s="59">
        <f t="shared" ref="CZ133:CZ196" si="150">$CZ$3</f>
        <v>194.97518096665976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0.28655797120822546</v>
      </c>
      <c r="DG133" s="21">
        <f>EXP(-LN(2)/25)*DG132+(1-EXP(-LN(2)/25))/(LN(2)/25)*Calculateur!DB133*Calculateur!DD133*VLOOKUP('Données projet'!$B$13,Paramètres!$A$1:$I$89,3,0)*0.475*44/12</f>
        <v>0.73036162457487819</v>
      </c>
      <c r="DH133" s="21">
        <f>EXP(-LN(2)/2)*DH132+(1-EXP(-LN(2)/2))/(LN(2)/2)*DB133*DE133*VLOOKUP('Données projet'!$B$13,Paramètres!$A$1:$I$89,3,0)*0.475*44/12</f>
        <v>1.6645753234548382E-14</v>
      </c>
      <c r="DI133" s="22">
        <f t="shared" si="123"/>
        <v>1.0169195957831203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-1.0286385077051818E-13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237.22177246688199</v>
      </c>
      <c r="T134" s="59">
        <f t="shared" si="142"/>
        <v>149.27472147904302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</v>
      </c>
      <c r="AA134" s="21">
        <f>EXP(-LN(2)/25)*AA133+(1-EXP(-LN(2)/25))/(LN(2)/25)*Calculateur!V134*Calculateur!X134*VLOOKUP('Données projet'!$B$9,Paramètres!$A$1:$I$89,3,0)*0.475*44/12</f>
        <v>0.18881288311431174</v>
      </c>
      <c r="AB134" s="21">
        <f>EXP(-LN(2)/2)*AB133+(1-EXP(-LN(2)/2))/(LN(2)/2)*V134*Y134*VLOOKUP('Données projet'!$B$9,Paramètres!$A$1:$I$89,3,0)*0.475*44/12</f>
        <v>3.8871393561634708E-15</v>
      </c>
      <c r="AC134" s="22">
        <f t="shared" si="111"/>
        <v>0.18881288311431563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243.38048563215585</v>
      </c>
      <c r="AO134" s="59">
        <f t="shared" si="144"/>
        <v>372.1604147006675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0.98890437949929599</v>
      </c>
      <c r="AV134" s="21">
        <f>EXP(-LN(2)/25)*AV133+(1-EXP(-LN(2)/25))/(LN(2)/25)*Calculateur!AQ134*Calculateur!AS134*VLOOKUP('Données projet'!$B$10,Paramètres!$A$1:$I$89,3,0)*0.475*44/12</f>
        <v>1.1770601192435766</v>
      </c>
      <c r="AW134" s="21">
        <f>EXP(-LN(2)/2)*AW133+(1-EXP(-LN(2)/2))/(LN(2)/2)*AQ134*AT134*VLOOKUP('Données projet'!$B$10,Paramètres!$A$1:$I$89,3,0)*0.475*44/12</f>
        <v>1.8410865994143676E-14</v>
      </c>
      <c r="AX134" s="21">
        <f t="shared" si="114"/>
        <v>2.1659644987428908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-5.6843418860808015E-13</v>
      </c>
      <c r="BE134" s="13">
        <f>BD134*VLOOKUP('Données projet'!$B$11,Paramètres!$A$1:$I$89,3,0)*VLOOKUP('Données projet'!$B$11,Paramètres!$A$1:$I$89,5,0)</f>
        <v>-3.177547114319168E-13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326.31232746914907</v>
      </c>
      <c r="BJ134" s="59">
        <f t="shared" si="146"/>
        <v>330.17137761430297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0.61806523718705997</v>
      </c>
      <c r="BQ134" s="21">
        <f>EXP(-LN(2)/25)*BQ133+(1-EXP(-LN(2)/25))/(LN(2)/25)*Calculateur!BL134*Calculateur!BN134*VLOOKUP('Données projet'!$B$11,Paramètres!$A$1:$I$89,3,0)*0.475*44/12</f>
        <v>1.8342417132128888</v>
      </c>
      <c r="BR134" s="21">
        <f>EXP(-LN(2)/2)*BR133+(1-EXP(-LN(2)/2))/(LN(2)/2)*BL134*BO134*VLOOKUP('Données projet'!$B$11,Paramètres!$A$1:$I$89,3,0)*0.475*44/12</f>
        <v>2.042507427642707E-14</v>
      </c>
      <c r="BS134" s="22">
        <f t="shared" si="117"/>
        <v>2.452306950399969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-2.2737367544323206E-13</v>
      </c>
      <c r="BZ134" s="13">
        <f>BY134*VLOOKUP('Données projet'!$B$12,Paramètres!$A$1:$I$89,3,0)*VLOOKUP('Données projet'!$B$12,Paramètres!$A$1:$I$89,5,0)</f>
        <v>-1.8089849618263545E-13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314.94704727988847</v>
      </c>
      <c r="CE134" s="59">
        <f t="shared" si="148"/>
        <v>366.49199094166454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0.52979820384248089</v>
      </c>
      <c r="CL134" s="21">
        <f>EXP(-LN(2)/25)*CL133+(1-EXP(-LN(2)/25))/(LN(2)/25)*Calculateur!CG134*Calculateur!CI134*VLOOKUP('Données projet'!$B$12,Paramètres!$A$1:$I$89,3,0)*0.475*44/12</f>
        <v>1.5445087536477529</v>
      </c>
      <c r="CM134" s="21">
        <f>EXP(-LN(2)/2)*CM133+(1-EXP(-LN(2)/2))/(LN(2)/2)*CG134*CJ134*VLOOKUP('Données projet'!$B$12,Paramètres!$A$1:$I$89,3,0)*0.475*44/12</f>
        <v>1.8130948257360557E-14</v>
      </c>
      <c r="CN134" s="22">
        <f t="shared" si="120"/>
        <v>2.074306957490252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-5.6843418860808015E-13</v>
      </c>
      <c r="CU134" s="17">
        <f>CT134*VLOOKUP('Données projet'!$B$13,Paramètres!$A$1:$I$89,3,0)*VLOOKUP('Données projet'!$B$13,Paramètres!$A$1:$I$89,5,0)</f>
        <v>-4.4337866711430256E-13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261.59434871103355</v>
      </c>
      <c r="CZ134" s="59">
        <f t="shared" si="150"/>
        <v>194.97518096665976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0.28093874417593617</v>
      </c>
      <c r="DG134" s="21">
        <f>EXP(-LN(2)/25)*DG133+(1-EXP(-LN(2)/25))/(LN(2)/25)*Calculateur!DB134*Calculateur!DD134*VLOOKUP('Données projet'!$B$13,Paramètres!$A$1:$I$89,3,0)*0.475*44/12</f>
        <v>0.71038984754282952</v>
      </c>
      <c r="DH134" s="21">
        <f>EXP(-LN(2)/2)*DH133+(1-EXP(-LN(2)/2))/(LN(2)/2)*DB134*DE134*VLOOKUP('Données projet'!$B$13,Paramètres!$A$1:$I$89,3,0)*0.475*44/12</f>
        <v>1.1770324990107069E-14</v>
      </c>
      <c r="DI134" s="22">
        <f t="shared" si="123"/>
        <v>0.99132859171877752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-1.0286385077051818E-13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237.22177246688199</v>
      </c>
      <c r="T135" s="59">
        <f t="shared" si="142"/>
        <v>149.27472147904302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</v>
      </c>
      <c r="AA135" s="21">
        <f>EXP(-LN(2)/25)*AA134+(1-EXP(-LN(2)/25))/(LN(2)/25)*Calculateur!V135*Calculateur!X135*VLOOKUP('Données projet'!$B$9,Paramètres!$A$1:$I$89,3,0)*0.475*44/12</f>
        <v>0.1836497848963129</v>
      </c>
      <c r="AB135" s="21">
        <f>EXP(-LN(2)/2)*AB134+(1-EXP(-LN(2)/2))/(LN(2)/2)*V135*Y135*VLOOKUP('Données projet'!$B$9,Paramètres!$A$1:$I$89,3,0)*0.475*44/12</f>
        <v>2.7486225981603006E-15</v>
      </c>
      <c r="AC135" s="22">
        <f t="shared" si="111"/>
        <v>0.18364978489631564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243.38048563215585</v>
      </c>
      <c r="AO135" s="59">
        <f t="shared" si="144"/>
        <v>372.1604147006675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0.96951256778942796</v>
      </c>
      <c r="AV135" s="21">
        <f>EXP(-LN(2)/25)*AV134+(1-EXP(-LN(2)/25))/(LN(2)/25)*Calculateur!AQ135*Calculateur!AS135*VLOOKUP('Données projet'!$B$10,Paramètres!$A$1:$I$89,3,0)*0.475*44/12</f>
        <v>1.1448733483839595</v>
      </c>
      <c r="AW135" s="21">
        <f>EXP(-LN(2)/2)*AW134+(1-EXP(-LN(2)/2))/(LN(2)/2)*AQ135*AT135*VLOOKUP('Données projet'!$B$10,Paramètres!$A$1:$I$89,3,0)*0.475*44/12</f>
        <v>1.3018448191975801E-14</v>
      </c>
      <c r="AX135" s="21">
        <f t="shared" si="114"/>
        <v>2.1143859161734002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-5.6843418860808015E-13</v>
      </c>
      <c r="BE135" s="13">
        <f>BD135*VLOOKUP('Données projet'!$B$11,Paramètres!$A$1:$I$89,3,0)*VLOOKUP('Données projet'!$B$11,Paramètres!$A$1:$I$89,5,0)</f>
        <v>-3.177547114319168E-13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326.31232746914907</v>
      </c>
      <c r="BJ135" s="59">
        <f t="shared" si="146"/>
        <v>330.17137761430297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0.60594535486839252</v>
      </c>
      <c r="BQ135" s="21">
        <f>EXP(-LN(2)/25)*BQ134+(1-EXP(-LN(2)/25))/(LN(2)/25)*Calculateur!BL135*Calculateur!BN135*VLOOKUP('Données projet'!$B$11,Paramètres!$A$1:$I$89,3,0)*0.475*44/12</f>
        <v>1.7840842771065029</v>
      </c>
      <c r="BR135" s="21">
        <f>EXP(-LN(2)/2)*BR134+(1-EXP(-LN(2)/2))/(LN(2)/2)*BL135*BO135*VLOOKUP('Données projet'!$B$11,Paramètres!$A$1:$I$89,3,0)*0.475*44/12</f>
        <v>1.4442708527100497E-14</v>
      </c>
      <c r="BS135" s="22">
        <f t="shared" si="117"/>
        <v>2.3900296319749099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-2.2737367544323206E-13</v>
      </c>
      <c r="BZ135" s="13">
        <f>BY135*VLOOKUP('Données projet'!$B$12,Paramètres!$A$1:$I$89,3,0)*VLOOKUP('Données projet'!$B$12,Paramètres!$A$1:$I$89,5,0)</f>
        <v>-1.8089849618263545E-13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314.94704727988847</v>
      </c>
      <c r="CE135" s="59">
        <f t="shared" si="148"/>
        <v>366.49199094166454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0.51940918421012627</v>
      </c>
      <c r="CL135" s="21">
        <f>EXP(-LN(2)/25)*CL134+(1-EXP(-LN(2)/25))/(LN(2)/25)*Calculateur!CG135*Calculateur!CI135*VLOOKUP('Données projet'!$B$12,Paramètres!$A$1:$I$89,3,0)*0.475*44/12</f>
        <v>1.5022740805570698</v>
      </c>
      <c r="CM135" s="21">
        <f>EXP(-LN(2)/2)*CM134+(1-EXP(-LN(2)/2))/(LN(2)/2)*CG135*CJ135*VLOOKUP('Données projet'!$B$12,Paramètres!$A$1:$I$89,3,0)*0.475*44/12</f>
        <v>1.2820516462122067E-14</v>
      </c>
      <c r="CN135" s="22">
        <f t="shared" si="120"/>
        <v>2.0216832647672089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-5.6843418860808015E-13</v>
      </c>
      <c r="CU135" s="17">
        <f>CT135*VLOOKUP('Données projet'!$B$13,Paramètres!$A$1:$I$89,3,0)*VLOOKUP('Données projet'!$B$13,Paramètres!$A$1:$I$89,5,0)</f>
        <v>-4.4337866711430256E-13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261.59434871103355</v>
      </c>
      <c r="CZ135" s="59">
        <f t="shared" si="150"/>
        <v>194.97518096665976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0.27542970675836004</v>
      </c>
      <c r="DG135" s="21">
        <f>EXP(-LN(2)/25)*DG134+(1-EXP(-LN(2)/25))/(LN(2)/25)*Calculateur!DB135*Calculateur!DD135*VLOOKUP('Données projet'!$B$13,Paramètres!$A$1:$I$89,3,0)*0.475*44/12</f>
        <v>0.69096419980399237</v>
      </c>
      <c r="DH135" s="21">
        <f>EXP(-LN(2)/2)*DH134+(1-EXP(-LN(2)/2))/(LN(2)/2)*DB135*DE135*VLOOKUP('Données projet'!$B$13,Paramètres!$A$1:$I$89,3,0)*0.475*44/12</f>
        <v>8.3228766172741912E-15</v>
      </c>
      <c r="DI135" s="22">
        <f t="shared" si="123"/>
        <v>0.96639390656236068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-1.0286385077051818E-13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237.22177246688199</v>
      </c>
      <c r="T136" s="59">
        <f t="shared" si="142"/>
        <v>149.27472147904302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</v>
      </c>
      <c r="AA136" s="21">
        <f>EXP(-LN(2)/25)*AA135+(1-EXP(-LN(2)/25))/(LN(2)/25)*Calculateur!V136*Calculateur!X136*VLOOKUP('Données projet'!$B$9,Paramètres!$A$1:$I$89,3,0)*0.475*44/12</f>
        <v>0.17862787187060078</v>
      </c>
      <c r="AB136" s="21">
        <f>EXP(-LN(2)/2)*AB135+(1-EXP(-LN(2)/2))/(LN(2)/2)*V136*Y136*VLOOKUP('Données projet'!$B$9,Paramètres!$A$1:$I$89,3,0)*0.475*44/12</f>
        <v>1.9435696780817354E-15</v>
      </c>
      <c r="AC136" s="22">
        <f t="shared" si="111"/>
        <v>0.17862787187060272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243.38048563215585</v>
      </c>
      <c r="AO136" s="59">
        <f t="shared" si="144"/>
        <v>372.1604147006675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0.95050101767935324</v>
      </c>
      <c r="AV136" s="21">
        <f>EXP(-LN(2)/25)*AV135+(1-EXP(-LN(2)/25))/(LN(2)/25)*Calculateur!AQ136*Calculateur!AS136*VLOOKUP('Données projet'!$B$10,Paramètres!$A$1:$I$89,3,0)*0.475*44/12</f>
        <v>1.1135667264661273</v>
      </c>
      <c r="AW136" s="21">
        <f>EXP(-LN(2)/2)*AW135+(1-EXP(-LN(2)/2))/(LN(2)/2)*AQ136*AT136*VLOOKUP('Données projet'!$B$10,Paramètres!$A$1:$I$89,3,0)*0.475*44/12</f>
        <v>9.2054329970718379E-15</v>
      </c>
      <c r="AX136" s="21">
        <f t="shared" si="114"/>
        <v>2.0640677441454898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-5.6843418860808015E-13</v>
      </c>
      <c r="BE136" s="13">
        <f>BD136*VLOOKUP('Données projet'!$B$11,Paramètres!$A$1:$I$89,3,0)*VLOOKUP('Données projet'!$B$11,Paramètres!$A$1:$I$89,5,0)</f>
        <v>-3.177547114319168E-13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326.31232746914907</v>
      </c>
      <c r="BJ136" s="59">
        <f t="shared" si="146"/>
        <v>330.17137761430297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0.59406313604959582</v>
      </c>
      <c r="BQ136" s="21">
        <f>EXP(-LN(2)/25)*BQ135+(1-EXP(-LN(2)/25))/(LN(2)/25)*Calculateur!BL136*Calculateur!BN136*VLOOKUP('Données projet'!$B$11,Paramètres!$A$1:$I$89,3,0)*0.475*44/12</f>
        <v>1.735298398728111</v>
      </c>
      <c r="BR136" s="21">
        <f>EXP(-LN(2)/2)*BR135+(1-EXP(-LN(2)/2))/(LN(2)/2)*BL136*BO136*VLOOKUP('Données projet'!$B$11,Paramètres!$A$1:$I$89,3,0)*0.475*44/12</f>
        <v>1.0212537138213535E-14</v>
      </c>
      <c r="BS136" s="22">
        <f t="shared" si="117"/>
        <v>2.3293615347777172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-2.2737367544323206E-13</v>
      </c>
      <c r="BZ136" s="13">
        <f>BY136*VLOOKUP('Données projet'!$B$12,Paramètres!$A$1:$I$89,3,0)*VLOOKUP('Données projet'!$B$12,Paramètres!$A$1:$I$89,5,0)</f>
        <v>-1.8089849618263545E-13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314.94704727988847</v>
      </c>
      <c r="CE136" s="59">
        <f t="shared" si="148"/>
        <v>366.49199094166454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0.50922388691608589</v>
      </c>
      <c r="CL136" s="21">
        <f>EXP(-LN(2)/25)*CL135+(1-EXP(-LN(2)/25))/(LN(2)/25)*Calculateur!CG136*Calculateur!CI136*VLOOKUP('Données projet'!$B$12,Paramètres!$A$1:$I$89,3,0)*0.475*44/12</f>
        <v>1.4611943168230763</v>
      </c>
      <c r="CM136" s="21">
        <f>EXP(-LN(2)/2)*CM135+(1-EXP(-LN(2)/2))/(LN(2)/2)*CG136*CJ136*VLOOKUP('Données projet'!$B$12,Paramètres!$A$1:$I$89,3,0)*0.475*44/12</f>
        <v>9.0654741286802785E-15</v>
      </c>
      <c r="CN136" s="22">
        <f t="shared" si="120"/>
        <v>1.9704182037391713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-5.6843418860808015E-13</v>
      </c>
      <c r="CU136" s="17">
        <f>CT136*VLOOKUP('Données projet'!$B$13,Paramètres!$A$1:$I$89,3,0)*VLOOKUP('Données projet'!$B$13,Paramètres!$A$1:$I$89,5,0)</f>
        <v>-4.4337866711430256E-13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261.59434871103355</v>
      </c>
      <c r="CZ136" s="59">
        <f t="shared" si="150"/>
        <v>194.97518096665976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0.27002869820436154</v>
      </c>
      <c r="DG136" s="21">
        <f>EXP(-LN(2)/25)*DG135+(1-EXP(-LN(2)/25))/(LN(2)/25)*Calculateur!DB136*Calculateur!DD136*VLOOKUP('Données projet'!$B$13,Paramètres!$A$1:$I$89,3,0)*0.475*44/12</f>
        <v>0.67206974742412418</v>
      </c>
      <c r="DH136" s="21">
        <f>EXP(-LN(2)/2)*DH135+(1-EXP(-LN(2)/2))/(LN(2)/2)*DB136*DE136*VLOOKUP('Données projet'!$B$13,Paramètres!$A$1:$I$89,3,0)*0.475*44/12</f>
        <v>5.8851624950535344E-15</v>
      </c>
      <c r="DI136" s="22">
        <f t="shared" si="123"/>
        <v>0.94209844562849165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-1.0286385077051818E-13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237.22177246688199</v>
      </c>
      <c r="T137" s="59">
        <f t="shared" si="142"/>
        <v>149.27472147904302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</v>
      </c>
      <c r="AA137" s="21">
        <f>EXP(-LN(2)/25)*AA136+(1-EXP(-LN(2)/25))/(LN(2)/25)*Calculateur!V137*Calculateur!X137*VLOOKUP('Données projet'!$B$9,Paramètres!$A$1:$I$89,3,0)*0.475*44/12</f>
        <v>0.17374328332066769</v>
      </c>
      <c r="AB137" s="21">
        <f>EXP(-LN(2)/2)*AB136+(1-EXP(-LN(2)/2))/(LN(2)/2)*V137*Y137*VLOOKUP('Données projet'!$B$9,Paramètres!$A$1:$I$89,3,0)*0.475*44/12</f>
        <v>1.3743112990801503E-15</v>
      </c>
      <c r="AC137" s="22">
        <f t="shared" si="111"/>
        <v>0.17374328332066907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243.38048563215585</v>
      </c>
      <c r="AO137" s="59">
        <f t="shared" si="144"/>
        <v>372.1604147006675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0.93186227247103648</v>
      </c>
      <c r="AV137" s="21">
        <f>EXP(-LN(2)/25)*AV136+(1-EXP(-LN(2)/25))/(LN(2)/25)*Calculateur!AQ137*Calculateur!AS137*VLOOKUP('Données projet'!$B$10,Paramètres!$A$1:$I$89,3,0)*0.475*44/12</f>
        <v>1.0831161857709819</v>
      </c>
      <c r="AW137" s="21">
        <f>EXP(-LN(2)/2)*AW136+(1-EXP(-LN(2)/2))/(LN(2)/2)*AQ137*AT137*VLOOKUP('Données projet'!$B$10,Paramètres!$A$1:$I$89,3,0)*0.475*44/12</f>
        <v>6.5092240959879005E-15</v>
      </c>
      <c r="AX137" s="21">
        <f t="shared" si="114"/>
        <v>2.0149784582420249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-5.6843418860808015E-13</v>
      </c>
      <c r="BE137" s="13">
        <f>BD137*VLOOKUP('Données projet'!$B$11,Paramètres!$A$1:$I$89,3,0)*VLOOKUP('Données projet'!$B$11,Paramètres!$A$1:$I$89,5,0)</f>
        <v>-3.177547114319168E-13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326.31232746914907</v>
      </c>
      <c r="BJ137" s="59">
        <f t="shared" si="146"/>
        <v>330.17137761430297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0.58241392029439787</v>
      </c>
      <c r="BQ137" s="21">
        <f>EXP(-LN(2)/25)*BQ136+(1-EXP(-LN(2)/25))/(LN(2)/25)*Calculateur!BL137*Calculateur!BN137*VLOOKUP('Données projet'!$B$11,Paramètres!$A$1:$I$89,3,0)*0.475*44/12</f>
        <v>1.687846572759514</v>
      </c>
      <c r="BR137" s="21">
        <f>EXP(-LN(2)/2)*BR136+(1-EXP(-LN(2)/2))/(LN(2)/2)*BL137*BO137*VLOOKUP('Données projet'!$B$11,Paramètres!$A$1:$I$89,3,0)*0.475*44/12</f>
        <v>7.2213542635502485E-15</v>
      </c>
      <c r="BS137" s="22">
        <f t="shared" si="117"/>
        <v>2.270260493053919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-2.2737367544323206E-13</v>
      </c>
      <c r="BZ137" s="13">
        <f>BY137*VLOOKUP('Données projet'!$B$12,Paramètres!$A$1:$I$89,3,0)*VLOOKUP('Données projet'!$B$12,Paramètres!$A$1:$I$89,5,0)</f>
        <v>-1.8089849618263545E-13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314.94704727988847</v>
      </c>
      <c r="CE137" s="59">
        <f t="shared" si="148"/>
        <v>366.49199094166454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0.49923831708956368</v>
      </c>
      <c r="CL137" s="21">
        <f>EXP(-LN(2)/25)*CL136+(1-EXP(-LN(2)/25))/(LN(2)/25)*Calculateur!CG137*Calculateur!CI137*VLOOKUP('Données projet'!$B$12,Paramètres!$A$1:$I$89,3,0)*0.475*44/12</f>
        <v>1.4212378813886797</v>
      </c>
      <c r="CM137" s="21">
        <f>EXP(-LN(2)/2)*CM136+(1-EXP(-LN(2)/2))/(LN(2)/2)*CG137*CJ137*VLOOKUP('Données projet'!$B$12,Paramètres!$A$1:$I$89,3,0)*0.475*44/12</f>
        <v>6.4102582310610334E-15</v>
      </c>
      <c r="CN137" s="22">
        <f t="shared" si="120"/>
        <v>1.9204761984782499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-5.6843418860808015E-13</v>
      </c>
      <c r="CU137" s="17">
        <f>CT137*VLOOKUP('Données projet'!$B$13,Paramètres!$A$1:$I$89,3,0)*VLOOKUP('Données projet'!$B$13,Paramètres!$A$1:$I$89,5,0)</f>
        <v>-4.4337866711430256E-13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261.59434871103355</v>
      </c>
      <c r="CZ137" s="59">
        <f t="shared" si="150"/>
        <v>194.97518096665976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0.26473360013381703</v>
      </c>
      <c r="DG137" s="21">
        <f>EXP(-LN(2)/25)*DG136+(1-EXP(-LN(2)/25))/(LN(2)/25)*Calculateur!DB137*Calculateur!DD137*VLOOKUP('Données projet'!$B$13,Paramètres!$A$1:$I$89,3,0)*0.475*44/12</f>
        <v>0.65369196483819947</v>
      </c>
      <c r="DH137" s="21">
        <f>EXP(-LN(2)/2)*DH136+(1-EXP(-LN(2)/2))/(LN(2)/2)*DB137*DE137*VLOOKUP('Données projet'!$B$13,Paramètres!$A$1:$I$89,3,0)*0.475*44/12</f>
        <v>4.1614383086370956E-15</v>
      </c>
      <c r="DI137" s="22">
        <f t="shared" si="123"/>
        <v>0.91842556497202066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-1.0286385077051818E-13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237.22177246688199</v>
      </c>
      <c r="T138" s="59">
        <f t="shared" si="142"/>
        <v>149.27472147904302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</v>
      </c>
      <c r="AA138" s="21">
        <f>EXP(-LN(2)/25)*AA137+(1-EXP(-LN(2)/25))/(LN(2)/25)*Calculateur!V138*Calculateur!X138*VLOOKUP('Données projet'!$B$9,Paramètres!$A$1:$I$89,3,0)*0.475*44/12</f>
        <v>0.16899226410150187</v>
      </c>
      <c r="AB138" s="21">
        <f>EXP(-LN(2)/2)*AB137+(1-EXP(-LN(2)/2))/(LN(2)/2)*V138*Y138*VLOOKUP('Données projet'!$B$9,Paramètres!$A$1:$I$89,3,0)*0.475*44/12</f>
        <v>9.7178483904086771E-16</v>
      </c>
      <c r="AC138" s="22">
        <f t="shared" si="111"/>
        <v>0.16899226410150284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243.38048563215585</v>
      </c>
      <c r="AO138" s="59">
        <f t="shared" si="144"/>
        <v>372.1604147006675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0.91358902168774281</v>
      </c>
      <c r="AV138" s="21">
        <f>EXP(-LN(2)/25)*AV137+(1-EXP(-LN(2)/25))/(LN(2)/25)*Calculateur!AQ138*Calculateur!AS138*VLOOKUP('Données projet'!$B$10,Paramètres!$A$1:$I$89,3,0)*0.475*44/12</f>
        <v>1.0534983167124696</v>
      </c>
      <c r="AW138" s="21">
        <f>EXP(-LN(2)/2)*AW137+(1-EXP(-LN(2)/2))/(LN(2)/2)*AQ138*AT138*VLOOKUP('Données projet'!$B$10,Paramètres!$A$1:$I$89,3,0)*0.475*44/12</f>
        <v>4.6027164985359189E-15</v>
      </c>
      <c r="AX138" s="21">
        <f t="shared" si="114"/>
        <v>1.9670873384002172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-5.6843418860808015E-13</v>
      </c>
      <c r="BE138" s="13">
        <f>BD138*VLOOKUP('Données projet'!$B$11,Paramètres!$A$1:$I$89,3,0)*VLOOKUP('Données projet'!$B$11,Paramètres!$A$1:$I$89,5,0)</f>
        <v>-3.177547114319168E-13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326.31232746914907</v>
      </c>
      <c r="BJ138" s="59">
        <f t="shared" si="146"/>
        <v>330.17137761430297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0.57099313855483935</v>
      </c>
      <c r="BQ138" s="21">
        <f>EXP(-LN(2)/25)*BQ137+(1-EXP(-LN(2)/25))/(LN(2)/25)*Calculateur!BL138*Calculateur!BN138*VLOOKUP('Données projet'!$B$11,Paramètres!$A$1:$I$89,3,0)*0.475*44/12</f>
        <v>1.6416923194674113</v>
      </c>
      <c r="BR138" s="21">
        <f>EXP(-LN(2)/2)*BR137+(1-EXP(-LN(2)/2))/(LN(2)/2)*BL138*BO138*VLOOKUP('Données projet'!$B$11,Paramètres!$A$1:$I$89,3,0)*0.475*44/12</f>
        <v>5.1062685691067676E-15</v>
      </c>
      <c r="BS138" s="22">
        <f t="shared" si="117"/>
        <v>2.2126854580222557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-2.2737367544323206E-13</v>
      </c>
      <c r="BZ138" s="13">
        <f>BY138*VLOOKUP('Données projet'!$B$12,Paramètres!$A$1:$I$89,3,0)*VLOOKUP('Données projet'!$B$12,Paramètres!$A$1:$I$89,5,0)</f>
        <v>-1.8089849618263545E-13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314.94704727988847</v>
      </c>
      <c r="CE138" s="59">
        <f t="shared" si="148"/>
        <v>366.49199094166454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0.48944855819674338</v>
      </c>
      <c r="CL138" s="21">
        <f>EXP(-LN(2)/25)*CL137+(1-EXP(-LN(2)/25))/(LN(2)/25)*Calculateur!CG138*Calculateur!CI138*VLOOKUP('Données projet'!$B$12,Paramètres!$A$1:$I$89,3,0)*0.475*44/12</f>
        <v>1.3823740567824543</v>
      </c>
      <c r="CM138" s="21">
        <f>EXP(-LN(2)/2)*CM137+(1-EXP(-LN(2)/2))/(LN(2)/2)*CG138*CJ138*VLOOKUP('Données projet'!$B$12,Paramètres!$A$1:$I$89,3,0)*0.475*44/12</f>
        <v>4.5327370643401393E-15</v>
      </c>
      <c r="CN138" s="22">
        <f t="shared" si="120"/>
        <v>1.8718226149792021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-5.6843418860808015E-13</v>
      </c>
      <c r="CU138" s="17">
        <f>CT138*VLOOKUP('Données projet'!$B$13,Paramètres!$A$1:$I$89,3,0)*VLOOKUP('Données projet'!$B$13,Paramètres!$A$1:$I$89,5,0)</f>
        <v>-4.4337866711430256E-13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261.59434871103355</v>
      </c>
      <c r="CZ138" s="59">
        <f t="shared" si="150"/>
        <v>194.97518096665976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0.25954233570674495</v>
      </c>
      <c r="DG138" s="21">
        <f>EXP(-LN(2)/25)*DG137+(1-EXP(-LN(2)/25))/(LN(2)/25)*Calculateur!DB138*Calculateur!DD138*VLOOKUP('Données projet'!$B$13,Paramètres!$A$1:$I$89,3,0)*0.475*44/12</f>
        <v>0.63581672368353248</v>
      </c>
      <c r="DH138" s="21">
        <f>EXP(-LN(2)/2)*DH137+(1-EXP(-LN(2)/2))/(LN(2)/2)*DB138*DE138*VLOOKUP('Données projet'!$B$13,Paramètres!$A$1:$I$89,3,0)*0.475*44/12</f>
        <v>2.9425812475267672E-15</v>
      </c>
      <c r="DI138" s="22">
        <f t="shared" si="123"/>
        <v>0.89535905939028038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-1.0286385077051818E-13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237.22177246688199</v>
      </c>
      <c r="T139" s="59">
        <f t="shared" si="142"/>
        <v>149.27472147904302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</v>
      </c>
      <c r="AA139" s="21">
        <f>EXP(-LN(2)/25)*AA138+(1-EXP(-LN(2)/25))/(LN(2)/25)*Calculateur!V139*Calculateur!X139*VLOOKUP('Données projet'!$B$9,Paramètres!$A$1:$I$89,3,0)*0.475*44/12</f>
        <v>0.16437116175272937</v>
      </c>
      <c r="AB139" s="21">
        <f>EXP(-LN(2)/2)*AB138+(1-EXP(-LN(2)/2))/(LN(2)/2)*V139*Y139*VLOOKUP('Données projet'!$B$9,Paramètres!$A$1:$I$89,3,0)*0.475*44/12</f>
        <v>6.8715564954007516E-16</v>
      </c>
      <c r="AC139" s="22">
        <f t="shared" si="111"/>
        <v>0.16437116175273006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243.38048563215585</v>
      </c>
      <c r="AO139" s="59">
        <f t="shared" si="144"/>
        <v>372.1604147006675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0.89567409820672705</v>
      </c>
      <c r="AV139" s="21">
        <f>EXP(-LN(2)/25)*AV138+(1-EXP(-LN(2)/25))/(LN(2)/25)*Calculateur!AQ139*Calculateur!AS139*VLOOKUP('Données projet'!$B$10,Paramètres!$A$1:$I$89,3,0)*0.475*44/12</f>
        <v>1.0246903498408986</v>
      </c>
      <c r="AW139" s="21">
        <f>EXP(-LN(2)/2)*AW138+(1-EXP(-LN(2)/2))/(LN(2)/2)*AQ139*AT139*VLOOKUP('Données projet'!$B$10,Paramètres!$A$1:$I$89,3,0)*0.475*44/12</f>
        <v>3.2546120479939503E-15</v>
      </c>
      <c r="AX139" s="21">
        <f t="shared" si="114"/>
        <v>1.920364448047629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-5.6843418860808015E-13</v>
      </c>
      <c r="BE139" s="13">
        <f>BD139*VLOOKUP('Données projet'!$B$11,Paramètres!$A$1:$I$89,3,0)*VLOOKUP('Données projet'!$B$11,Paramètres!$A$1:$I$89,5,0)</f>
        <v>-3.177547114319168E-13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326.31232746914907</v>
      </c>
      <c r="BJ139" s="59">
        <f t="shared" si="146"/>
        <v>330.17137761430297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0.55979631137920449</v>
      </c>
      <c r="BQ139" s="21">
        <f>EXP(-LN(2)/25)*BQ138+(1-EXP(-LN(2)/25))/(LN(2)/25)*Calculateur!BL139*Calculateur!BN139*VLOOKUP('Données projet'!$B$11,Paramètres!$A$1:$I$89,3,0)*0.475*44/12</f>
        <v>1.596800156658728</v>
      </c>
      <c r="BR139" s="21">
        <f>EXP(-LN(2)/2)*BR138+(1-EXP(-LN(2)/2))/(LN(2)/2)*BL139*BO139*VLOOKUP('Données projet'!$B$11,Paramètres!$A$1:$I$89,3,0)*0.475*44/12</f>
        <v>3.6106771317751242E-15</v>
      </c>
      <c r="BS139" s="22">
        <f t="shared" si="117"/>
        <v>2.1565964680379359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-2.2737367544323206E-13</v>
      </c>
      <c r="BZ139" s="13">
        <f>BY139*VLOOKUP('Données projet'!$B$12,Paramètres!$A$1:$I$89,3,0)*VLOOKUP('Données projet'!$B$12,Paramètres!$A$1:$I$89,5,0)</f>
        <v>-1.8089849618263545E-13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314.94704727988847</v>
      </c>
      <c r="CE139" s="59">
        <f t="shared" si="148"/>
        <v>366.49199094166454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0.47985077050464792</v>
      </c>
      <c r="CL139" s="21">
        <f>EXP(-LN(2)/25)*CL138+(1-EXP(-LN(2)/25))/(LN(2)/25)*Calculateur!CG139*Calculateur!CI139*VLOOKUP('Données projet'!$B$12,Paramètres!$A$1:$I$89,3,0)*0.475*44/12</f>
        <v>1.3445729655038459</v>
      </c>
      <c r="CM139" s="21">
        <f>EXP(-LN(2)/2)*CM138+(1-EXP(-LN(2)/2))/(LN(2)/2)*CG139*CJ139*VLOOKUP('Données projet'!$B$12,Paramètres!$A$1:$I$89,3,0)*0.475*44/12</f>
        <v>3.2051291155305167E-15</v>
      </c>
      <c r="CN139" s="22">
        <f t="shared" si="120"/>
        <v>1.8244237360084969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-5.6843418860808015E-13</v>
      </c>
      <c r="CU139" s="17">
        <f>CT139*VLOOKUP('Données projet'!$B$13,Paramètres!$A$1:$I$89,3,0)*VLOOKUP('Données projet'!$B$13,Paramètres!$A$1:$I$89,5,0)</f>
        <v>-4.4337866711430256E-13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261.59434871103355</v>
      </c>
      <c r="CZ139" s="59">
        <f t="shared" si="150"/>
        <v>194.97518096665976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0.25445286880872914</v>
      </c>
      <c r="DG139" s="21">
        <f>EXP(-LN(2)/25)*DG138+(1-EXP(-LN(2)/25))/(LN(2)/25)*Calculateur!DB139*Calculateur!DD139*VLOOKUP('Données projet'!$B$13,Paramètres!$A$1:$I$89,3,0)*0.475*44/12</f>
        <v>0.618430281938258</v>
      </c>
      <c r="DH139" s="21">
        <f>EXP(-LN(2)/2)*DH138+(1-EXP(-LN(2)/2))/(LN(2)/2)*DB139*DE139*VLOOKUP('Données projet'!$B$13,Paramètres!$A$1:$I$89,3,0)*0.475*44/12</f>
        <v>2.0807191543185478E-15</v>
      </c>
      <c r="DI139" s="22">
        <f t="shared" si="123"/>
        <v>0.8728831507469893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-1.0286385077051818E-13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237.22177246688199</v>
      </c>
      <c r="T140" s="59">
        <f t="shared" si="142"/>
        <v>149.27472147904302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</v>
      </c>
      <c r="AA140" s="21">
        <f>EXP(-LN(2)/25)*AA139+(1-EXP(-LN(2)/25))/(LN(2)/25)*Calculateur!V140*Calculateur!X140*VLOOKUP('Données projet'!$B$9,Paramètres!$A$1:$I$89,3,0)*0.475*44/12</f>
        <v>0.15987642369069727</v>
      </c>
      <c r="AB140" s="21">
        <f>EXP(-LN(2)/2)*AB139+(1-EXP(-LN(2)/2))/(LN(2)/2)*V140*Y140*VLOOKUP('Données projet'!$B$9,Paramètres!$A$1:$I$89,3,0)*0.475*44/12</f>
        <v>4.8589241952043386E-16</v>
      </c>
      <c r="AC140" s="22">
        <f t="shared" si="111"/>
        <v>0.15987642369069777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243.38048563215585</v>
      </c>
      <c r="AO140" s="59">
        <f t="shared" si="144"/>
        <v>372.1604147006675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0.87811047544814969</v>
      </c>
      <c r="AV140" s="21">
        <f>EXP(-LN(2)/25)*AV139+(1-EXP(-LN(2)/25))/(LN(2)/25)*Calculateur!AQ140*Calculateur!AS140*VLOOKUP('Données projet'!$B$10,Paramètres!$A$1:$I$89,3,0)*0.475*44/12</f>
        <v>0.9966701383383757</v>
      </c>
      <c r="AW140" s="21">
        <f>EXP(-LN(2)/2)*AW139+(1-EXP(-LN(2)/2))/(LN(2)/2)*AQ140*AT140*VLOOKUP('Données projet'!$B$10,Paramètres!$A$1:$I$89,3,0)*0.475*44/12</f>
        <v>2.3013582492679595E-15</v>
      </c>
      <c r="AX140" s="21">
        <f t="shared" si="114"/>
        <v>1.8747806137865277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-5.6843418860808015E-13</v>
      </c>
      <c r="BE140" s="13">
        <f>BD140*VLOOKUP('Données projet'!$B$11,Paramètres!$A$1:$I$89,3,0)*VLOOKUP('Données projet'!$B$11,Paramètres!$A$1:$I$89,5,0)</f>
        <v>-3.177547114319168E-13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326.31232746914907</v>
      </c>
      <c r="BJ140" s="59">
        <f t="shared" si="146"/>
        <v>330.17137761430297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0.54881904715509366</v>
      </c>
      <c r="BQ140" s="21">
        <f>EXP(-LN(2)/25)*BQ139+(1-EXP(-LN(2)/25))/(LN(2)/25)*Calculateur!BL140*Calculateur!BN140*VLOOKUP('Données projet'!$B$11,Paramètres!$A$1:$I$89,3,0)*0.475*44/12</f>
        <v>1.5531355724028244</v>
      </c>
      <c r="BR140" s="21">
        <f>EXP(-LN(2)/2)*BR139+(1-EXP(-LN(2)/2))/(LN(2)/2)*BL140*BO140*VLOOKUP('Données projet'!$B$11,Paramètres!$A$1:$I$89,3,0)*0.475*44/12</f>
        <v>2.5531342845533838E-15</v>
      </c>
      <c r="BS140" s="22">
        <f t="shared" si="117"/>
        <v>2.1019546195579206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-2.2737367544323206E-13</v>
      </c>
      <c r="BZ140" s="13">
        <f>BY140*VLOOKUP('Données projet'!$B$12,Paramètres!$A$1:$I$89,3,0)*VLOOKUP('Données projet'!$B$12,Paramètres!$A$1:$I$89,5,0)</f>
        <v>-1.8089849618263545E-13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314.94704727988847</v>
      </c>
      <c r="CE140" s="59">
        <f t="shared" si="148"/>
        <v>366.49199094166454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0.47044118957512204</v>
      </c>
      <c r="CL140" s="21">
        <f>EXP(-LN(2)/25)*CL139+(1-EXP(-LN(2)/25))/(LN(2)/25)*Calculateur!CG140*Calculateur!CI140*VLOOKUP('Données projet'!$B$12,Paramètres!$A$1:$I$89,3,0)*0.475*44/12</f>
        <v>1.3078055470541241</v>
      </c>
      <c r="CM140" s="21">
        <f>EXP(-LN(2)/2)*CM139+(1-EXP(-LN(2)/2))/(LN(2)/2)*CG140*CJ140*VLOOKUP('Données projet'!$B$12,Paramètres!$A$1:$I$89,3,0)*0.475*44/12</f>
        <v>2.2663685321700696E-15</v>
      </c>
      <c r="CN140" s="22">
        <f t="shared" si="120"/>
        <v>1.7782467366292485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-5.6843418860808015E-13</v>
      </c>
      <c r="CU140" s="17">
        <f>CT140*VLOOKUP('Données projet'!$B$13,Paramètres!$A$1:$I$89,3,0)*VLOOKUP('Données projet'!$B$13,Paramètres!$A$1:$I$89,5,0)</f>
        <v>-4.4337866711430256E-13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261.59434871103355</v>
      </c>
      <c r="CZ140" s="59">
        <f t="shared" si="150"/>
        <v>194.97518096665976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0.24946320325231511</v>
      </c>
      <c r="DG140" s="21">
        <f>EXP(-LN(2)/25)*DG139+(1-EXP(-LN(2)/25))/(LN(2)/25)*Calculateur!DB140*Calculateur!DD140*VLOOKUP('Données projet'!$B$13,Paramètres!$A$1:$I$89,3,0)*0.475*44/12</f>
        <v>0.6015192733568212</v>
      </c>
      <c r="DH140" s="21">
        <f>EXP(-LN(2)/2)*DH139+(1-EXP(-LN(2)/2))/(LN(2)/2)*DB140*DE140*VLOOKUP('Données projet'!$B$13,Paramètres!$A$1:$I$89,3,0)*0.475*44/12</f>
        <v>1.4712906237633836E-15</v>
      </c>
      <c r="DI140" s="22">
        <f t="shared" si="123"/>
        <v>0.85098247660913773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-1.0286385077051818E-13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237.22177246688199</v>
      </c>
      <c r="T141" s="59">
        <f t="shared" si="142"/>
        <v>149.27472147904302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</v>
      </c>
      <c r="AA141" s="21">
        <f>EXP(-LN(2)/25)*AA140+(1-EXP(-LN(2)/25))/(LN(2)/25)*Calculateur!V141*Calculateur!X141*VLOOKUP('Données projet'!$B$9,Paramètres!$A$1:$I$89,3,0)*0.475*44/12</f>
        <v>0.15550459447733944</v>
      </c>
      <c r="AB141" s="21">
        <f>EXP(-LN(2)/2)*AB140+(1-EXP(-LN(2)/2))/(LN(2)/2)*V141*Y141*VLOOKUP('Données projet'!$B$9,Paramètres!$A$1:$I$89,3,0)*0.475*44/12</f>
        <v>3.4357782477003758E-16</v>
      </c>
      <c r="AC141" s="22">
        <f t="shared" si="111"/>
        <v>0.15550459447733977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243.38048563215585</v>
      </c>
      <c r="AO141" s="59">
        <f t="shared" si="144"/>
        <v>372.1604147006675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0.86089126461911591</v>
      </c>
      <c r="AV141" s="21">
        <f>EXP(-LN(2)/25)*AV140+(1-EXP(-LN(2)/25))/(LN(2)/25)*Calculateur!AQ141*Calculateur!AS141*VLOOKUP('Données projet'!$B$10,Paramètres!$A$1:$I$89,3,0)*0.475*44/12</f>
        <v>0.96941614099290818</v>
      </c>
      <c r="AW141" s="21">
        <f>EXP(-LN(2)/2)*AW140+(1-EXP(-LN(2)/2))/(LN(2)/2)*AQ141*AT141*VLOOKUP('Données projet'!$B$10,Paramètres!$A$1:$I$89,3,0)*0.475*44/12</f>
        <v>1.6273060239969751E-15</v>
      </c>
      <c r="AX141" s="21">
        <f t="shared" si="114"/>
        <v>1.8303074056120257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-5.6843418860808015E-13</v>
      </c>
      <c r="BE141" s="13">
        <f>BD141*VLOOKUP('Données projet'!$B$11,Paramètres!$A$1:$I$89,3,0)*VLOOKUP('Données projet'!$B$11,Paramètres!$A$1:$I$89,5,0)</f>
        <v>-3.177547114319168E-13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326.31232746914907</v>
      </c>
      <c r="BJ141" s="59">
        <f t="shared" si="146"/>
        <v>330.17137761430297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0.53805704038694757</v>
      </c>
      <c r="BQ141" s="21">
        <f>EXP(-LN(2)/25)*BQ140+(1-EXP(-LN(2)/25))/(LN(2)/25)*Calculateur!BL141*Calculateur!BN141*VLOOKUP('Données projet'!$B$11,Paramètres!$A$1:$I$89,3,0)*0.475*44/12</f>
        <v>1.5106649984996192</v>
      </c>
      <c r="BR141" s="21">
        <f>EXP(-LN(2)/2)*BR140+(1-EXP(-LN(2)/2))/(LN(2)/2)*BL141*BO141*VLOOKUP('Données projet'!$B$11,Paramètres!$A$1:$I$89,3,0)*0.475*44/12</f>
        <v>1.8053385658875621E-15</v>
      </c>
      <c r="BS141" s="22">
        <f t="shared" si="117"/>
        <v>2.0487220388865683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-2.2737367544323206E-13</v>
      </c>
      <c r="BZ141" s="13">
        <f>BY141*VLOOKUP('Données projet'!$B$12,Paramètres!$A$1:$I$89,3,0)*VLOOKUP('Données projet'!$B$12,Paramètres!$A$1:$I$89,5,0)</f>
        <v>-1.8089849618263545E-13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314.94704727988847</v>
      </c>
      <c r="CE141" s="59">
        <f t="shared" si="148"/>
        <v>366.49199094166454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0.4612161247883465</v>
      </c>
      <c r="CL141" s="21">
        <f>EXP(-LN(2)/25)*CL140+(1-EXP(-LN(2)/25))/(LN(2)/25)*Calculateur!CG141*Calculateur!CI141*VLOOKUP('Données projet'!$B$12,Paramètres!$A$1:$I$89,3,0)*0.475*44/12</f>
        <v>1.2720435355954245</v>
      </c>
      <c r="CM141" s="21">
        <f>EXP(-LN(2)/2)*CM140+(1-EXP(-LN(2)/2))/(LN(2)/2)*CG141*CJ141*VLOOKUP('Données projet'!$B$12,Paramètres!$A$1:$I$89,3,0)*0.475*44/12</f>
        <v>1.6025645577652583E-15</v>
      </c>
      <c r="CN141" s="22">
        <f t="shared" si="120"/>
        <v>1.7332596603837727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-5.6843418860808015E-13</v>
      </c>
      <c r="CU141" s="17">
        <f>CT141*VLOOKUP('Données projet'!$B$13,Paramètres!$A$1:$I$89,3,0)*VLOOKUP('Données projet'!$B$13,Paramètres!$A$1:$I$89,5,0)</f>
        <v>-4.4337866711430256E-13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261.59434871103355</v>
      </c>
      <c r="CZ141" s="59">
        <f t="shared" si="150"/>
        <v>194.97518096665976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0.24457138199406689</v>
      </c>
      <c r="DG141" s="21">
        <f>EXP(-LN(2)/25)*DG140+(1-EXP(-LN(2)/25))/(LN(2)/25)*Calculateur!DB141*Calculateur!DD141*VLOOKUP('Données projet'!$B$13,Paramètres!$A$1:$I$89,3,0)*0.475*44/12</f>
        <v>0.58507069719435512</v>
      </c>
      <c r="DH141" s="21">
        <f>EXP(-LN(2)/2)*DH140+(1-EXP(-LN(2)/2))/(LN(2)/2)*DB141*DE141*VLOOKUP('Données projet'!$B$13,Paramètres!$A$1:$I$89,3,0)*0.475*44/12</f>
        <v>1.0403595771592739E-15</v>
      </c>
      <c r="DI141" s="22">
        <f t="shared" si="123"/>
        <v>0.82964207918842303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-1.0286385077051818E-13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237.22177246688199</v>
      </c>
      <c r="T142" s="59">
        <f t="shared" si="142"/>
        <v>149.27472147904302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</v>
      </c>
      <c r="AA142" s="21">
        <f>EXP(-LN(2)/25)*AA141+(1-EXP(-LN(2)/25))/(LN(2)/25)*Calculateur!V142*Calculateur!X142*VLOOKUP('Données projet'!$B$9,Paramètres!$A$1:$I$89,3,0)*0.475*44/12</f>
        <v>0.15125231316372539</v>
      </c>
      <c r="AB142" s="21">
        <f>EXP(-LN(2)/2)*AB141+(1-EXP(-LN(2)/2))/(LN(2)/2)*V142*Y142*VLOOKUP('Données projet'!$B$9,Paramètres!$A$1:$I$89,3,0)*0.475*44/12</f>
        <v>2.4294620976021693E-16</v>
      </c>
      <c r="AC142" s="22">
        <f t="shared" si="111"/>
        <v>0.15125231316372564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243.38048563215585</v>
      </c>
      <c r="AO142" s="59">
        <f t="shared" si="144"/>
        <v>372.1604147006675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0.84400971201175801</v>
      </c>
      <c r="AV142" s="21">
        <f>EXP(-LN(2)/25)*AV141+(1-EXP(-LN(2)/25))/(LN(2)/25)*Calculateur!AQ142*Calculateur!AS142*VLOOKUP('Données projet'!$B$10,Paramètres!$A$1:$I$89,3,0)*0.475*44/12</f>
        <v>0.94290740563807784</v>
      </c>
      <c r="AW142" s="21">
        <f>EXP(-LN(2)/2)*AW141+(1-EXP(-LN(2)/2))/(LN(2)/2)*AQ142*AT142*VLOOKUP('Données projet'!$B$10,Paramètres!$A$1:$I$89,3,0)*0.475*44/12</f>
        <v>1.1506791246339797E-15</v>
      </c>
      <c r="AX142" s="21">
        <f t="shared" si="114"/>
        <v>1.7869171176498371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-5.6843418860808015E-13</v>
      </c>
      <c r="BE142" s="13">
        <f>BD142*VLOOKUP('Données projet'!$B$11,Paramètres!$A$1:$I$89,3,0)*VLOOKUP('Données projet'!$B$11,Paramètres!$A$1:$I$89,5,0)</f>
        <v>-3.177547114319168E-13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326.31232746914907</v>
      </c>
      <c r="BJ142" s="59">
        <f t="shared" si="146"/>
        <v>330.17137761430297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0.52750607000734884</v>
      </c>
      <c r="BQ142" s="21">
        <f>EXP(-LN(2)/25)*BQ141+(1-EXP(-LN(2)/25))/(LN(2)/25)*Calculateur!BL142*Calculateur!BN142*VLOOKUP('Données projet'!$B$11,Paramètres!$A$1:$I$89,3,0)*0.475*44/12</f>
        <v>1.4693557846732275</v>
      </c>
      <c r="BR142" s="21">
        <f>EXP(-LN(2)/2)*BR141+(1-EXP(-LN(2)/2))/(LN(2)/2)*BL142*BO142*VLOOKUP('Données projet'!$B$11,Paramètres!$A$1:$I$89,3,0)*0.475*44/12</f>
        <v>1.2765671422766919E-15</v>
      </c>
      <c r="BS142" s="22">
        <f t="shared" si="117"/>
        <v>1.9968618546805776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-2.2737367544323206E-13</v>
      </c>
      <c r="BZ142" s="13">
        <f>BY142*VLOOKUP('Données projet'!$B$12,Paramètres!$A$1:$I$89,3,0)*VLOOKUP('Données projet'!$B$12,Paramètres!$A$1:$I$89,5,0)</f>
        <v>-1.8089849618263545E-13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314.94704727988847</v>
      </c>
      <c r="CE142" s="59">
        <f t="shared" si="148"/>
        <v>366.49199094166454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0.45217195789530568</v>
      </c>
      <c r="CL142" s="21">
        <f>EXP(-LN(2)/25)*CL141+(1-EXP(-LN(2)/25))/(LN(2)/25)*Calculateur!CG142*Calculateur!CI142*VLOOKUP('Données projet'!$B$12,Paramètres!$A$1:$I$89,3,0)*0.475*44/12</f>
        <v>1.2372594382207054</v>
      </c>
      <c r="CM142" s="21">
        <f>EXP(-LN(2)/2)*CM141+(1-EXP(-LN(2)/2))/(LN(2)/2)*CG142*CJ142*VLOOKUP('Données projet'!$B$12,Paramètres!$A$1:$I$89,3,0)*0.475*44/12</f>
        <v>1.1331842660850348E-15</v>
      </c>
      <c r="CN142" s="22">
        <f t="shared" si="120"/>
        <v>1.6894313961160121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-5.6843418860808015E-13</v>
      </c>
      <c r="CU142" s="17">
        <f>CT142*VLOOKUP('Données projet'!$B$13,Paramètres!$A$1:$I$89,3,0)*VLOOKUP('Données projet'!$B$13,Paramètres!$A$1:$I$89,5,0)</f>
        <v>-4.4337866711430256E-13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261.59434871103355</v>
      </c>
      <c r="CZ142" s="59">
        <f t="shared" si="150"/>
        <v>194.97518096665976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0.23977548636697657</v>
      </c>
      <c r="DG142" s="21">
        <f>EXP(-LN(2)/25)*DG141+(1-EXP(-LN(2)/25))/(LN(2)/25)*Calculateur!DB142*Calculateur!DD142*VLOOKUP('Données projet'!$B$13,Paramètres!$A$1:$I$89,3,0)*0.475*44/12</f>
        <v>0.56907190821204467</v>
      </c>
      <c r="DH142" s="21">
        <f>EXP(-LN(2)/2)*DH141+(1-EXP(-LN(2)/2))/(LN(2)/2)*DB142*DE142*VLOOKUP('Données projet'!$B$13,Paramètres!$A$1:$I$89,3,0)*0.475*44/12</f>
        <v>7.356453118816918E-16</v>
      </c>
      <c r="DI142" s="22">
        <f t="shared" si="123"/>
        <v>0.80884739457902199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-1.0286385077051818E-13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237.22177246688199</v>
      </c>
      <c r="T143" s="59">
        <f t="shared" si="142"/>
        <v>149.27472147904302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</v>
      </c>
      <c r="AA143" s="21">
        <f>EXP(-LN(2)/25)*AA142+(1-EXP(-LN(2)/25))/(LN(2)/25)*Calculateur!V143*Calculateur!X143*VLOOKUP('Données projet'!$B$9,Paramètres!$A$1:$I$89,3,0)*0.475*44/12</f>
        <v>0.14711631070624986</v>
      </c>
      <c r="AB143" s="21">
        <f>EXP(-LN(2)/2)*AB142+(1-EXP(-LN(2)/2))/(LN(2)/2)*V143*Y143*VLOOKUP('Données projet'!$B$9,Paramètres!$A$1:$I$89,3,0)*0.475*44/12</f>
        <v>1.7178891238501879E-16</v>
      </c>
      <c r="AC143" s="22">
        <f t="shared" si="111"/>
        <v>0.14711631070625003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243.38048563215585</v>
      </c>
      <c r="AO143" s="59">
        <f t="shared" si="144"/>
        <v>372.1604147006675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0.82745919635429999</v>
      </c>
      <c r="AV143" s="21">
        <f>EXP(-LN(2)/25)*AV142+(1-EXP(-LN(2)/25))/(LN(2)/25)*Calculateur!AQ143*Calculateur!AS143*VLOOKUP('Données projet'!$B$10,Paramètres!$A$1:$I$89,3,0)*0.475*44/12</f>
        <v>0.91712355304555915</v>
      </c>
      <c r="AW143" s="21">
        <f>EXP(-LN(2)/2)*AW142+(1-EXP(-LN(2)/2))/(LN(2)/2)*AQ143*AT143*VLOOKUP('Données projet'!$B$10,Paramètres!$A$1:$I$89,3,0)*0.475*44/12</f>
        <v>8.1365301199848756E-16</v>
      </c>
      <c r="AX143" s="21">
        <f t="shared" si="114"/>
        <v>1.74458274939986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-5.6843418860808015E-13</v>
      </c>
      <c r="BE143" s="13">
        <f>BD143*VLOOKUP('Données projet'!$B$11,Paramètres!$A$1:$I$89,3,0)*VLOOKUP('Données projet'!$B$11,Paramètres!$A$1:$I$89,5,0)</f>
        <v>-3.177547114319168E-13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326.31232746914907</v>
      </c>
      <c r="BJ143" s="59">
        <f t="shared" si="146"/>
        <v>330.17137761430297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0.51716199772143756</v>
      </c>
      <c r="BQ143" s="21">
        <f>EXP(-LN(2)/25)*BQ142+(1-EXP(-LN(2)/25))/(LN(2)/25)*Calculateur!BL143*Calculateur!BN143*VLOOKUP('Données projet'!$B$11,Paramètres!$A$1:$I$89,3,0)*0.475*44/12</f>
        <v>1.4291761734712756</v>
      </c>
      <c r="BR143" s="21">
        <f>EXP(-LN(2)/2)*BR142+(1-EXP(-LN(2)/2))/(LN(2)/2)*BL143*BO143*VLOOKUP('Données projet'!$B$11,Paramètres!$A$1:$I$89,3,0)*0.475*44/12</f>
        <v>9.0266928294378106E-16</v>
      </c>
      <c r="BS143" s="22">
        <f t="shared" si="117"/>
        <v>1.9463381711927141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-2.2737367544323206E-13</v>
      </c>
      <c r="BZ143" s="13">
        <f>BY143*VLOOKUP('Données projet'!$B$12,Paramètres!$A$1:$I$89,3,0)*VLOOKUP('Données projet'!$B$12,Paramètres!$A$1:$I$89,5,0)</f>
        <v>-1.8089849618263545E-13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314.94704727988847</v>
      </c>
      <c r="CE143" s="59">
        <f t="shared" si="148"/>
        <v>366.49199094166454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0.44330514159864032</v>
      </c>
      <c r="CL143" s="21">
        <f>EXP(-LN(2)/25)*CL142+(1-EXP(-LN(2)/25))/(LN(2)/25)*Calculateur!CG143*Calculateur!CI143*VLOOKUP('Données projet'!$B$12,Paramètres!$A$1:$I$89,3,0)*0.475*44/12</f>
        <v>1.2034265138179141</v>
      </c>
      <c r="CM143" s="21">
        <f>EXP(-LN(2)/2)*CM142+(1-EXP(-LN(2)/2))/(LN(2)/2)*CG143*CJ143*VLOOKUP('Données projet'!$B$12,Paramètres!$A$1:$I$89,3,0)*0.475*44/12</f>
        <v>8.0128227888262917E-16</v>
      </c>
      <c r="CN143" s="22">
        <f t="shared" si="120"/>
        <v>1.6467316554165552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-5.6843418860808015E-13</v>
      </c>
      <c r="CU143" s="17">
        <f>CT143*VLOOKUP('Données projet'!$B$13,Paramètres!$A$1:$I$89,3,0)*VLOOKUP('Données projet'!$B$13,Paramètres!$A$1:$I$89,5,0)</f>
        <v>-4.4337866711430256E-13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261.59434871103355</v>
      </c>
      <c r="CZ143" s="59">
        <f t="shared" si="150"/>
        <v>194.97518096665976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0.23507363532792599</v>
      </c>
      <c r="DG143" s="21">
        <f>EXP(-LN(2)/25)*DG142+(1-EXP(-LN(2)/25))/(LN(2)/25)*Calculateur!DB143*Calculateur!DD143*VLOOKUP('Données projet'!$B$13,Paramètres!$A$1:$I$89,3,0)*0.475*44/12</f>
        <v>0.55351060695579524</v>
      </c>
      <c r="DH143" s="21">
        <f>EXP(-LN(2)/2)*DH142+(1-EXP(-LN(2)/2))/(LN(2)/2)*DB143*DE143*VLOOKUP('Données projet'!$B$13,Paramètres!$A$1:$I$89,3,0)*0.475*44/12</f>
        <v>5.2017978857963695E-16</v>
      </c>
      <c r="DI143" s="22">
        <f t="shared" si="123"/>
        <v>0.78858424228372181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-1.0286385077051818E-13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237.22177246688199</v>
      </c>
      <c r="T144" s="59">
        <f t="shared" si="142"/>
        <v>149.27472147904302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</v>
      </c>
      <c r="AA144" s="21">
        <f>EXP(-LN(2)/25)*AA143+(1-EXP(-LN(2)/25))/(LN(2)/25)*Calculateur!V144*Calculateur!X144*VLOOKUP('Données projet'!$B$9,Paramètres!$A$1:$I$89,3,0)*0.475*44/12</f>
        <v>0.14309340745347693</v>
      </c>
      <c r="AB144" s="21">
        <f>EXP(-LN(2)/2)*AB143+(1-EXP(-LN(2)/2))/(LN(2)/2)*V144*Y144*VLOOKUP('Données projet'!$B$9,Paramètres!$A$1:$I$89,3,0)*0.475*44/12</f>
        <v>1.2147310488010846E-16</v>
      </c>
      <c r="AC144" s="22">
        <f t="shared" si="111"/>
        <v>0.14309340745347704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243.38048563215585</v>
      </c>
      <c r="AO144" s="59">
        <f t="shared" si="144"/>
        <v>372.1604147006675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0.8112332262140669</v>
      </c>
      <c r="AV144" s="21">
        <f>EXP(-LN(2)/25)*AV143+(1-EXP(-LN(2)/25))/(LN(2)/25)*Calculateur!AQ144*Calculateur!AS144*VLOOKUP('Données projet'!$B$10,Paramètres!$A$1:$I$89,3,0)*0.475*44/12</f>
        <v>0.89204476125809684</v>
      </c>
      <c r="AW144" s="21">
        <f>EXP(-LN(2)/2)*AW143+(1-EXP(-LN(2)/2))/(LN(2)/2)*AQ144*AT144*VLOOKUP('Données projet'!$B$10,Paramètres!$A$1:$I$89,3,0)*0.475*44/12</f>
        <v>5.7533956231698987E-16</v>
      </c>
      <c r="AX144" s="21">
        <f t="shared" si="114"/>
        <v>1.7032779874721644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-5.6843418860808015E-13</v>
      </c>
      <c r="BE144" s="13">
        <f>BD144*VLOOKUP('Données projet'!$B$11,Paramètres!$A$1:$I$89,3,0)*VLOOKUP('Données projet'!$B$11,Paramètres!$A$1:$I$89,5,0)</f>
        <v>-3.177547114319168E-13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326.31232746914907</v>
      </c>
      <c r="BJ144" s="59">
        <f t="shared" si="146"/>
        <v>330.17137761430297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0.5070207663837919</v>
      </c>
      <c r="BQ144" s="21">
        <f>EXP(-LN(2)/25)*BQ143+(1-EXP(-LN(2)/25))/(LN(2)/25)*Calculateur!BL144*Calculateur!BN144*VLOOKUP('Données projet'!$B$11,Paramètres!$A$1:$I$89,3,0)*0.475*44/12</f>
        <v>1.3900952758505949</v>
      </c>
      <c r="BR144" s="21">
        <f>EXP(-LN(2)/2)*BR143+(1-EXP(-LN(2)/2))/(LN(2)/2)*BL144*BO144*VLOOKUP('Données projet'!$B$11,Paramètres!$A$1:$I$89,3,0)*0.475*44/12</f>
        <v>6.3828357113834595E-16</v>
      </c>
      <c r="BS144" s="22">
        <f t="shared" si="117"/>
        <v>1.8971160422343873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-2.2737367544323206E-13</v>
      </c>
      <c r="BZ144" s="13">
        <f>BY144*VLOOKUP('Données projet'!$B$12,Paramètres!$A$1:$I$89,3,0)*VLOOKUP('Données projet'!$B$12,Paramètres!$A$1:$I$89,5,0)</f>
        <v>-1.8089849618263545E-13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314.94704727988847</v>
      </c>
      <c r="CE144" s="59">
        <f t="shared" si="148"/>
        <v>366.49199094166454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0.43461219816132862</v>
      </c>
      <c r="CL144" s="21">
        <f>EXP(-LN(2)/25)*CL143+(1-EXP(-LN(2)/25))/(LN(2)/25)*Calculateur!CG144*Calculateur!CI144*VLOOKUP('Données projet'!$B$12,Paramètres!$A$1:$I$89,3,0)*0.475*44/12</f>
        <v>1.1705187525121132</v>
      </c>
      <c r="CM144" s="21">
        <f>EXP(-LN(2)/2)*CM143+(1-EXP(-LN(2)/2))/(LN(2)/2)*CG144*CJ144*VLOOKUP('Données projet'!$B$12,Paramètres!$A$1:$I$89,3,0)*0.475*44/12</f>
        <v>5.6659213304251741E-16</v>
      </c>
      <c r="CN144" s="22">
        <f t="shared" si="120"/>
        <v>1.6051309506734426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-5.6843418860808015E-13</v>
      </c>
      <c r="CU144" s="17">
        <f>CT144*VLOOKUP('Données projet'!$B$13,Paramètres!$A$1:$I$89,3,0)*VLOOKUP('Données projet'!$B$13,Paramètres!$A$1:$I$89,5,0)</f>
        <v>-4.4337866711430256E-13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261.59434871103355</v>
      </c>
      <c r="CZ144" s="59">
        <f t="shared" si="150"/>
        <v>194.97518096665976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0.23046398471990523</v>
      </c>
      <c r="DG144" s="21">
        <f>EXP(-LN(2)/25)*DG143+(1-EXP(-LN(2)/25))/(LN(2)/25)*Calculateur!DB144*Calculateur!DD144*VLOOKUP('Données projet'!$B$13,Paramètres!$A$1:$I$89,3,0)*0.475*44/12</f>
        <v>0.5383748303007313</v>
      </c>
      <c r="DH144" s="21">
        <f>EXP(-LN(2)/2)*DH143+(1-EXP(-LN(2)/2))/(LN(2)/2)*DB144*DE144*VLOOKUP('Données projet'!$B$13,Paramètres!$A$1:$I$89,3,0)*0.475*44/12</f>
        <v>3.678226559408459E-16</v>
      </c>
      <c r="DI144" s="22">
        <f t="shared" si="123"/>
        <v>0.76883881502063689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-1.0286385077051818E-13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237.22177246688199</v>
      </c>
      <c r="T145" s="59">
        <f t="shared" si="142"/>
        <v>149.27472147904302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</v>
      </c>
      <c r="AA145" s="21">
        <f>EXP(-LN(2)/25)*AA144+(1-EXP(-LN(2)/25))/(LN(2)/25)*Calculateur!V145*Calculateur!X145*VLOOKUP('Données projet'!$B$9,Paramètres!$A$1:$I$89,3,0)*0.475*44/12</f>
        <v>0.13918051070170634</v>
      </c>
      <c r="AB145" s="21">
        <f>EXP(-LN(2)/2)*AB144+(1-EXP(-LN(2)/2))/(LN(2)/2)*V145*Y145*VLOOKUP('Données projet'!$B$9,Paramètres!$A$1:$I$89,3,0)*0.475*44/12</f>
        <v>8.5894456192509395E-17</v>
      </c>
      <c r="AC145" s="22">
        <f t="shared" si="111"/>
        <v>0.13918051070170642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243.38048563215585</v>
      </c>
      <c r="AO145" s="59">
        <f t="shared" si="144"/>
        <v>372.1604147006675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0.79532543745141926</v>
      </c>
      <c r="AV145" s="21">
        <f>EXP(-LN(2)/25)*AV144+(1-EXP(-LN(2)/25))/(LN(2)/25)*Calculateur!AQ145*Calculateur!AS145*VLOOKUP('Données projet'!$B$10,Paramètres!$A$1:$I$89,3,0)*0.475*44/12</f>
        <v>0.86765175035089903</v>
      </c>
      <c r="AW145" s="21">
        <f>EXP(-LN(2)/2)*AW144+(1-EXP(-LN(2)/2))/(LN(2)/2)*AQ145*AT145*VLOOKUP('Données projet'!$B$10,Paramètres!$A$1:$I$89,3,0)*0.475*44/12</f>
        <v>4.0682650599924378E-16</v>
      </c>
      <c r="AX145" s="21">
        <f t="shared" si="114"/>
        <v>1.6629771878023187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-5.6843418860808015E-13</v>
      </c>
      <c r="BE145" s="13">
        <f>BD145*VLOOKUP('Données projet'!$B$11,Paramètres!$A$1:$I$89,3,0)*VLOOKUP('Données projet'!$B$11,Paramètres!$A$1:$I$89,5,0)</f>
        <v>-3.177547114319168E-13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326.31232746914907</v>
      </c>
      <c r="BJ145" s="59">
        <f t="shared" si="146"/>
        <v>330.17137761430297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0.49707839840713713</v>
      </c>
      <c r="BQ145" s="21">
        <f>EXP(-LN(2)/25)*BQ144+(1-EXP(-LN(2)/25))/(LN(2)/25)*Calculateur!BL145*Calculateur!BN145*VLOOKUP('Données projet'!$B$11,Paramètres!$A$1:$I$89,3,0)*0.475*44/12</f>
        <v>1.352083047430527</v>
      </c>
      <c r="BR145" s="21">
        <f>EXP(-LN(2)/2)*BR144+(1-EXP(-LN(2)/2))/(LN(2)/2)*BL145*BO145*VLOOKUP('Données projet'!$B$11,Paramètres!$A$1:$I$89,3,0)*0.475*44/12</f>
        <v>4.5133464147189053E-16</v>
      </c>
      <c r="BS145" s="22">
        <f t="shared" si="117"/>
        <v>1.8491614458376646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-2.2737367544323206E-13</v>
      </c>
      <c r="BZ145" s="13">
        <f>BY145*VLOOKUP('Données projet'!$B$12,Paramètres!$A$1:$I$89,3,0)*VLOOKUP('Données projet'!$B$12,Paramètres!$A$1:$I$89,5,0)</f>
        <v>-1.8089849618263545E-13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314.94704727988847</v>
      </c>
      <c r="CE145" s="59">
        <f t="shared" si="148"/>
        <v>366.49199094166454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0.42608971804265067</v>
      </c>
      <c r="CL145" s="21">
        <f>EXP(-LN(2)/25)*CL144+(1-EXP(-LN(2)/25))/(LN(2)/25)*Calculateur!CG145*Calculateur!CI145*VLOOKUP('Données projet'!$B$12,Paramètres!$A$1:$I$89,3,0)*0.475*44/12</f>
        <v>1.1385108556697636</v>
      </c>
      <c r="CM145" s="21">
        <f>EXP(-LN(2)/2)*CM144+(1-EXP(-LN(2)/2))/(LN(2)/2)*CG145*CJ145*VLOOKUP('Données projet'!$B$12,Paramètres!$A$1:$I$89,3,0)*0.475*44/12</f>
        <v>4.0064113944131459E-16</v>
      </c>
      <c r="CN145" s="22">
        <f t="shared" si="120"/>
        <v>1.5646005737124147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-5.6843418860808015E-13</v>
      </c>
      <c r="CU145" s="17">
        <f>CT145*VLOOKUP('Données projet'!$B$13,Paramètres!$A$1:$I$89,3,0)*VLOOKUP('Données projet'!$B$13,Paramètres!$A$1:$I$89,5,0)</f>
        <v>-4.4337866711430256E-13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261.59434871103355</v>
      </c>
      <c r="CZ145" s="59">
        <f t="shared" si="150"/>
        <v>194.97518096665976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0.22594472654869852</v>
      </c>
      <c r="DG145" s="21">
        <f>EXP(-LN(2)/25)*DG144+(1-EXP(-LN(2)/25))/(LN(2)/25)*Calculateur!DB145*Calculateur!DD145*VLOOKUP('Données projet'!$B$13,Paramètres!$A$1:$I$89,3,0)*0.475*44/12</f>
        <v>0.52365294225425596</v>
      </c>
      <c r="DH145" s="21">
        <f>EXP(-LN(2)/2)*DH144+(1-EXP(-LN(2)/2))/(LN(2)/2)*DB145*DE145*VLOOKUP('Données projet'!$B$13,Paramètres!$A$1:$I$89,3,0)*0.475*44/12</f>
        <v>2.6008989428981848E-16</v>
      </c>
      <c r="DI145" s="22">
        <f t="shared" si="123"/>
        <v>0.74959766880295464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-1.0286385077051818E-13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237.22177246688199</v>
      </c>
      <c r="T146" s="59">
        <f t="shared" si="142"/>
        <v>149.27472147904302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</v>
      </c>
      <c r="AA146" s="21">
        <f>EXP(-LN(2)/25)*AA145+(1-EXP(-LN(2)/25))/(LN(2)/25)*Calculateur!V146*Calculateur!X146*VLOOKUP('Données projet'!$B$9,Paramètres!$A$1:$I$89,3,0)*0.475*44/12</f>
        <v>0.13537461231738324</v>
      </c>
      <c r="AB146" s="21">
        <f>EXP(-LN(2)/2)*AB145+(1-EXP(-LN(2)/2))/(LN(2)/2)*V146*Y146*VLOOKUP('Données projet'!$B$9,Paramètres!$A$1:$I$89,3,0)*0.475*44/12</f>
        <v>6.0736552440054232E-17</v>
      </c>
      <c r="AC146" s="22">
        <f t="shared" si="111"/>
        <v>0.13537461231738329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243.38048563215585</v>
      </c>
      <c r="AO146" s="59">
        <f t="shared" si="144"/>
        <v>372.1604147006675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0.77972959072361403</v>
      </c>
      <c r="AV146" s="21">
        <f>EXP(-LN(2)/25)*AV145+(1-EXP(-LN(2)/25))/(LN(2)/25)*Calculateur!AQ146*Calculateur!AS146*VLOOKUP('Données projet'!$B$10,Paramètres!$A$1:$I$89,3,0)*0.475*44/12</f>
        <v>0.84392576760973115</v>
      </c>
      <c r="AW146" s="21">
        <f>EXP(-LN(2)/2)*AW145+(1-EXP(-LN(2)/2))/(LN(2)/2)*AQ146*AT146*VLOOKUP('Données projet'!$B$10,Paramètres!$A$1:$I$89,3,0)*0.475*44/12</f>
        <v>2.8766978115849493E-16</v>
      </c>
      <c r="AX146" s="21">
        <f t="shared" si="114"/>
        <v>1.6236553583333453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-5.6843418860808015E-13</v>
      </c>
      <c r="BE146" s="13">
        <f>BD146*VLOOKUP('Données projet'!$B$11,Paramètres!$A$1:$I$89,3,0)*VLOOKUP('Données projet'!$B$11,Paramètres!$A$1:$I$89,5,0)</f>
        <v>-3.177547114319168E-13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326.31232746914907</v>
      </c>
      <c r="BJ146" s="59">
        <f t="shared" si="146"/>
        <v>330.17137761430297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0.48733099420225889</v>
      </c>
      <c r="BQ146" s="21">
        <f>EXP(-LN(2)/25)*BQ145+(1-EXP(-LN(2)/25))/(LN(2)/25)*Calculateur!BL146*Calculateur!BN146*VLOOKUP('Données projet'!$B$11,Paramètres!$A$1:$I$89,3,0)*0.475*44/12</f>
        <v>1.315110265395582</v>
      </c>
      <c r="BR146" s="21">
        <f>EXP(-LN(2)/2)*BR145+(1-EXP(-LN(2)/2))/(LN(2)/2)*BL146*BO146*VLOOKUP('Données projet'!$B$11,Paramètres!$A$1:$I$89,3,0)*0.475*44/12</f>
        <v>3.1914178556917297E-16</v>
      </c>
      <c r="BS146" s="22">
        <f t="shared" si="117"/>
        <v>1.8024412595978412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-2.2737367544323206E-13</v>
      </c>
      <c r="BZ146" s="13">
        <f>BY146*VLOOKUP('Données projet'!$B$12,Paramètres!$A$1:$I$89,3,0)*VLOOKUP('Données projet'!$B$12,Paramètres!$A$1:$I$89,5,0)</f>
        <v>-1.8089849618263545E-13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314.94704727988847</v>
      </c>
      <c r="CE146" s="59">
        <f t="shared" si="148"/>
        <v>366.49199094166454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0.41773435856090035</v>
      </c>
      <c r="CL146" s="21">
        <f>EXP(-LN(2)/25)*CL145+(1-EXP(-LN(2)/25))/(LN(2)/25)*Calculateur!CG146*Calculateur!CI146*VLOOKUP('Données projet'!$B$12,Paramètres!$A$1:$I$89,3,0)*0.475*44/12</f>
        <v>1.1073782164497901</v>
      </c>
      <c r="CM146" s="21">
        <f>EXP(-LN(2)/2)*CM145+(1-EXP(-LN(2)/2))/(LN(2)/2)*CG146*CJ146*VLOOKUP('Données projet'!$B$12,Paramètres!$A$1:$I$89,3,0)*0.475*44/12</f>
        <v>2.832960665212587E-16</v>
      </c>
      <c r="CN146" s="22">
        <f t="shared" si="120"/>
        <v>1.5251125750106906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-5.6843418860808015E-13</v>
      </c>
      <c r="CU146" s="17">
        <f>CT146*VLOOKUP('Données projet'!$B$13,Paramètres!$A$1:$I$89,3,0)*VLOOKUP('Données projet'!$B$13,Paramètres!$A$1:$I$89,5,0)</f>
        <v>-4.4337866711430256E-13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261.59434871103355</v>
      </c>
      <c r="CZ146" s="59">
        <f t="shared" si="150"/>
        <v>194.97518096665976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0.22151408827375385</v>
      </c>
      <c r="DG146" s="21">
        <f>EXP(-LN(2)/25)*DG145+(1-EXP(-LN(2)/25))/(LN(2)/25)*Calculateur!DB146*Calculateur!DD146*VLOOKUP('Données projet'!$B$13,Paramètres!$A$1:$I$89,3,0)*0.475*44/12</f>
        <v>0.50933362501060198</v>
      </c>
      <c r="DH146" s="21">
        <f>EXP(-LN(2)/2)*DH145+(1-EXP(-LN(2)/2))/(LN(2)/2)*DB146*DE146*VLOOKUP('Données projet'!$B$13,Paramètres!$A$1:$I$89,3,0)*0.475*44/12</f>
        <v>1.8391132797042295E-16</v>
      </c>
      <c r="DI146" s="22">
        <f t="shared" si="123"/>
        <v>0.73084771328435605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-1.0286385077051818E-13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237.22177246688199</v>
      </c>
      <c r="T147" s="59">
        <f t="shared" si="142"/>
        <v>149.27472147904302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</v>
      </c>
      <c r="AA147" s="21">
        <f>EXP(-LN(2)/25)*AA146+(1-EXP(-LN(2)/25))/(LN(2)/25)*Calculateur!V147*Calculateur!X147*VLOOKUP('Données projet'!$B$9,Paramètres!$A$1:$I$89,3,0)*0.475*44/12</f>
        <v>0.13167278642452293</v>
      </c>
      <c r="AB147" s="21">
        <f>EXP(-LN(2)/2)*AB146+(1-EXP(-LN(2)/2))/(LN(2)/2)*V147*Y147*VLOOKUP('Données projet'!$B$9,Paramètres!$A$1:$I$89,3,0)*0.475*44/12</f>
        <v>4.2947228096254698E-17</v>
      </c>
      <c r="AC147" s="22">
        <f t="shared" si="111"/>
        <v>0.13167278642452299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243.38048563215585</v>
      </c>
      <c r="AO147" s="59">
        <f t="shared" si="144"/>
        <v>372.1604147006675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0.7644395690376139</v>
      </c>
      <c r="AV147" s="21">
        <f>EXP(-LN(2)/25)*AV146+(1-EXP(-LN(2)/25))/(LN(2)/25)*Calculateur!AQ147*Calculateur!AS147*VLOOKUP('Données projet'!$B$10,Paramètres!$A$1:$I$89,3,0)*0.475*44/12</f>
        <v>0.8208485731143158</v>
      </c>
      <c r="AW147" s="21">
        <f>EXP(-LN(2)/2)*AW146+(1-EXP(-LN(2)/2))/(LN(2)/2)*AQ147*AT147*VLOOKUP('Données projet'!$B$10,Paramètres!$A$1:$I$89,3,0)*0.475*44/12</f>
        <v>2.0341325299962189E-16</v>
      </c>
      <c r="AX147" s="21">
        <f t="shared" si="114"/>
        <v>1.5852881421519298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-5.6843418860808015E-13</v>
      </c>
      <c r="BE147" s="13">
        <f>BD147*VLOOKUP('Données projet'!$B$11,Paramètres!$A$1:$I$89,3,0)*VLOOKUP('Données projet'!$B$11,Paramètres!$A$1:$I$89,5,0)</f>
        <v>-3.177547114319168E-13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326.31232746914907</v>
      </c>
      <c r="BJ147" s="59">
        <f t="shared" si="146"/>
        <v>330.17137761430297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0.47777473064850878</v>
      </c>
      <c r="BQ147" s="21">
        <f>EXP(-LN(2)/25)*BQ146+(1-EXP(-LN(2)/25))/(LN(2)/25)*Calculateur!BL147*Calculateur!BN147*VLOOKUP('Données projet'!$B$11,Paramètres!$A$1:$I$89,3,0)*0.475*44/12</f>
        <v>1.2791485060296965</v>
      </c>
      <c r="BR147" s="21">
        <f>EXP(-LN(2)/2)*BR146+(1-EXP(-LN(2)/2))/(LN(2)/2)*BL147*BO147*VLOOKUP('Données projet'!$B$11,Paramètres!$A$1:$I$89,3,0)*0.475*44/12</f>
        <v>2.2566732073594527E-16</v>
      </c>
      <c r="BS147" s="22">
        <f t="shared" si="117"/>
        <v>1.7569232366782055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-2.2737367544323206E-13</v>
      </c>
      <c r="BZ147" s="13">
        <f>BY147*VLOOKUP('Données projet'!$B$12,Paramètres!$A$1:$I$89,3,0)*VLOOKUP('Données projet'!$B$12,Paramètres!$A$1:$I$89,5,0)</f>
        <v>-1.8089849618263545E-13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314.94704727988847</v>
      </c>
      <c r="CE147" s="59">
        <f t="shared" si="148"/>
        <v>366.49199094166454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0.4095428425823211</v>
      </c>
      <c r="CL147" s="21">
        <f>EXP(-LN(2)/25)*CL146+(1-EXP(-LN(2)/25))/(LN(2)/25)*Calculateur!CG147*Calculateur!CI147*VLOOKUP('Données projet'!$B$12,Paramètres!$A$1:$I$89,3,0)*0.475*44/12</f>
        <v>1.077096900886481</v>
      </c>
      <c r="CM147" s="21">
        <f>EXP(-LN(2)/2)*CM146+(1-EXP(-LN(2)/2))/(LN(2)/2)*CG147*CJ147*VLOOKUP('Données projet'!$B$12,Paramètres!$A$1:$I$89,3,0)*0.475*44/12</f>
        <v>2.0032056972065729E-16</v>
      </c>
      <c r="CN147" s="22">
        <f t="shared" si="120"/>
        <v>1.4866397434688023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-5.6843418860808015E-13</v>
      </c>
      <c r="CU147" s="17">
        <f>CT147*VLOOKUP('Données projet'!$B$13,Paramètres!$A$1:$I$89,3,0)*VLOOKUP('Données projet'!$B$13,Paramètres!$A$1:$I$89,5,0)</f>
        <v>-4.4337866711430256E-13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261.59434871103355</v>
      </c>
      <c r="CZ147" s="59">
        <f t="shared" si="150"/>
        <v>194.97518096665976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0.21717033211295836</v>
      </c>
      <c r="DG147" s="21">
        <f>EXP(-LN(2)/25)*DG146+(1-EXP(-LN(2)/25))/(LN(2)/25)*Calculateur!DB147*Calculateur!DD147*VLOOKUP('Données projet'!$B$13,Paramètres!$A$1:$I$89,3,0)*0.475*44/12</f>
        <v>0.49540587024999583</v>
      </c>
      <c r="DH147" s="21">
        <f>EXP(-LN(2)/2)*DH146+(1-EXP(-LN(2)/2))/(LN(2)/2)*DB147*DE147*VLOOKUP('Données projet'!$B$13,Paramètres!$A$1:$I$89,3,0)*0.475*44/12</f>
        <v>1.3004494714490924E-16</v>
      </c>
      <c r="DI147" s="22">
        <f t="shared" si="123"/>
        <v>0.71257620236295427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-1.0286385077051818E-13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237.22177246688199</v>
      </c>
      <c r="T148" s="59">
        <f t="shared" si="142"/>
        <v>149.27472147904302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</v>
      </c>
      <c r="AA148" s="21">
        <f>EXP(-LN(2)/25)*AA147+(1-EXP(-LN(2)/25))/(LN(2)/25)*Calculateur!V148*Calculateur!X148*VLOOKUP('Données projet'!$B$9,Paramètres!$A$1:$I$89,3,0)*0.475*44/12</f>
        <v>0.12807218715537347</v>
      </c>
      <c r="AB148" s="21">
        <f>EXP(-LN(2)/2)*AB147+(1-EXP(-LN(2)/2))/(LN(2)/2)*V148*Y148*VLOOKUP('Données projet'!$B$9,Paramètres!$A$1:$I$89,3,0)*0.475*44/12</f>
        <v>3.0368276220027116E-17</v>
      </c>
      <c r="AC148" s="22">
        <f t="shared" si="111"/>
        <v>0.1280721871553735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243.38048563215585</v>
      </c>
      <c r="AO148" s="59">
        <f t="shared" si="144"/>
        <v>372.1604147006675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0.74944937535088385</v>
      </c>
      <c r="AV148" s="21">
        <f>EXP(-LN(2)/25)*AV147+(1-EXP(-LN(2)/25))/(LN(2)/25)*Calculateur!AQ148*Calculateur!AS148*VLOOKUP('Données projet'!$B$10,Paramètres!$A$1:$I$89,3,0)*0.475*44/12</f>
        <v>0.79840242571595443</v>
      </c>
      <c r="AW148" s="21">
        <f>EXP(-LN(2)/2)*AW147+(1-EXP(-LN(2)/2))/(LN(2)/2)*AQ148*AT148*VLOOKUP('Données projet'!$B$10,Paramètres!$A$1:$I$89,3,0)*0.475*44/12</f>
        <v>1.4383489057924747E-16</v>
      </c>
      <c r="AX148" s="21">
        <f t="shared" si="114"/>
        <v>1.5478518010668385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-5.6843418860808015E-13</v>
      </c>
      <c r="BE148" s="13">
        <f>BD148*VLOOKUP('Données projet'!$B$11,Paramètres!$A$1:$I$89,3,0)*VLOOKUP('Données projet'!$B$11,Paramètres!$A$1:$I$89,5,0)</f>
        <v>-3.177547114319168E-13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326.31232746914907</v>
      </c>
      <c r="BJ148" s="59">
        <f t="shared" si="146"/>
        <v>330.17137761430297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0.46840585959430248</v>
      </c>
      <c r="BQ148" s="21">
        <f>EXP(-LN(2)/25)*BQ147+(1-EXP(-LN(2)/25))/(LN(2)/25)*Calculateur!BL148*Calculateur!BN148*VLOOKUP('Données projet'!$B$11,Paramètres!$A$1:$I$89,3,0)*0.475*44/12</f>
        <v>1.2441701228648181</v>
      </c>
      <c r="BR148" s="21">
        <f>EXP(-LN(2)/2)*BR147+(1-EXP(-LN(2)/2))/(LN(2)/2)*BL148*BO148*VLOOKUP('Données projet'!$B$11,Paramètres!$A$1:$I$89,3,0)*0.475*44/12</f>
        <v>1.5957089278458649E-16</v>
      </c>
      <c r="BS148" s="22">
        <f t="shared" si="117"/>
        <v>1.7125759824591207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-2.2737367544323206E-13</v>
      </c>
      <c r="BZ148" s="13">
        <f>BY148*VLOOKUP('Données projet'!$B$12,Paramètres!$A$1:$I$89,3,0)*VLOOKUP('Données projet'!$B$12,Paramètres!$A$1:$I$89,5,0)</f>
        <v>-1.8089849618263545E-13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314.94704727988847</v>
      </c>
      <c r="CE148" s="59">
        <f t="shared" si="148"/>
        <v>366.49199094166454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0.40151195723575039</v>
      </c>
      <c r="CL148" s="21">
        <f>EXP(-LN(2)/25)*CL147+(1-EXP(-LN(2)/25))/(LN(2)/25)*Calculateur!CG148*Calculateur!CI148*VLOOKUP('Données projet'!$B$12,Paramètres!$A$1:$I$89,3,0)*0.475*44/12</f>
        <v>1.0476436294896758</v>
      </c>
      <c r="CM148" s="21">
        <f>EXP(-LN(2)/2)*CM147+(1-EXP(-LN(2)/2))/(LN(2)/2)*CG148*CJ148*VLOOKUP('Données projet'!$B$12,Paramètres!$A$1:$I$89,3,0)*0.475*44/12</f>
        <v>1.4164803326062935E-16</v>
      </c>
      <c r="CN148" s="22">
        <f t="shared" si="120"/>
        <v>1.4491555867254264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-5.6843418860808015E-13</v>
      </c>
      <c r="CU148" s="17">
        <f>CT148*VLOOKUP('Données projet'!$B$13,Paramètres!$A$1:$I$89,3,0)*VLOOKUP('Données projet'!$B$13,Paramètres!$A$1:$I$89,5,0)</f>
        <v>-4.4337866711430256E-13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261.59434871103355</v>
      </c>
      <c r="CZ148" s="59">
        <f t="shared" si="150"/>
        <v>194.97518096665976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0.21291175436104642</v>
      </c>
      <c r="DG148" s="21">
        <f>EXP(-LN(2)/25)*DG147+(1-EXP(-LN(2)/25))/(LN(2)/25)*Calculateur!DB148*Calculateur!DD148*VLOOKUP('Données projet'!$B$13,Paramètres!$A$1:$I$89,3,0)*0.475*44/12</f>
        <v>0.48185897067574723</v>
      </c>
      <c r="DH148" s="21">
        <f>EXP(-LN(2)/2)*DH147+(1-EXP(-LN(2)/2))/(LN(2)/2)*DB148*DE148*VLOOKUP('Données projet'!$B$13,Paramètres!$A$1:$I$89,3,0)*0.475*44/12</f>
        <v>9.1955663985211475E-17</v>
      </c>
      <c r="DI148" s="22">
        <f t="shared" si="123"/>
        <v>0.69477072503679371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-1.0286385077051818E-13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237.22177246688199</v>
      </c>
      <c r="T149" s="59">
        <f t="shared" si="142"/>
        <v>149.27472147904302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</v>
      </c>
      <c r="AA149" s="21">
        <f>EXP(-LN(2)/25)*AA148+(1-EXP(-LN(2)/25))/(LN(2)/25)*Calculateur!V149*Calculateur!X149*VLOOKUP('Données projet'!$B$9,Paramètres!$A$1:$I$89,3,0)*0.475*44/12</f>
        <v>0.12457004646258617</v>
      </c>
      <c r="AB149" s="21">
        <f>EXP(-LN(2)/2)*AB148+(1-EXP(-LN(2)/2))/(LN(2)/2)*V149*Y149*VLOOKUP('Données projet'!$B$9,Paramètres!$A$1:$I$89,3,0)*0.475*44/12</f>
        <v>2.1473614048127349E-17</v>
      </c>
      <c r="AC149" s="22">
        <f t="shared" si="111"/>
        <v>0.1245700464625862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243.38048563215585</v>
      </c>
      <c r="AO149" s="59">
        <f t="shared" si="144"/>
        <v>372.1604147006675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0.73475313021923527</v>
      </c>
      <c r="AV149" s="21">
        <f>EXP(-LN(2)/25)*AV148+(1-EXP(-LN(2)/25))/(LN(2)/25)*Calculateur!AQ149*Calculateur!AS149*VLOOKUP('Données projet'!$B$10,Paramètres!$A$1:$I$89,3,0)*0.475*44/12</f>
        <v>0.77657006939859285</v>
      </c>
      <c r="AW149" s="21">
        <f>EXP(-LN(2)/2)*AW148+(1-EXP(-LN(2)/2))/(LN(2)/2)*AQ149*AT149*VLOOKUP('Données projet'!$B$10,Paramètres!$A$1:$I$89,3,0)*0.475*44/12</f>
        <v>1.0170662649981095E-16</v>
      </c>
      <c r="AX149" s="21">
        <f t="shared" si="114"/>
        <v>1.511323199617828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-5.6843418860808015E-13</v>
      </c>
      <c r="BE149" s="13">
        <f>BD149*VLOOKUP('Données projet'!$B$11,Paramètres!$A$1:$I$89,3,0)*VLOOKUP('Données projet'!$B$11,Paramètres!$A$1:$I$89,5,0)</f>
        <v>-3.177547114319168E-13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326.31232746914907</v>
      </c>
      <c r="BJ149" s="59">
        <f t="shared" si="146"/>
        <v>330.17137761430297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0.45922070638702212</v>
      </c>
      <c r="BQ149" s="21">
        <f>EXP(-LN(2)/25)*BQ148+(1-EXP(-LN(2)/25))/(LN(2)/25)*Calculateur!BL149*Calculateur!BN149*VLOOKUP('Données projet'!$B$11,Paramètres!$A$1:$I$89,3,0)*0.475*44/12</f>
        <v>1.2101482254270164</v>
      </c>
      <c r="BR149" s="21">
        <f>EXP(-LN(2)/2)*BR148+(1-EXP(-LN(2)/2))/(LN(2)/2)*BL149*BO149*VLOOKUP('Données projet'!$B$11,Paramètres!$A$1:$I$89,3,0)*0.475*44/12</f>
        <v>1.1283366036797263E-16</v>
      </c>
      <c r="BS149" s="22">
        <f t="shared" si="117"/>
        <v>1.6693689318140388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-2.2737367544323206E-13</v>
      </c>
      <c r="BZ149" s="13">
        <f>BY149*VLOOKUP('Données projet'!$B$12,Paramètres!$A$1:$I$89,3,0)*VLOOKUP('Données projet'!$B$12,Paramètres!$A$1:$I$89,5,0)</f>
        <v>-1.8089849618263545E-13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314.94704727988847</v>
      </c>
      <c r="CE149" s="59">
        <f t="shared" si="148"/>
        <v>366.49199094166454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0.39363855265246955</v>
      </c>
      <c r="CL149" s="21">
        <f>EXP(-LN(2)/25)*CL148+(1-EXP(-LN(2)/25))/(LN(2)/25)*Calculateur!CG149*Calculateur!CI149*VLOOKUP('Données projet'!$B$12,Paramètres!$A$1:$I$89,3,0)*0.475*44/12</f>
        <v>1.0189957593480965</v>
      </c>
      <c r="CM149" s="21">
        <f>EXP(-LN(2)/2)*CM148+(1-EXP(-LN(2)/2))/(LN(2)/2)*CG149*CJ149*VLOOKUP('Données projet'!$B$12,Paramètres!$A$1:$I$89,3,0)*0.475*44/12</f>
        <v>1.0016028486032865E-16</v>
      </c>
      <c r="CN149" s="22">
        <f t="shared" si="120"/>
        <v>1.412634312000566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-5.6843418860808015E-13</v>
      </c>
      <c r="CU149" s="17">
        <f>CT149*VLOOKUP('Données projet'!$B$13,Paramètres!$A$1:$I$89,3,0)*VLOOKUP('Données projet'!$B$13,Paramètres!$A$1:$I$89,5,0)</f>
        <v>-4.4337866711430256E-13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261.59434871103355</v>
      </c>
      <c r="CZ149" s="59">
        <f t="shared" si="150"/>
        <v>194.97518096665976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0.20873668472137352</v>
      </c>
      <c r="DG149" s="21">
        <f>EXP(-LN(2)/25)*DG148+(1-EXP(-LN(2)/25))/(LN(2)/25)*Calculateur!DB149*Calculateur!DD149*VLOOKUP('Données projet'!$B$13,Paramètres!$A$1:$I$89,3,0)*0.475*44/12</f>
        <v>0.46868251178275694</v>
      </c>
      <c r="DH149" s="21">
        <f>EXP(-LN(2)/2)*DH148+(1-EXP(-LN(2)/2))/(LN(2)/2)*DB149*DE149*VLOOKUP('Données projet'!$B$13,Paramètres!$A$1:$I$89,3,0)*0.475*44/12</f>
        <v>6.5022473572454619E-17</v>
      </c>
      <c r="DI149" s="22">
        <f t="shared" si="123"/>
        <v>0.67741919650413063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-1.0286385077051818E-13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237.22177246688199</v>
      </c>
      <c r="T150" s="59">
        <f t="shared" si="142"/>
        <v>149.27472147904302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</v>
      </c>
      <c r="AA150" s="21">
        <f>EXP(-LN(2)/25)*AA149+(1-EXP(-LN(2)/25))/(LN(2)/25)*Calculateur!V150*Calculateur!X150*VLOOKUP('Données projet'!$B$9,Paramètres!$A$1:$I$89,3,0)*0.475*44/12</f>
        <v>0.12116367199121271</v>
      </c>
      <c r="AB150" s="21">
        <f>EXP(-LN(2)/2)*AB149+(1-EXP(-LN(2)/2))/(LN(2)/2)*V150*Y150*VLOOKUP('Données projet'!$B$9,Paramètres!$A$1:$I$89,3,0)*0.475*44/12</f>
        <v>1.5184138110013558E-17</v>
      </c>
      <c r="AC150" s="22">
        <f t="shared" si="111"/>
        <v>0.12116367199121272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243.38048563215585</v>
      </c>
      <c r="AO150" s="59">
        <f t="shared" si="144"/>
        <v>372.1604147006675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0.72034506949079391</v>
      </c>
      <c r="AV150" s="21">
        <f>EXP(-LN(2)/25)*AV149+(1-EXP(-LN(2)/25))/(LN(2)/25)*Calculateur!AQ150*Calculateur!AS150*VLOOKUP('Données projet'!$B$10,Paramètres!$A$1:$I$89,3,0)*0.475*44/12</f>
        <v>0.7553347200128433</v>
      </c>
      <c r="AW150" s="21">
        <f>EXP(-LN(2)/2)*AW149+(1-EXP(-LN(2)/2))/(LN(2)/2)*AQ150*AT150*VLOOKUP('Données projet'!$B$10,Paramètres!$A$1:$I$89,3,0)*0.475*44/12</f>
        <v>7.1917445289623733E-17</v>
      </c>
      <c r="AX150" s="21">
        <f t="shared" si="114"/>
        <v>1.4756797895036371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-5.6843418860808015E-13</v>
      </c>
      <c r="BE150" s="13">
        <f>BD150*VLOOKUP('Données projet'!$B$11,Paramètres!$A$1:$I$89,3,0)*VLOOKUP('Données projet'!$B$11,Paramètres!$A$1:$I$89,5,0)</f>
        <v>-3.177547114319168E-13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326.31232746914907</v>
      </c>
      <c r="BJ150" s="59">
        <f t="shared" si="146"/>
        <v>330.17137761430297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0.45021566843174621</v>
      </c>
      <c r="BQ150" s="21">
        <f>EXP(-LN(2)/25)*BQ149+(1-EXP(-LN(2)/25))/(LN(2)/25)*Calculateur!BL150*Calculateur!BN150*VLOOKUP('Données projet'!$B$11,Paramètres!$A$1:$I$89,3,0)*0.475*44/12</f>
        <v>1.1770566585637854</v>
      </c>
      <c r="BR150" s="21">
        <f>EXP(-LN(2)/2)*BR149+(1-EXP(-LN(2)/2))/(LN(2)/2)*BL150*BO150*VLOOKUP('Données projet'!$B$11,Paramètres!$A$1:$I$89,3,0)*0.475*44/12</f>
        <v>7.9785446392293243E-17</v>
      </c>
      <c r="BS150" s="22">
        <f t="shared" si="117"/>
        <v>1.6272723269955316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-2.2737367544323206E-13</v>
      </c>
      <c r="BZ150" s="13">
        <f>BY150*VLOOKUP('Données projet'!$B$12,Paramètres!$A$1:$I$89,3,0)*VLOOKUP('Données projet'!$B$12,Paramètres!$A$1:$I$89,5,0)</f>
        <v>-1.8089849618263545E-13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314.94704727988847</v>
      </c>
      <c r="CE150" s="59">
        <f t="shared" si="148"/>
        <v>366.49199094166454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0.38591954073076423</v>
      </c>
      <c r="CL150" s="21">
        <f>EXP(-LN(2)/25)*CL149+(1-EXP(-LN(2)/25))/(LN(2)/25)*Calculateur!CG150*Calculateur!CI150*VLOOKUP('Données projet'!$B$12,Paramètres!$A$1:$I$89,3,0)*0.475*44/12</f>
        <v>0.99113126672206475</v>
      </c>
      <c r="CM150" s="21">
        <f>EXP(-LN(2)/2)*CM149+(1-EXP(-LN(2)/2))/(LN(2)/2)*CG150*CJ150*VLOOKUP('Données projet'!$B$12,Paramètres!$A$1:$I$89,3,0)*0.475*44/12</f>
        <v>7.0824016630314676E-17</v>
      </c>
      <c r="CN150" s="22">
        <f t="shared" si="120"/>
        <v>1.3770508074528289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-5.6843418860808015E-13</v>
      </c>
      <c r="CU150" s="17">
        <f>CT150*VLOOKUP('Données projet'!$B$13,Paramètres!$A$1:$I$89,3,0)*VLOOKUP('Données projet'!$B$13,Paramètres!$A$1:$I$89,5,0)</f>
        <v>-4.4337866711430256E-13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261.59434871103355</v>
      </c>
      <c r="CZ150" s="59">
        <f t="shared" si="150"/>
        <v>194.97518096665976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0.20464348565079357</v>
      </c>
      <c r="DG150" s="21">
        <f>EXP(-LN(2)/25)*DG149+(1-EXP(-LN(2)/25))/(LN(2)/25)*Calculateur!DB150*Calculateur!DD150*VLOOKUP('Données projet'!$B$13,Paramètres!$A$1:$I$89,3,0)*0.475*44/12</f>
        <v>0.45586636385111534</v>
      </c>
      <c r="DH150" s="21">
        <f>EXP(-LN(2)/2)*DH149+(1-EXP(-LN(2)/2))/(LN(2)/2)*DB150*DE150*VLOOKUP('Données projet'!$B$13,Paramètres!$A$1:$I$89,3,0)*0.475*44/12</f>
        <v>4.5977831992605737E-17</v>
      </c>
      <c r="DI150" s="22">
        <f t="shared" si="123"/>
        <v>0.66050984950190894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-1.0286385077051818E-13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237.22177246688199</v>
      </c>
      <c r="T151" s="59">
        <f t="shared" si="142"/>
        <v>149.27472147904302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</v>
      </c>
      <c r="AA151" s="21">
        <f>EXP(-LN(2)/25)*AA150+(1-EXP(-LN(2)/25))/(LN(2)/25)*Calculateur!V151*Calculateur!X151*VLOOKUP('Données projet'!$B$9,Paramètres!$A$1:$I$89,3,0)*0.475*44/12</f>
        <v>0.11785044500889241</v>
      </c>
      <c r="AB151" s="21">
        <f>EXP(-LN(2)/2)*AB150+(1-EXP(-LN(2)/2))/(LN(2)/2)*V151*Y151*VLOOKUP('Données projet'!$B$9,Paramètres!$A$1:$I$89,3,0)*0.475*44/12</f>
        <v>1.0736807024063674E-17</v>
      </c>
      <c r="AC151" s="22">
        <f t="shared" si="111"/>
        <v>0.11785044500889243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243.38048563215585</v>
      </c>
      <c r="AO151" s="59">
        <f t="shared" si="144"/>
        <v>372.1604147006675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0.70621954204518789</v>
      </c>
      <c r="AV151" s="21">
        <f>EXP(-LN(2)/25)*AV150+(1-EXP(-LN(2)/25))/(LN(2)/25)*Calculateur!AQ151*Calculateur!AS151*VLOOKUP('Données projet'!$B$10,Paramètres!$A$1:$I$89,3,0)*0.475*44/12</f>
        <v>0.73468005237276546</v>
      </c>
      <c r="AW151" s="21">
        <f>EXP(-LN(2)/2)*AW150+(1-EXP(-LN(2)/2))/(LN(2)/2)*AQ151*AT151*VLOOKUP('Données projet'!$B$10,Paramètres!$A$1:$I$89,3,0)*0.475*44/12</f>
        <v>5.0853313249905473E-17</v>
      </c>
      <c r="AX151" s="21">
        <f t="shared" si="114"/>
        <v>1.4408995944179535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-5.6843418860808015E-13</v>
      </c>
      <c r="BE151" s="13">
        <f>BD151*VLOOKUP('Données projet'!$B$11,Paramètres!$A$1:$I$89,3,0)*VLOOKUP('Données projet'!$B$11,Paramètres!$A$1:$I$89,5,0)</f>
        <v>-3.177547114319168E-13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326.31232746914907</v>
      </c>
      <c r="BJ151" s="59">
        <f t="shared" si="146"/>
        <v>330.17137761430297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0.44138721377824247</v>
      </c>
      <c r="BQ151" s="21">
        <f>EXP(-LN(2)/25)*BQ150+(1-EXP(-LN(2)/25))/(LN(2)/25)*Calculateur!BL151*Calculateur!BN151*VLOOKUP('Données projet'!$B$11,Paramètres!$A$1:$I$89,3,0)*0.475*44/12</f>
        <v>1.1448699823366393</v>
      </c>
      <c r="BR151" s="21">
        <f>EXP(-LN(2)/2)*BR150+(1-EXP(-LN(2)/2))/(LN(2)/2)*BL151*BO151*VLOOKUP('Données projet'!$B$11,Paramètres!$A$1:$I$89,3,0)*0.475*44/12</f>
        <v>5.6416830183986316E-17</v>
      </c>
      <c r="BS151" s="22">
        <f t="shared" si="117"/>
        <v>1.5862571961148817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-2.2737367544323206E-13</v>
      </c>
      <c r="BZ151" s="13">
        <f>BY151*VLOOKUP('Données projet'!$B$12,Paramètres!$A$1:$I$89,3,0)*VLOOKUP('Données projet'!$B$12,Paramètres!$A$1:$I$89,5,0)</f>
        <v>-1.8089849618263545E-13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314.94704727988847</v>
      </c>
      <c r="CE151" s="59">
        <f t="shared" si="148"/>
        <v>366.49199094166454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0.37835189392471119</v>
      </c>
      <c r="CL151" s="21">
        <f>EXP(-LN(2)/25)*CL150+(1-EXP(-LN(2)/25))/(LN(2)/25)*Calculateur!CG151*Calculateur!CI151*VLOOKUP('Données projet'!$B$12,Paramètres!$A$1:$I$89,3,0)*0.475*44/12</f>
        <v>0.96402873011222179</v>
      </c>
      <c r="CM151" s="21">
        <f>EXP(-LN(2)/2)*CM150+(1-EXP(-LN(2)/2))/(LN(2)/2)*CG151*CJ151*VLOOKUP('Données projet'!$B$12,Paramètres!$A$1:$I$89,3,0)*0.475*44/12</f>
        <v>5.0080142430164323E-17</v>
      </c>
      <c r="CN151" s="22">
        <f t="shared" si="120"/>
        <v>1.3423806240369329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-5.6843418860808015E-13</v>
      </c>
      <c r="CU151" s="17">
        <f>CT151*VLOOKUP('Données projet'!$B$13,Paramètres!$A$1:$I$89,3,0)*VLOOKUP('Données projet'!$B$13,Paramètres!$A$1:$I$89,5,0)</f>
        <v>-4.4337866711430256E-13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261.59434871103355</v>
      </c>
      <c r="CZ151" s="59">
        <f t="shared" si="150"/>
        <v>194.97518096665976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0.20063055171738278</v>
      </c>
      <c r="DG151" s="21">
        <f>EXP(-LN(2)/25)*DG150+(1-EXP(-LN(2)/25))/(LN(2)/25)*Calculateur!DB151*Calculateur!DD151*VLOOKUP('Données projet'!$B$13,Paramètres!$A$1:$I$89,3,0)*0.475*44/12</f>
        <v>0.44340067415863643</v>
      </c>
      <c r="DH151" s="21">
        <f>EXP(-LN(2)/2)*DH150+(1-EXP(-LN(2)/2))/(LN(2)/2)*DB151*DE151*VLOOKUP('Données projet'!$B$13,Paramètres!$A$1:$I$89,3,0)*0.475*44/12</f>
        <v>3.2511236786227309E-17</v>
      </c>
      <c r="DI151" s="22">
        <f t="shared" si="123"/>
        <v>0.64403122587601924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-1.0286385077051818E-13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237.22177246688199</v>
      </c>
      <c r="T152" s="59">
        <f t="shared" si="142"/>
        <v>149.27472147904302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</v>
      </c>
      <c r="AA152" s="21">
        <f>EXP(-LN(2)/25)*AA151+(1-EXP(-LN(2)/25))/(LN(2)/25)*Calculateur!V152*Calculateur!X152*VLOOKUP('Données projet'!$B$9,Paramètres!$A$1:$I$89,3,0)*0.475*44/12</f>
        <v>0.11462781839263869</v>
      </c>
      <c r="AB152" s="21">
        <f>EXP(-LN(2)/2)*AB151+(1-EXP(-LN(2)/2))/(LN(2)/2)*V152*Y152*VLOOKUP('Données projet'!$B$9,Paramètres!$A$1:$I$89,3,0)*0.475*44/12</f>
        <v>7.592069055006779E-18</v>
      </c>
      <c r="AC152" s="22">
        <f t="shared" si="111"/>
        <v>0.11462781839263871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243.38048563215585</v>
      </c>
      <c r="AO152" s="59">
        <f t="shared" si="144"/>
        <v>372.1604147006675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0.69237100757706926</v>
      </c>
      <c r="AV152" s="21">
        <f>EXP(-LN(2)/25)*AV151+(1-EXP(-LN(2)/25))/(LN(2)/25)*Calculateur!AQ152*Calculateur!AS152*VLOOKUP('Données projet'!$B$10,Paramètres!$A$1:$I$89,3,0)*0.475*44/12</f>
        <v>0.71459018770548732</v>
      </c>
      <c r="AW152" s="21">
        <f>EXP(-LN(2)/2)*AW151+(1-EXP(-LN(2)/2))/(LN(2)/2)*AQ152*AT152*VLOOKUP('Données projet'!$B$10,Paramètres!$A$1:$I$89,3,0)*0.475*44/12</f>
        <v>3.5958722644811867E-17</v>
      </c>
      <c r="AX152" s="21">
        <f t="shared" si="114"/>
        <v>1.4069611952825567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-5.6843418860808015E-13</v>
      </c>
      <c r="BE152" s="13">
        <f>BD152*VLOOKUP('Données projet'!$B$11,Paramètres!$A$1:$I$89,3,0)*VLOOKUP('Données projet'!$B$11,Paramètres!$A$1:$I$89,5,0)</f>
        <v>-3.177547114319168E-13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326.31232746914907</v>
      </c>
      <c r="BJ152" s="59">
        <f t="shared" si="146"/>
        <v>330.17137761430297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0.43273187973566829</v>
      </c>
      <c r="BQ152" s="21">
        <f>EXP(-LN(2)/25)*BQ151+(1-EXP(-LN(2)/25))/(LN(2)/25)*Calculateur!BL152*Calculateur!BN152*VLOOKUP('Données projet'!$B$11,Paramètres!$A$1:$I$89,3,0)*0.475*44/12</f>
        <v>1.113563452463548</v>
      </c>
      <c r="BR152" s="21">
        <f>EXP(-LN(2)/2)*BR151+(1-EXP(-LN(2)/2))/(LN(2)/2)*BL152*BO152*VLOOKUP('Données projet'!$B$11,Paramètres!$A$1:$I$89,3,0)*0.475*44/12</f>
        <v>3.9892723196146622E-17</v>
      </c>
      <c r="BS152" s="22">
        <f t="shared" si="117"/>
        <v>1.5462953321992163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-2.2737367544323206E-13</v>
      </c>
      <c r="BZ152" s="13">
        <f>BY152*VLOOKUP('Données projet'!$B$12,Paramètres!$A$1:$I$89,3,0)*VLOOKUP('Données projet'!$B$12,Paramètres!$A$1:$I$89,5,0)</f>
        <v>-1.8089849618263545E-13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314.94704727988847</v>
      </c>
      <c r="CE152" s="59">
        <f t="shared" si="148"/>
        <v>366.49199094166454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0.37093264405671605</v>
      </c>
      <c r="CL152" s="21">
        <f>EXP(-LN(2)/25)*CL151+(1-EXP(-LN(2)/25))/(LN(2)/25)*Calculateur!CG152*Calculateur!CI152*VLOOKUP('Données projet'!$B$12,Paramètres!$A$1:$I$89,3,0)*0.475*44/12</f>
        <v>0.93766731379123547</v>
      </c>
      <c r="CM152" s="21">
        <f>EXP(-LN(2)/2)*CM151+(1-EXP(-LN(2)/2))/(LN(2)/2)*CG152*CJ152*VLOOKUP('Données projet'!$B$12,Paramètres!$A$1:$I$89,3,0)*0.475*44/12</f>
        <v>3.5412008315157338E-17</v>
      </c>
      <c r="CN152" s="22">
        <f t="shared" si="120"/>
        <v>1.3085999578479515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-5.6843418860808015E-13</v>
      </c>
      <c r="CU152" s="17">
        <f>CT152*VLOOKUP('Données projet'!$B$13,Paramètres!$A$1:$I$89,3,0)*VLOOKUP('Données projet'!$B$13,Paramètres!$A$1:$I$89,5,0)</f>
        <v>-4.4337866711430256E-13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261.59434871103355</v>
      </c>
      <c r="CZ152" s="59">
        <f t="shared" si="150"/>
        <v>194.97518096665976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0.19669630897075815</v>
      </c>
      <c r="DG152" s="21">
        <f>EXP(-LN(2)/25)*DG151+(1-EXP(-LN(2)/25))/(LN(2)/25)*Calculateur!DB152*Calculateur!DD152*VLOOKUP('Données projet'!$B$13,Paramètres!$A$1:$I$89,3,0)*0.475*44/12</f>
        <v>0.43127585940634044</v>
      </c>
      <c r="DH152" s="21">
        <f>EXP(-LN(2)/2)*DH151+(1-EXP(-LN(2)/2))/(LN(2)/2)*DB152*DE152*VLOOKUP('Données projet'!$B$13,Paramètres!$A$1:$I$89,3,0)*0.475*44/12</f>
        <v>2.2988915996302869E-17</v>
      </c>
      <c r="DI152" s="22">
        <f t="shared" si="123"/>
        <v>0.62797216837709857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-1.0286385077051818E-13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237.22177246688199</v>
      </c>
      <c r="T153" s="59">
        <f t="shared" si="142"/>
        <v>149.27472147904302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</v>
      </c>
      <c r="AA153" s="21">
        <f>EXP(-LN(2)/25)*AA152+(1-EXP(-LN(2)/25))/(LN(2)/25)*Calculateur!V153*Calculateur!X153*VLOOKUP('Données projet'!$B$9,Paramètres!$A$1:$I$89,3,0)*0.475*44/12</f>
        <v>0.111493314670677</v>
      </c>
      <c r="AB153" s="21">
        <f>EXP(-LN(2)/2)*AB152+(1-EXP(-LN(2)/2))/(LN(2)/2)*V153*Y153*VLOOKUP('Données projet'!$B$9,Paramètres!$A$1:$I$89,3,0)*0.475*44/12</f>
        <v>5.3684035120318372E-18</v>
      </c>
      <c r="AC153" s="22">
        <f t="shared" si="111"/>
        <v>0.111493314670677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243.38048563215585</v>
      </c>
      <c r="AO153" s="59">
        <f t="shared" si="144"/>
        <v>372.1604147006675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0.67879403442309849</v>
      </c>
      <c r="AV153" s="21">
        <f>EXP(-LN(2)/25)*AV152+(1-EXP(-LN(2)/25))/(LN(2)/25)*Calculateur!AQ153*Calculateur!AS153*VLOOKUP('Données projet'!$B$10,Paramètres!$A$1:$I$89,3,0)*0.475*44/12</f>
        <v>0.69504968144401602</v>
      </c>
      <c r="AW153" s="21">
        <f>EXP(-LN(2)/2)*AW152+(1-EXP(-LN(2)/2))/(LN(2)/2)*AQ153*AT153*VLOOKUP('Données projet'!$B$10,Paramètres!$A$1:$I$89,3,0)*0.475*44/12</f>
        <v>2.5426656624952736E-17</v>
      </c>
      <c r="AX153" s="21">
        <f t="shared" si="114"/>
        <v>1.3738437158671144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-5.6843418860808015E-13</v>
      </c>
      <c r="BE153" s="13">
        <f>BD153*VLOOKUP('Données projet'!$B$11,Paramètres!$A$1:$I$89,3,0)*VLOOKUP('Données projet'!$B$11,Paramètres!$A$1:$I$89,5,0)</f>
        <v>-3.177547114319168E-13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326.31232746914907</v>
      </c>
      <c r="BJ153" s="59">
        <f t="shared" si="146"/>
        <v>330.17137761430297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0.4242462715144365</v>
      </c>
      <c r="BQ153" s="21">
        <f>EXP(-LN(2)/25)*BQ152+(1-EXP(-LN(2)/25))/(LN(2)/25)*Calculateur!BL153*Calculateur!BN153*VLOOKUP('Données projet'!$B$11,Paramètres!$A$1:$I$89,3,0)*0.475*44/12</f>
        <v>1.0831130012961754</v>
      </c>
      <c r="BR153" s="21">
        <f>EXP(-LN(2)/2)*BR152+(1-EXP(-LN(2)/2))/(LN(2)/2)*BL153*BO153*VLOOKUP('Données projet'!$B$11,Paramètres!$A$1:$I$89,3,0)*0.475*44/12</f>
        <v>2.8208415091993158E-17</v>
      </c>
      <c r="BS153" s="22">
        <f t="shared" si="117"/>
        <v>1.507359272810612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-2.2737367544323206E-13</v>
      </c>
      <c r="BZ153" s="13">
        <f>BY153*VLOOKUP('Données projet'!$B$12,Paramètres!$A$1:$I$89,3,0)*VLOOKUP('Données projet'!$B$12,Paramètres!$A$1:$I$89,5,0)</f>
        <v>-1.8089849618263545E-13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314.94704727988847</v>
      </c>
      <c r="CE153" s="59">
        <f t="shared" si="148"/>
        <v>366.49199094166454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0.36365888115333672</v>
      </c>
      <c r="CL153" s="21">
        <f>EXP(-LN(2)/25)*CL152+(1-EXP(-LN(2)/25))/(LN(2)/25)*Calculateur!CG153*Calculateur!CI153*VLOOKUP('Données projet'!$B$12,Paramètres!$A$1:$I$89,3,0)*0.475*44/12</f>
        <v>0.91202675178583315</v>
      </c>
      <c r="CM153" s="21">
        <f>EXP(-LN(2)/2)*CM152+(1-EXP(-LN(2)/2))/(LN(2)/2)*CG153*CJ153*VLOOKUP('Données projet'!$B$12,Paramètres!$A$1:$I$89,3,0)*0.475*44/12</f>
        <v>2.5040071215082162E-17</v>
      </c>
      <c r="CN153" s="22">
        <f t="shared" si="120"/>
        <v>1.2756856329391699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-5.6843418860808015E-13</v>
      </c>
      <c r="CU153" s="17">
        <f>CT153*VLOOKUP('Données projet'!$B$13,Paramètres!$A$1:$I$89,3,0)*VLOOKUP('Données projet'!$B$13,Paramètres!$A$1:$I$89,5,0)</f>
        <v>-4.4337866711430256E-13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261.59434871103355</v>
      </c>
      <c r="CZ153" s="59">
        <f t="shared" si="150"/>
        <v>194.97518096665976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0.19283921432474371</v>
      </c>
      <c r="DG153" s="21">
        <f>EXP(-LN(2)/25)*DG152+(1-EXP(-LN(2)/25))/(LN(2)/25)*Calculateur!DB153*Calculateur!DD153*VLOOKUP('Données projet'!$B$13,Paramètres!$A$1:$I$89,3,0)*0.475*44/12</f>
        <v>0.41948259835106233</v>
      </c>
      <c r="DH153" s="21">
        <f>EXP(-LN(2)/2)*DH152+(1-EXP(-LN(2)/2))/(LN(2)/2)*DB153*DE153*VLOOKUP('Données projet'!$B$13,Paramètres!$A$1:$I$89,3,0)*0.475*44/12</f>
        <v>1.6255618393113655E-17</v>
      </c>
      <c r="DI153" s="22">
        <f t="shared" si="123"/>
        <v>0.6123218126758061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-1.0286385077051818E-13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237.22177246688199</v>
      </c>
      <c r="T154" s="59">
        <f t="shared" si="142"/>
        <v>149.27472147904302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</v>
      </c>
      <c r="AA154" s="21">
        <f>EXP(-LN(2)/25)*AA153+(1-EXP(-LN(2)/25))/(LN(2)/25)*Calculateur!V154*Calculateur!X154*VLOOKUP('Données projet'!$B$9,Paramètres!$A$1:$I$89,3,0)*0.475*44/12</f>
        <v>0.10844452411782873</v>
      </c>
      <c r="AB154" s="21">
        <f>EXP(-LN(2)/2)*AB153+(1-EXP(-LN(2)/2))/(LN(2)/2)*V154*Y154*VLOOKUP('Données projet'!$B$9,Paramètres!$A$1:$I$89,3,0)*0.475*44/12</f>
        <v>3.7960345275033895E-18</v>
      </c>
      <c r="AC154" s="22">
        <f t="shared" ref="AC154:AC203" si="163">SUM(Z154:AB154)</f>
        <v>0.10844452411782873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243.38048563215585</v>
      </c>
      <c r="AO154" s="59">
        <f t="shared" si="144"/>
        <v>372.1604147006675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0.66548329743154111</v>
      </c>
      <c r="AV154" s="21">
        <f>EXP(-LN(2)/25)*AV153+(1-EXP(-LN(2)/25))/(LN(2)/25)*Calculateur!AQ154*Calculateur!AS154*VLOOKUP('Données projet'!$B$10,Paramètres!$A$1:$I$89,3,0)*0.475*44/12</f>
        <v>0.67604351135385521</v>
      </c>
      <c r="AW154" s="21">
        <f>EXP(-LN(2)/2)*AW153+(1-EXP(-LN(2)/2))/(LN(2)/2)*AQ154*AT154*VLOOKUP('Données projet'!$B$10,Paramètres!$A$1:$I$89,3,0)*0.475*44/12</f>
        <v>1.7979361322405933E-17</v>
      </c>
      <c r="AX154" s="21">
        <f t="shared" ref="AX154:AX203" si="166">SUM(AU154:AW154)</f>
        <v>1.3415268087853964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-5.6843418860808015E-13</v>
      </c>
      <c r="BE154" s="13">
        <f>BD154*VLOOKUP('Données projet'!$B$11,Paramètres!$A$1:$I$89,3,0)*VLOOKUP('Données projet'!$B$11,Paramètres!$A$1:$I$89,5,0)</f>
        <v>-3.177547114319168E-13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326.31232746914907</v>
      </c>
      <c r="BJ154" s="59">
        <f t="shared" si="146"/>
        <v>330.17137761430297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0.41592706089471315</v>
      </c>
      <c r="BQ154" s="21">
        <f>EXP(-LN(2)/25)*BQ153+(1-EXP(-LN(2)/25))/(LN(2)/25)*Calculateur!BL154*Calculateur!BN154*VLOOKUP('Données projet'!$B$11,Paramètres!$A$1:$I$89,3,0)*0.475*44/12</f>
        <v>1.0534952193172942</v>
      </c>
      <c r="BR154" s="21">
        <f>EXP(-LN(2)/2)*BR153+(1-EXP(-LN(2)/2))/(LN(2)/2)*BL154*BO154*VLOOKUP('Données projet'!$B$11,Paramètres!$A$1:$I$89,3,0)*0.475*44/12</f>
        <v>1.9946361598073311E-17</v>
      </c>
      <c r="BS154" s="22">
        <f t="shared" ref="BS154:BS203" si="169">SUM(BP154:BR154)</f>
        <v>1.4694222802120074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-2.2737367544323206E-13</v>
      </c>
      <c r="BZ154" s="13">
        <f>BY154*VLOOKUP('Données projet'!$B$12,Paramètres!$A$1:$I$89,3,0)*VLOOKUP('Données projet'!$B$12,Paramètres!$A$1:$I$89,5,0)</f>
        <v>-1.8089849618263545E-13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314.94704727988847</v>
      </c>
      <c r="CE154" s="59">
        <f t="shared" si="148"/>
        <v>366.49199094166454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0.35652775230393535</v>
      </c>
      <c r="CL154" s="21">
        <f>EXP(-LN(2)/25)*CL153+(1-EXP(-LN(2)/25))/(LN(2)/25)*Calculateur!CG154*Calculateur!CI154*VLOOKUP('Données projet'!$B$12,Paramètres!$A$1:$I$89,3,0)*0.475*44/12</f>
        <v>0.88708733229684711</v>
      </c>
      <c r="CM154" s="21">
        <f>EXP(-LN(2)/2)*CM153+(1-EXP(-LN(2)/2))/(LN(2)/2)*CG154*CJ154*VLOOKUP('Données projet'!$B$12,Paramètres!$A$1:$I$89,3,0)*0.475*44/12</f>
        <v>1.7706004157578669E-17</v>
      </c>
      <c r="CN154" s="22">
        <f t="shared" ref="CN154:CN203" si="172">SUM(CK154:CM154)</f>
        <v>1.2436150846007825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-5.6843418860808015E-13</v>
      </c>
      <c r="CU154" s="17">
        <f>CT154*VLOOKUP('Données projet'!$B$13,Paramètres!$A$1:$I$89,3,0)*VLOOKUP('Données projet'!$B$13,Paramètres!$A$1:$I$89,5,0)</f>
        <v>-4.4337866711430256E-13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261.59434871103355</v>
      </c>
      <c r="CZ154" s="59">
        <f t="shared" si="150"/>
        <v>194.97518096665976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0.18905775495214219</v>
      </c>
      <c r="DG154" s="21">
        <f>EXP(-LN(2)/25)*DG153+(1-EXP(-LN(2)/25))/(LN(2)/25)*Calculateur!DB154*Calculateur!DD154*VLOOKUP('Données projet'!$B$13,Paramètres!$A$1:$I$89,3,0)*0.475*44/12</f>
        <v>0.4080118246395214</v>
      </c>
      <c r="DH154" s="21">
        <f>EXP(-LN(2)/2)*DH153+(1-EXP(-LN(2)/2))/(LN(2)/2)*DB154*DE154*VLOOKUP('Données projet'!$B$13,Paramètres!$A$1:$I$89,3,0)*0.475*44/12</f>
        <v>1.1494457998151434E-17</v>
      </c>
      <c r="DI154" s="22">
        <f t="shared" ref="DI154:DI203" si="175">SUM(DF154:DH154)</f>
        <v>0.59706957959166362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-1.0286385077051818E-13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237.22177246688199</v>
      </c>
      <c r="T155" s="59">
        <f t="shared" si="142"/>
        <v>149.27472147904302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</v>
      </c>
      <c r="AA155" s="21">
        <f>EXP(-LN(2)/25)*AA154+(1-EXP(-LN(2)/25))/(LN(2)/25)*Calculateur!V155*Calculateur!X155*VLOOKUP('Données projet'!$B$9,Paramètres!$A$1:$I$89,3,0)*0.475*44/12</f>
        <v>0.10547910290297703</v>
      </c>
      <c r="AB155" s="21">
        <f>EXP(-LN(2)/2)*AB154+(1-EXP(-LN(2)/2))/(LN(2)/2)*V155*Y155*VLOOKUP('Données projet'!$B$9,Paramètres!$A$1:$I$89,3,0)*0.475*44/12</f>
        <v>2.6842017560159186E-18</v>
      </c>
      <c r="AC155" s="22">
        <f t="shared" si="163"/>
        <v>0.10547910290297703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243.38048563215585</v>
      </c>
      <c r="AO155" s="59">
        <f t="shared" si="144"/>
        <v>372.1604147006675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0.65243357587364026</v>
      </c>
      <c r="AV155" s="21">
        <f>EXP(-LN(2)/25)*AV154+(1-EXP(-LN(2)/25))/(LN(2)/25)*Calculateur!AQ155*Calculateur!AS155*VLOOKUP('Données projet'!$B$10,Paramètres!$A$1:$I$89,3,0)*0.475*44/12</f>
        <v>0.65755706598430086</v>
      </c>
      <c r="AW155" s="21">
        <f>EXP(-LN(2)/2)*AW154+(1-EXP(-LN(2)/2))/(LN(2)/2)*AQ155*AT155*VLOOKUP('Données projet'!$B$10,Paramètres!$A$1:$I$89,3,0)*0.475*44/12</f>
        <v>1.2713328312476368E-17</v>
      </c>
      <c r="AX155" s="21">
        <f t="shared" si="166"/>
        <v>1.309990641857941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-5.6843418860808015E-13</v>
      </c>
      <c r="BE155" s="13">
        <f>BD155*VLOOKUP('Données projet'!$B$11,Paramètres!$A$1:$I$89,3,0)*VLOOKUP('Données projet'!$B$11,Paramètres!$A$1:$I$89,5,0)</f>
        <v>-3.177547114319168E-13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326.31232746914907</v>
      </c>
      <c r="BJ155" s="59">
        <f t="shared" si="146"/>
        <v>330.17137761430297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0.40777098492102515</v>
      </c>
      <c r="BQ155" s="21">
        <f>EXP(-LN(2)/25)*BQ154+(1-EXP(-LN(2)/25))/(LN(2)/25)*Calculateur!BL155*Calculateur!BN155*VLOOKUP('Données projet'!$B$11,Paramètres!$A$1:$I$89,3,0)*0.475*44/12</f>
        <v>1.0246873371441569</v>
      </c>
      <c r="BR155" s="21">
        <f>EXP(-LN(2)/2)*BR154+(1-EXP(-LN(2)/2))/(LN(2)/2)*BL155*BO155*VLOOKUP('Données projet'!$B$11,Paramètres!$A$1:$I$89,3,0)*0.475*44/12</f>
        <v>1.4104207545996579E-17</v>
      </c>
      <c r="BS155" s="22">
        <f t="shared" si="169"/>
        <v>1.4324583220651821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-2.2737367544323206E-13</v>
      </c>
      <c r="BZ155" s="13">
        <f>BY155*VLOOKUP('Données projet'!$B$12,Paramètres!$A$1:$I$89,3,0)*VLOOKUP('Données projet'!$B$12,Paramètres!$A$1:$I$89,5,0)</f>
        <v>-1.8089849618263545E-13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314.94704727988847</v>
      </c>
      <c r="CE155" s="59">
        <f t="shared" si="148"/>
        <v>366.49199094166454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0.34953646054171167</v>
      </c>
      <c r="CL155" s="21">
        <f>EXP(-LN(2)/25)*CL154+(1-EXP(-LN(2)/25))/(LN(2)/25)*Calculateur!CG155*Calculateur!CI155*VLOOKUP('Données projet'!$B$12,Paramètres!$A$1:$I$89,3,0)*0.475*44/12</f>
        <v>0.86282988254529447</v>
      </c>
      <c r="CM155" s="21">
        <f>EXP(-LN(2)/2)*CM154+(1-EXP(-LN(2)/2))/(LN(2)/2)*CG155*CJ155*VLOOKUP('Données projet'!$B$12,Paramètres!$A$1:$I$89,3,0)*0.475*44/12</f>
        <v>1.2520035607541081E-17</v>
      </c>
      <c r="CN155" s="22">
        <f t="shared" si="172"/>
        <v>1.2123663430870062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-5.6843418860808015E-13</v>
      </c>
      <c r="CU155" s="17">
        <f>CT155*VLOOKUP('Données projet'!$B$13,Paramètres!$A$1:$I$89,3,0)*VLOOKUP('Données projet'!$B$13,Paramètres!$A$1:$I$89,5,0)</f>
        <v>-4.4337866711430256E-13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261.59434871103355</v>
      </c>
      <c r="CZ155" s="59">
        <f t="shared" si="150"/>
        <v>194.97518096665976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0.1853504476913749</v>
      </c>
      <c r="DG155" s="21">
        <f>EXP(-LN(2)/25)*DG154+(1-EXP(-LN(2)/25))/(LN(2)/25)*Calculateur!DB155*Calculateur!DD155*VLOOKUP('Données projet'!$B$13,Paramètres!$A$1:$I$89,3,0)*0.475*44/12</f>
        <v>0.39685471983834436</v>
      </c>
      <c r="DH155" s="21">
        <f>EXP(-LN(2)/2)*DH154+(1-EXP(-LN(2)/2))/(LN(2)/2)*DB155*DE155*VLOOKUP('Données projet'!$B$13,Paramètres!$A$1:$I$89,3,0)*0.475*44/12</f>
        <v>8.1278091965568274E-18</v>
      </c>
      <c r="DI155" s="22">
        <f t="shared" si="175"/>
        <v>0.58220516752971929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-1.0286385077051818E-13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237.22177246688199</v>
      </c>
      <c r="T156" s="59">
        <f t="shared" si="142"/>
        <v>149.27472147904302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</v>
      </c>
      <c r="AA156" s="21">
        <f>EXP(-LN(2)/25)*AA155+(1-EXP(-LN(2)/25))/(LN(2)/25)*Calculateur!V156*Calculateur!X156*VLOOKUP('Données projet'!$B$9,Paramètres!$A$1:$I$89,3,0)*0.475*44/12</f>
        <v>0.10259477128719018</v>
      </c>
      <c r="AB156" s="21">
        <f>EXP(-LN(2)/2)*AB155+(1-EXP(-LN(2)/2))/(LN(2)/2)*V156*Y156*VLOOKUP('Données projet'!$B$9,Paramètres!$A$1:$I$89,3,0)*0.475*44/12</f>
        <v>1.8980172637516947E-18</v>
      </c>
      <c r="AC156" s="22">
        <f t="shared" si="163"/>
        <v>0.10259477128719018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243.38048563215585</v>
      </c>
      <c r="AO156" s="59">
        <f t="shared" si="144"/>
        <v>372.1604147006675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0.63963975139594564</v>
      </c>
      <c r="AV156" s="21">
        <f>EXP(-LN(2)/25)*AV155+(1-EXP(-LN(2)/25))/(LN(2)/25)*Calculateur!AQ156*Calculateur!AS156*VLOOKUP('Données projet'!$B$10,Paramètres!$A$1:$I$89,3,0)*0.475*44/12</f>
        <v>0.63957613343553688</v>
      </c>
      <c r="AW156" s="21">
        <f>EXP(-LN(2)/2)*AW155+(1-EXP(-LN(2)/2))/(LN(2)/2)*AQ156*AT156*VLOOKUP('Données projet'!$B$10,Paramètres!$A$1:$I$89,3,0)*0.475*44/12</f>
        <v>8.9896806612029667E-18</v>
      </c>
      <c r="AX156" s="21">
        <f t="shared" si="166"/>
        <v>1.2792158848314825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-5.6843418860808015E-13</v>
      </c>
      <c r="BE156" s="13">
        <f>BD156*VLOOKUP('Données projet'!$B$11,Paramètres!$A$1:$I$89,3,0)*VLOOKUP('Données projet'!$B$11,Paramètres!$A$1:$I$89,5,0)</f>
        <v>-3.177547114319168E-13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326.31232746914907</v>
      </c>
      <c r="BJ156" s="59">
        <f t="shared" si="146"/>
        <v>330.17137761430297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0.39977484462246599</v>
      </c>
      <c r="BQ156" s="21">
        <f>EXP(-LN(2)/25)*BQ155+(1-EXP(-LN(2)/25))/(LN(2)/25)*Calculateur!BL156*Calculateur!BN156*VLOOKUP('Données projet'!$B$11,Paramètres!$A$1:$I$89,3,0)*0.475*44/12</f>
        <v>0.9966672080239849</v>
      </c>
      <c r="BR156" s="21">
        <f>EXP(-LN(2)/2)*BR155+(1-EXP(-LN(2)/2))/(LN(2)/2)*BL156*BO156*VLOOKUP('Données projet'!$B$11,Paramètres!$A$1:$I$89,3,0)*0.475*44/12</f>
        <v>9.9731807990366554E-18</v>
      </c>
      <c r="BS156" s="22">
        <f t="shared" si="169"/>
        <v>1.3964420526464509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-2.2737367544323206E-13</v>
      </c>
      <c r="BZ156" s="13">
        <f>BY156*VLOOKUP('Données projet'!$B$12,Paramètres!$A$1:$I$89,3,0)*VLOOKUP('Données projet'!$B$12,Paramètres!$A$1:$I$89,5,0)</f>
        <v>-1.8089849618263545E-13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314.94704727988847</v>
      </c>
      <c r="CE156" s="59">
        <f t="shared" si="148"/>
        <v>366.49199094166454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0.34268226374667826</v>
      </c>
      <c r="CL156" s="21">
        <f>EXP(-LN(2)/25)*CL155+(1-EXP(-LN(2)/25))/(LN(2)/25)*Calculateur!CG156*Calculateur!CI156*VLOOKUP('Données projet'!$B$12,Paramètres!$A$1:$I$89,3,0)*0.475*44/12</f>
        <v>0.8392357540328419</v>
      </c>
      <c r="CM156" s="21">
        <f>EXP(-LN(2)/2)*CM155+(1-EXP(-LN(2)/2))/(LN(2)/2)*CG156*CJ156*VLOOKUP('Données projet'!$B$12,Paramètres!$A$1:$I$89,3,0)*0.475*44/12</f>
        <v>8.8530020787893345E-18</v>
      </c>
      <c r="CN156" s="22">
        <f t="shared" si="172"/>
        <v>1.1819180177795201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-5.6843418860808015E-13</v>
      </c>
      <c r="CU156" s="17">
        <f>CT156*VLOOKUP('Données projet'!$B$13,Paramètres!$A$1:$I$89,3,0)*VLOOKUP('Données projet'!$B$13,Paramètres!$A$1:$I$89,5,0)</f>
        <v>-4.4337866711430256E-13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261.59434871103355</v>
      </c>
      <c r="CZ156" s="59">
        <f t="shared" si="150"/>
        <v>194.97518096665976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0.18171583846475711</v>
      </c>
      <c r="DG156" s="21">
        <f>EXP(-LN(2)/25)*DG155+(1-EXP(-LN(2)/25))/(LN(2)/25)*Calculateur!DB156*Calculateur!DD156*VLOOKUP('Données projet'!$B$13,Paramètres!$A$1:$I$89,3,0)*0.475*44/12</f>
        <v>0.38600270665468212</v>
      </c>
      <c r="DH156" s="21">
        <f>EXP(-LN(2)/2)*DH155+(1-EXP(-LN(2)/2))/(LN(2)/2)*DB156*DE156*VLOOKUP('Données projet'!$B$13,Paramètres!$A$1:$I$89,3,0)*0.475*44/12</f>
        <v>5.7472289990757172E-18</v>
      </c>
      <c r="DI156" s="22">
        <f t="shared" si="175"/>
        <v>0.5677185451194392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-1.0286385077051818E-13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237.22177246688199</v>
      </c>
      <c r="T157" s="59">
        <f t="shared" si="142"/>
        <v>149.27472147904302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</v>
      </c>
      <c r="AA157" s="21">
        <f>EXP(-LN(2)/25)*AA156+(1-EXP(-LN(2)/25))/(LN(2)/25)*Calculateur!V157*Calculateur!X157*VLOOKUP('Données projet'!$B$9,Paramètres!$A$1:$I$89,3,0)*0.475*44/12</f>
        <v>9.978931187111742E-2</v>
      </c>
      <c r="AB157" s="21">
        <f>EXP(-LN(2)/2)*AB156+(1-EXP(-LN(2)/2))/(LN(2)/2)*V157*Y157*VLOOKUP('Données projet'!$B$9,Paramètres!$A$1:$I$89,3,0)*0.475*44/12</f>
        <v>1.3421008780079593E-18</v>
      </c>
      <c r="AC157" s="22">
        <f t="shared" si="163"/>
        <v>9.978931187111742E-2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243.38048563215585</v>
      </c>
      <c r="AO157" s="59">
        <f t="shared" si="144"/>
        <v>372.1604147006675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0.62709680601279616</v>
      </c>
      <c r="AV157" s="21">
        <f>EXP(-LN(2)/25)*AV156+(1-EXP(-LN(2)/25))/(LN(2)/25)*Calculateur!AQ157*Calculateur!AS157*VLOOKUP('Données projet'!$B$10,Paramètres!$A$1:$I$89,3,0)*0.475*44/12</f>
        <v>0.622086890432895</v>
      </c>
      <c r="AW157" s="21">
        <f>EXP(-LN(2)/2)*AW156+(1-EXP(-LN(2)/2))/(LN(2)/2)*AQ157*AT157*VLOOKUP('Données projet'!$B$10,Paramètres!$A$1:$I$89,3,0)*0.475*44/12</f>
        <v>6.3566641562381841E-18</v>
      </c>
      <c r="AX157" s="21">
        <f t="shared" si="166"/>
        <v>1.2491836964456913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-5.6843418860808015E-13</v>
      </c>
      <c r="BE157" s="13">
        <f>BD157*VLOOKUP('Données projet'!$B$11,Paramètres!$A$1:$I$89,3,0)*VLOOKUP('Données projet'!$B$11,Paramètres!$A$1:$I$89,5,0)</f>
        <v>-3.177547114319168E-13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326.31232746914907</v>
      </c>
      <c r="BJ157" s="59">
        <f t="shared" si="146"/>
        <v>330.17137761430297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0.39193550375799757</v>
      </c>
      <c r="BQ157" s="21">
        <f>EXP(-LN(2)/25)*BQ156+(1-EXP(-LN(2)/25))/(LN(2)/25)*Calculateur!BL157*Calculateur!BN157*VLOOKUP('Données projet'!$B$11,Paramètres!$A$1:$I$89,3,0)*0.475*44/12</f>
        <v>0.96941329080811844</v>
      </c>
      <c r="BR157" s="21">
        <f>EXP(-LN(2)/2)*BR156+(1-EXP(-LN(2)/2))/(LN(2)/2)*BL157*BO157*VLOOKUP('Données projet'!$B$11,Paramètres!$A$1:$I$89,3,0)*0.475*44/12</f>
        <v>7.0521037729982895E-18</v>
      </c>
      <c r="BS157" s="22">
        <f t="shared" si="169"/>
        <v>1.361348794566116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-2.2737367544323206E-13</v>
      </c>
      <c r="BZ157" s="13">
        <f>BY157*VLOOKUP('Données projet'!$B$12,Paramètres!$A$1:$I$89,3,0)*VLOOKUP('Données projet'!$B$12,Paramètres!$A$1:$I$89,5,0)</f>
        <v>-1.8089849618263545E-13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314.94704727988847</v>
      </c>
      <c r="CE157" s="59">
        <f t="shared" si="148"/>
        <v>366.49199094166454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0.33596247357014819</v>
      </c>
      <c r="CL157" s="21">
        <f>EXP(-LN(2)/25)*CL156+(1-EXP(-LN(2)/25))/(LN(2)/25)*Calculateur!CG157*Calculateur!CI157*VLOOKUP('Données projet'!$B$12,Paramètres!$A$1:$I$89,3,0)*0.475*44/12</f>
        <v>0.81628680820532362</v>
      </c>
      <c r="CM157" s="21">
        <f>EXP(-LN(2)/2)*CM156+(1-EXP(-LN(2)/2))/(LN(2)/2)*CG157*CJ157*VLOOKUP('Données projet'!$B$12,Paramètres!$A$1:$I$89,3,0)*0.475*44/12</f>
        <v>6.2600178037705404E-18</v>
      </c>
      <c r="CN157" s="22">
        <f t="shared" si="172"/>
        <v>1.1522492817754717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-5.6843418860808015E-13</v>
      </c>
      <c r="CU157" s="17">
        <f>CT157*VLOOKUP('Données projet'!$B$13,Paramètres!$A$1:$I$89,3,0)*VLOOKUP('Données projet'!$B$13,Paramètres!$A$1:$I$89,5,0)</f>
        <v>-4.4337866711430256E-13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261.59434871103355</v>
      </c>
      <c r="CZ157" s="59">
        <f t="shared" si="150"/>
        <v>194.97518096665976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0.17815250170818056</v>
      </c>
      <c r="DG157" s="21">
        <f>EXP(-LN(2)/25)*DG156+(1-EXP(-LN(2)/25))/(LN(2)/25)*Calculateur!DB157*Calculateur!DD157*VLOOKUP('Données projet'!$B$13,Paramètres!$A$1:$I$89,3,0)*0.475*44/12</f>
        <v>0.37544744234220973</v>
      </c>
      <c r="DH157" s="21">
        <f>EXP(-LN(2)/2)*DH156+(1-EXP(-LN(2)/2))/(LN(2)/2)*DB157*DE157*VLOOKUP('Données projet'!$B$13,Paramètres!$A$1:$I$89,3,0)*0.475*44/12</f>
        <v>4.0639045982784137E-18</v>
      </c>
      <c r="DI157" s="22">
        <f t="shared" si="175"/>
        <v>0.55359994405039026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-1.0286385077051818E-13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237.22177246688199</v>
      </c>
      <c r="T158" s="59">
        <f t="shared" si="142"/>
        <v>149.27472147904302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</v>
      </c>
      <c r="AA158" s="21">
        <f>EXP(-LN(2)/25)*AA157+(1-EXP(-LN(2)/25))/(LN(2)/25)*Calculateur!V158*Calculateur!X158*VLOOKUP('Données projet'!$B$9,Paramètres!$A$1:$I$89,3,0)*0.475*44/12</f>
        <v>9.7060567890309868E-2</v>
      </c>
      <c r="AB158" s="21">
        <f>EXP(-LN(2)/2)*AB157+(1-EXP(-LN(2)/2))/(LN(2)/2)*V158*Y158*VLOOKUP('Données projet'!$B$9,Paramètres!$A$1:$I$89,3,0)*0.475*44/12</f>
        <v>9.4900863187584737E-19</v>
      </c>
      <c r="AC158" s="22">
        <f t="shared" si="163"/>
        <v>9.7060567890309868E-2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243.38048563215585</v>
      </c>
      <c r="AO158" s="59">
        <f t="shared" si="144"/>
        <v>372.1604147006675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0.61479982013816903</v>
      </c>
      <c r="AV158" s="21">
        <f>EXP(-LN(2)/25)*AV157+(1-EXP(-LN(2)/25))/(LN(2)/25)*Calculateur!AQ158*Calculateur!AS158*VLOOKUP('Données projet'!$B$10,Paramètres!$A$1:$I$89,3,0)*0.475*44/12</f>
        <v>0.60507589169987974</v>
      </c>
      <c r="AW158" s="21">
        <f>EXP(-LN(2)/2)*AW157+(1-EXP(-LN(2)/2))/(LN(2)/2)*AQ158*AT158*VLOOKUP('Données projet'!$B$10,Paramètres!$A$1:$I$89,3,0)*0.475*44/12</f>
        <v>4.4948403306014833E-18</v>
      </c>
      <c r="AX158" s="21">
        <f t="shared" si="166"/>
        <v>1.2198757118380488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-5.6843418860808015E-13</v>
      </c>
      <c r="BE158" s="13">
        <f>BD158*VLOOKUP('Données projet'!$B$11,Paramètres!$A$1:$I$89,3,0)*VLOOKUP('Données projet'!$B$11,Paramètres!$A$1:$I$89,5,0)</f>
        <v>-3.177547114319168E-13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326.31232746914907</v>
      </c>
      <c r="BJ158" s="59">
        <f t="shared" si="146"/>
        <v>330.17137761430297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0.38424988758635559</v>
      </c>
      <c r="BQ158" s="21">
        <f>EXP(-LN(2)/25)*BQ157+(1-EXP(-LN(2)/25))/(LN(2)/25)*Calculateur!BL158*Calculateur!BN158*VLOOKUP('Données projet'!$B$11,Paramètres!$A$1:$I$89,3,0)*0.475*44/12</f>
        <v>0.94290463339174113</v>
      </c>
      <c r="BR158" s="21">
        <f>EXP(-LN(2)/2)*BR157+(1-EXP(-LN(2)/2))/(LN(2)/2)*BL158*BO158*VLOOKUP('Données projet'!$B$11,Paramètres!$A$1:$I$89,3,0)*0.475*44/12</f>
        <v>4.9865903995183277E-18</v>
      </c>
      <c r="BS158" s="22">
        <f t="shared" si="169"/>
        <v>1.3271545209780968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-2.2737367544323206E-13</v>
      </c>
      <c r="BZ158" s="13">
        <f>BY158*VLOOKUP('Données projet'!$B$12,Paramètres!$A$1:$I$89,3,0)*VLOOKUP('Données projet'!$B$12,Paramètres!$A$1:$I$89,5,0)</f>
        <v>-1.8089849618263545E-13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314.94704727988847</v>
      </c>
      <c r="CE158" s="59">
        <f t="shared" si="148"/>
        <v>366.49199094166454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0.3293744543803126</v>
      </c>
      <c r="CL158" s="21">
        <f>EXP(-LN(2)/25)*CL157+(1-EXP(-LN(2)/25))/(LN(2)/25)*Calculateur!CG158*Calculateur!CI158*VLOOKUP('Données projet'!$B$12,Paramètres!$A$1:$I$89,3,0)*0.475*44/12</f>
        <v>0.79396540250829151</v>
      </c>
      <c r="CM158" s="21">
        <f>EXP(-LN(2)/2)*CM157+(1-EXP(-LN(2)/2))/(LN(2)/2)*CG158*CJ158*VLOOKUP('Données projet'!$B$12,Paramètres!$A$1:$I$89,3,0)*0.475*44/12</f>
        <v>4.4265010393946672E-18</v>
      </c>
      <c r="CN158" s="22">
        <f t="shared" si="172"/>
        <v>1.1233398568886042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-5.6843418860808015E-13</v>
      </c>
      <c r="CU158" s="17">
        <f>CT158*VLOOKUP('Données projet'!$B$13,Paramètres!$A$1:$I$89,3,0)*VLOOKUP('Données projet'!$B$13,Paramètres!$A$1:$I$89,5,0)</f>
        <v>-4.4337866711430256E-13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261.59434871103355</v>
      </c>
      <c r="CZ158" s="59">
        <f t="shared" si="150"/>
        <v>194.97518096665976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0.17465903981197967</v>
      </c>
      <c r="DG158" s="21">
        <f>EXP(-LN(2)/25)*DG157+(1-EXP(-LN(2)/25))/(LN(2)/25)*Calculateur!DB158*Calculateur!DD158*VLOOKUP('Données projet'!$B$13,Paramètres!$A$1:$I$89,3,0)*0.475*44/12</f>
        <v>0.36518081228743909</v>
      </c>
      <c r="DH158" s="21">
        <f>EXP(-LN(2)/2)*DH157+(1-EXP(-LN(2)/2))/(LN(2)/2)*DB158*DE158*VLOOKUP('Données projet'!$B$13,Paramètres!$A$1:$I$89,3,0)*0.475*44/12</f>
        <v>2.8736144995378586E-18</v>
      </c>
      <c r="DI158" s="22">
        <f t="shared" si="175"/>
        <v>0.53983985209941876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-1.0286385077051818E-13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237.22177246688199</v>
      </c>
      <c r="T159" s="59">
        <f t="shared" si="142"/>
        <v>149.27472147904302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</v>
      </c>
      <c r="AA159" s="21">
        <f>EXP(-LN(2)/25)*AA158+(1-EXP(-LN(2)/25))/(LN(2)/25)*Calculateur!V159*Calculateur!X159*VLOOKUP('Données projet'!$B$9,Paramètres!$A$1:$I$89,3,0)*0.475*44/12</f>
        <v>9.4406441557155912E-2</v>
      </c>
      <c r="AB159" s="21">
        <f>EXP(-LN(2)/2)*AB158+(1-EXP(-LN(2)/2))/(LN(2)/2)*V159*Y159*VLOOKUP('Données projet'!$B$9,Paramètres!$A$1:$I$89,3,0)*0.475*44/12</f>
        <v>6.7105043900397965E-19</v>
      </c>
      <c r="AC159" s="22">
        <f t="shared" si="163"/>
        <v>9.4406441557155912E-2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243.38048563215585</v>
      </c>
      <c r="AO159" s="59">
        <f t="shared" si="144"/>
        <v>372.1604147006675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0.60274397065612251</v>
      </c>
      <c r="AV159" s="21">
        <f>EXP(-LN(2)/25)*AV158+(1-EXP(-LN(2)/25))/(LN(2)/25)*Calculateur!AQ159*Calculateur!AS159*VLOOKUP('Données projet'!$B$10,Paramètres!$A$1:$I$89,3,0)*0.475*44/12</f>
        <v>0.58853005962178828</v>
      </c>
      <c r="AW159" s="21">
        <f>EXP(-LN(2)/2)*AW158+(1-EXP(-LN(2)/2))/(LN(2)/2)*AQ159*AT159*VLOOKUP('Données projet'!$B$10,Paramètres!$A$1:$I$89,3,0)*0.475*44/12</f>
        <v>3.178332078119092E-18</v>
      </c>
      <c r="AX159" s="21">
        <f t="shared" si="166"/>
        <v>1.1912740302779108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-5.6843418860808015E-13</v>
      </c>
      <c r="BE159" s="13">
        <f>BD159*VLOOKUP('Données projet'!$B$11,Paramètres!$A$1:$I$89,3,0)*VLOOKUP('Données projet'!$B$11,Paramètres!$A$1:$I$89,5,0)</f>
        <v>-3.177547114319168E-13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326.31232746914907</v>
      </c>
      <c r="BJ159" s="59">
        <f t="shared" si="146"/>
        <v>330.17137761430297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0.37671498166007655</v>
      </c>
      <c r="BQ159" s="21">
        <f>EXP(-LN(2)/25)*BQ158+(1-EXP(-LN(2)/25))/(LN(2)/25)*Calculateur!BL159*Calculateur!BN159*VLOOKUP('Données projet'!$B$11,Paramètres!$A$1:$I$89,3,0)*0.475*44/12</f>
        <v>0.91712085660644438</v>
      </c>
      <c r="BR159" s="21">
        <f>EXP(-LN(2)/2)*BR158+(1-EXP(-LN(2)/2))/(LN(2)/2)*BL159*BO159*VLOOKUP('Données projet'!$B$11,Paramètres!$A$1:$I$89,3,0)*0.475*44/12</f>
        <v>3.5260518864991448E-18</v>
      </c>
      <c r="BS159" s="22">
        <f t="shared" si="169"/>
        <v>1.2938358382665209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-2.2737367544323206E-13</v>
      </c>
      <c r="BZ159" s="13">
        <f>BY159*VLOOKUP('Données projet'!$B$12,Paramètres!$A$1:$I$89,3,0)*VLOOKUP('Données projet'!$B$12,Paramètres!$A$1:$I$89,5,0)</f>
        <v>-1.8089849618263545E-13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314.94704727988847</v>
      </c>
      <c r="CE159" s="59">
        <f t="shared" si="148"/>
        <v>366.49199094166454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0.32291562222849474</v>
      </c>
      <c r="CL159" s="21">
        <f>EXP(-LN(2)/25)*CL158+(1-EXP(-LN(2)/25))/(LN(2)/25)*Calculateur!CG159*Calculateur!CI159*VLOOKUP('Données projet'!$B$12,Paramètres!$A$1:$I$89,3,0)*0.475*44/12</f>
        <v>0.77225437682387643</v>
      </c>
      <c r="CM159" s="21">
        <f>EXP(-LN(2)/2)*CM158+(1-EXP(-LN(2)/2))/(LN(2)/2)*CG159*CJ159*VLOOKUP('Données projet'!$B$12,Paramètres!$A$1:$I$89,3,0)*0.475*44/12</f>
        <v>3.1300089018852702E-18</v>
      </c>
      <c r="CN159" s="22">
        <f t="shared" si="172"/>
        <v>1.0951699990523711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-5.6843418860808015E-13</v>
      </c>
      <c r="CU159" s="17">
        <f>CT159*VLOOKUP('Données projet'!$B$13,Paramètres!$A$1:$I$89,3,0)*VLOOKUP('Données projet'!$B$13,Paramètres!$A$1:$I$89,5,0)</f>
        <v>-4.4337866711430256E-13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261.59434871103355</v>
      </c>
      <c r="CZ159" s="59">
        <f t="shared" si="150"/>
        <v>194.97518096665976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0.17123408257276193</v>
      </c>
      <c r="DG159" s="21">
        <f>EXP(-LN(2)/25)*DG158+(1-EXP(-LN(2)/25))/(LN(2)/25)*Calculateur!DB159*Calculateur!DD159*VLOOKUP('Données projet'!$B$13,Paramètres!$A$1:$I$89,3,0)*0.475*44/12</f>
        <v>0.35519492377141476</v>
      </c>
      <c r="DH159" s="21">
        <f>EXP(-LN(2)/2)*DH158+(1-EXP(-LN(2)/2))/(LN(2)/2)*DB159*DE159*VLOOKUP('Données projet'!$B$13,Paramètres!$A$1:$I$89,3,0)*0.475*44/12</f>
        <v>2.0319522991392068E-18</v>
      </c>
      <c r="DI159" s="22">
        <f t="shared" si="175"/>
        <v>0.52642900634417666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-1.0286385077051818E-13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237.22177246688199</v>
      </c>
      <c r="T160" s="59">
        <f t="shared" si="142"/>
        <v>149.27472147904302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</v>
      </c>
      <c r="AA160" s="21">
        <f>EXP(-LN(2)/25)*AA159+(1-EXP(-LN(2)/25))/(LN(2)/25)*Calculateur!V160*Calculateur!X160*VLOOKUP('Données projet'!$B$9,Paramètres!$A$1:$I$89,3,0)*0.475*44/12</f>
        <v>9.1824892448156489E-2</v>
      </c>
      <c r="AB160" s="21">
        <f>EXP(-LN(2)/2)*AB159+(1-EXP(-LN(2)/2))/(LN(2)/2)*V160*Y160*VLOOKUP('Données projet'!$B$9,Paramètres!$A$1:$I$89,3,0)*0.475*44/12</f>
        <v>4.7450431593792369E-19</v>
      </c>
      <c r="AC160" s="22">
        <f t="shared" si="163"/>
        <v>9.1824892448156489E-2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243.38048563215585</v>
      </c>
      <c r="AO160" s="59">
        <f t="shared" si="144"/>
        <v>372.1604147006675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0.59092452902907688</v>
      </c>
      <c r="AV160" s="21">
        <f>EXP(-LN(2)/25)*AV159+(1-EXP(-LN(2)/25))/(LN(2)/25)*Calculateur!AQ160*Calculateur!AS160*VLOOKUP('Données projet'!$B$10,Paramètres!$A$1:$I$89,3,0)*0.475*44/12</f>
        <v>0.57243667419197974</v>
      </c>
      <c r="AW160" s="21">
        <f>EXP(-LN(2)/2)*AW159+(1-EXP(-LN(2)/2))/(LN(2)/2)*AQ160*AT160*VLOOKUP('Données projet'!$B$10,Paramètres!$A$1:$I$89,3,0)*0.475*44/12</f>
        <v>2.2474201653007417E-18</v>
      </c>
      <c r="AX160" s="21">
        <f t="shared" si="166"/>
        <v>1.1633612032210565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-5.6843418860808015E-13</v>
      </c>
      <c r="BE160" s="13">
        <f>BD160*VLOOKUP('Données projet'!$B$11,Paramètres!$A$1:$I$89,3,0)*VLOOKUP('Données projet'!$B$11,Paramètres!$A$1:$I$89,5,0)</f>
        <v>-3.177547114319168E-13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326.31232746914907</v>
      </c>
      <c r="BJ160" s="59">
        <f t="shared" si="146"/>
        <v>330.17137761430297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0.36932783064317304</v>
      </c>
      <c r="BQ160" s="21">
        <f>EXP(-LN(2)/25)*BQ159+(1-EXP(-LN(2)/25))/(LN(2)/25)*Calculateur!BL160*Calculateur!BN160*VLOOKUP('Données projet'!$B$11,Paramètres!$A$1:$I$89,3,0)*0.475*44/12</f>
        <v>0.89204213855325143</v>
      </c>
      <c r="BR160" s="21">
        <f>EXP(-LN(2)/2)*BR159+(1-EXP(-LN(2)/2))/(LN(2)/2)*BL160*BO160*VLOOKUP('Données projet'!$B$11,Paramètres!$A$1:$I$89,3,0)*0.475*44/12</f>
        <v>2.4932951997591639E-18</v>
      </c>
      <c r="BS160" s="22">
        <f t="shared" si="169"/>
        <v>1.2613699691964244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-2.2737367544323206E-13</v>
      </c>
      <c r="BZ160" s="13">
        <f>BY160*VLOOKUP('Données projet'!$B$12,Paramètres!$A$1:$I$89,3,0)*VLOOKUP('Données projet'!$B$12,Paramètres!$A$1:$I$89,5,0)</f>
        <v>-1.8089849618263545E-13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314.94704727988847</v>
      </c>
      <c r="CE160" s="59">
        <f t="shared" si="148"/>
        <v>366.49199094166454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0.31658344383567544</v>
      </c>
      <c r="CL160" s="21">
        <f>EXP(-LN(2)/25)*CL159+(1-EXP(-LN(2)/25))/(LN(2)/25)*Calculateur!CG160*Calculateur!CI160*VLOOKUP('Données projet'!$B$12,Paramètres!$A$1:$I$89,3,0)*0.475*44/12</f>
        <v>0.7511370402785349</v>
      </c>
      <c r="CM160" s="21">
        <f>EXP(-LN(2)/2)*CM159+(1-EXP(-LN(2)/2))/(LN(2)/2)*CG160*CJ160*VLOOKUP('Données projet'!$B$12,Paramètres!$A$1:$I$89,3,0)*0.475*44/12</f>
        <v>2.2132505196973336E-18</v>
      </c>
      <c r="CN160" s="22">
        <f t="shared" si="172"/>
        <v>1.0677204841142103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-5.6843418860808015E-13</v>
      </c>
      <c r="CU160" s="17">
        <f>CT160*VLOOKUP('Données projet'!$B$13,Paramètres!$A$1:$I$89,3,0)*VLOOKUP('Données projet'!$B$13,Paramètres!$A$1:$I$89,5,0)</f>
        <v>-4.4337866711430256E-13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261.59434871103355</v>
      </c>
      <c r="CZ160" s="59">
        <f t="shared" si="150"/>
        <v>194.97518096665976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0.16787628665598761</v>
      </c>
      <c r="DG160" s="21">
        <f>EXP(-LN(2)/25)*DG159+(1-EXP(-LN(2)/25))/(LN(2)/25)*Calculateur!DB160*Calculateur!DD160*VLOOKUP('Données projet'!$B$13,Paramètres!$A$1:$I$89,3,0)*0.475*44/12</f>
        <v>0.34548209990199619</v>
      </c>
      <c r="DH160" s="21">
        <f>EXP(-LN(2)/2)*DH159+(1-EXP(-LN(2)/2))/(LN(2)/2)*DB160*DE160*VLOOKUP('Données projet'!$B$13,Paramètres!$A$1:$I$89,3,0)*0.475*44/12</f>
        <v>1.4368072497689293E-18</v>
      </c>
      <c r="DI160" s="22">
        <f t="shared" si="175"/>
        <v>0.51335838655798383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-1.0286385077051818E-13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237.22177246688199</v>
      </c>
      <c r="T161" s="59">
        <f t="shared" si="142"/>
        <v>149.27472147904302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</v>
      </c>
      <c r="AA161" s="21">
        <f>EXP(-LN(2)/25)*AA160+(1-EXP(-LN(2)/25))/(LN(2)/25)*Calculateur!V161*Calculateur!X161*VLOOKUP('Données projet'!$B$9,Paramètres!$A$1:$I$89,3,0)*0.475*44/12</f>
        <v>8.9313935935300431E-2</v>
      </c>
      <c r="AB161" s="21">
        <f>EXP(-LN(2)/2)*AB160+(1-EXP(-LN(2)/2))/(LN(2)/2)*V161*Y161*VLOOKUP('Données projet'!$B$9,Paramètres!$A$1:$I$89,3,0)*0.475*44/12</f>
        <v>3.3552521950198982E-19</v>
      </c>
      <c r="AC161" s="22">
        <f t="shared" si="163"/>
        <v>8.9313935935300431E-2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243.38048563215585</v>
      </c>
      <c r="AO161" s="59">
        <f t="shared" si="144"/>
        <v>372.1604147006675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0.57933685944319002</v>
      </c>
      <c r="AV161" s="21">
        <f>EXP(-LN(2)/25)*AV160+(1-EXP(-LN(2)/25))/(LN(2)/25)*Calculateur!AQ161*Calculateur!AS161*VLOOKUP('Données projet'!$B$10,Paramètres!$A$1:$I$89,3,0)*0.475*44/12</f>
        <v>0.55678336323306366</v>
      </c>
      <c r="AW161" s="21">
        <f>EXP(-LN(2)/2)*AW160+(1-EXP(-LN(2)/2))/(LN(2)/2)*AQ161*AT161*VLOOKUP('Données projet'!$B$10,Paramètres!$A$1:$I$89,3,0)*0.475*44/12</f>
        <v>1.589166039059546E-18</v>
      </c>
      <c r="AX161" s="21">
        <f t="shared" si="166"/>
        <v>1.1361202226762537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-5.6843418860808015E-13</v>
      </c>
      <c r="BE161" s="13">
        <f>BD161*VLOOKUP('Données projet'!$B$11,Paramètres!$A$1:$I$89,3,0)*VLOOKUP('Données projet'!$B$11,Paramètres!$A$1:$I$89,5,0)</f>
        <v>-3.177547114319168E-13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326.31232746914907</v>
      </c>
      <c r="BJ161" s="59">
        <f t="shared" si="146"/>
        <v>330.17137761430297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0.36208553715199376</v>
      </c>
      <c r="BQ161" s="21">
        <f>EXP(-LN(2)/25)*BQ160+(1-EXP(-LN(2)/25))/(LN(2)/25)*Calculateur!BL161*Calculateur!BN161*VLOOKUP('Données projet'!$B$11,Paramètres!$A$1:$I$89,3,0)*0.475*44/12</f>
        <v>0.86764919936405549</v>
      </c>
      <c r="BR161" s="21">
        <f>EXP(-LN(2)/2)*BR160+(1-EXP(-LN(2)/2))/(LN(2)/2)*BL161*BO161*VLOOKUP('Données projet'!$B$11,Paramètres!$A$1:$I$89,3,0)*0.475*44/12</f>
        <v>1.7630259432495724E-18</v>
      </c>
      <c r="BS161" s="22">
        <f t="shared" si="169"/>
        <v>1.2297347365160491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-2.2737367544323206E-13</v>
      </c>
      <c r="BZ161" s="13">
        <f>BY161*VLOOKUP('Données projet'!$B$12,Paramètres!$A$1:$I$89,3,0)*VLOOKUP('Données projet'!$B$12,Paramètres!$A$1:$I$89,5,0)</f>
        <v>-1.8089849618263545E-13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314.94704727988847</v>
      </c>
      <c r="CE161" s="59">
        <f t="shared" si="148"/>
        <v>366.49199094166454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0.31037543559889186</v>
      </c>
      <c r="CL161" s="21">
        <f>EXP(-LN(2)/25)*CL160+(1-EXP(-LN(2)/25))/(LN(2)/25)*Calculateur!CG161*Calculateur!CI161*VLOOKUP('Données projet'!$B$12,Paramètres!$A$1:$I$89,3,0)*0.475*44/12</f>
        <v>0.73059715841153816</v>
      </c>
      <c r="CM161" s="21">
        <f>EXP(-LN(2)/2)*CM160+(1-EXP(-LN(2)/2))/(LN(2)/2)*CG161*CJ161*VLOOKUP('Données projet'!$B$12,Paramètres!$A$1:$I$89,3,0)*0.475*44/12</f>
        <v>1.5650044509426351E-18</v>
      </c>
      <c r="CN161" s="22">
        <f t="shared" si="172"/>
        <v>1.04097259401043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-5.6843418860808015E-13</v>
      </c>
      <c r="CU161" s="17">
        <f>CT161*VLOOKUP('Données projet'!$B$13,Paramètres!$A$1:$I$89,3,0)*VLOOKUP('Données projet'!$B$13,Paramètres!$A$1:$I$89,5,0)</f>
        <v>-4.4337866711430256E-13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261.59434871103355</v>
      </c>
      <c r="CZ161" s="59">
        <f t="shared" si="150"/>
        <v>194.97518096665976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0.16458433506908796</v>
      </c>
      <c r="DG161" s="21">
        <f>EXP(-LN(2)/25)*DG160+(1-EXP(-LN(2)/25))/(LN(2)/25)*Calculateur!DB161*Calculateur!DD161*VLOOKUP('Données projet'!$B$13,Paramètres!$A$1:$I$89,3,0)*0.475*44/12</f>
        <v>0.33603487371206209</v>
      </c>
      <c r="DH161" s="21">
        <f>EXP(-LN(2)/2)*DH160+(1-EXP(-LN(2)/2))/(LN(2)/2)*DB161*DE161*VLOOKUP('Données projet'!$B$13,Paramètres!$A$1:$I$89,3,0)*0.475*44/12</f>
        <v>1.0159761495696034E-18</v>
      </c>
      <c r="DI161" s="22">
        <f t="shared" si="175"/>
        <v>0.50061920878115007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-1.0286385077051818E-13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237.22177246688199</v>
      </c>
      <c r="T162" s="59">
        <f t="shared" si="142"/>
        <v>149.27472147904302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</v>
      </c>
      <c r="AA162" s="21">
        <f>EXP(-LN(2)/25)*AA161+(1-EXP(-LN(2)/25))/(LN(2)/25)*Calculateur!V162*Calculateur!X162*VLOOKUP('Données projet'!$B$9,Paramètres!$A$1:$I$89,3,0)*0.475*44/12</f>
        <v>8.6871641660333884E-2</v>
      </c>
      <c r="AB162" s="21">
        <f>EXP(-LN(2)/2)*AB161+(1-EXP(-LN(2)/2))/(LN(2)/2)*V162*Y162*VLOOKUP('Données projet'!$B$9,Paramètres!$A$1:$I$89,3,0)*0.475*44/12</f>
        <v>2.3725215796896184E-19</v>
      </c>
      <c r="AC162" s="22">
        <f t="shared" si="163"/>
        <v>8.6871641660333884E-2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243.38048563215585</v>
      </c>
      <c r="AO162" s="59">
        <f t="shared" si="144"/>
        <v>372.1604147006675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0.56797641699010182</v>
      </c>
      <c r="AV162" s="21">
        <f>EXP(-LN(2)/25)*AV161+(1-EXP(-LN(2)/25))/(LN(2)/25)*Calculateur!AQ162*Calculateur!AS162*VLOOKUP('Données projet'!$B$10,Paramètres!$A$1:$I$89,3,0)*0.475*44/12</f>
        <v>0.54155809288549095</v>
      </c>
      <c r="AW162" s="21">
        <f>EXP(-LN(2)/2)*AW161+(1-EXP(-LN(2)/2))/(LN(2)/2)*AQ162*AT162*VLOOKUP('Données projet'!$B$10,Paramètres!$A$1:$I$89,3,0)*0.475*44/12</f>
        <v>1.1237100826503708E-18</v>
      </c>
      <c r="AX162" s="21">
        <f t="shared" si="166"/>
        <v>1.1095345098755929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-5.6843418860808015E-13</v>
      </c>
      <c r="BE162" s="13">
        <f>BD162*VLOOKUP('Données projet'!$B$11,Paramètres!$A$1:$I$89,3,0)*VLOOKUP('Données projet'!$B$11,Paramètres!$A$1:$I$89,5,0)</f>
        <v>-3.177547114319168E-13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326.31232746914907</v>
      </c>
      <c r="BJ162" s="59">
        <f t="shared" si="146"/>
        <v>330.17137761430297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0.35498526061881369</v>
      </c>
      <c r="BQ162" s="21">
        <f>EXP(-LN(2)/25)*BQ161+(1-EXP(-LN(2)/25))/(LN(2)/25)*Calculateur!BL162*Calculateur!BN162*VLOOKUP('Données projet'!$B$11,Paramètres!$A$1:$I$89,3,0)*0.475*44/12</f>
        <v>0.843923286379757</v>
      </c>
      <c r="BR162" s="21">
        <f>EXP(-LN(2)/2)*BR161+(1-EXP(-LN(2)/2))/(LN(2)/2)*BL162*BO162*VLOOKUP('Données projet'!$B$11,Paramètres!$A$1:$I$89,3,0)*0.475*44/12</f>
        <v>1.2466475998795819E-18</v>
      </c>
      <c r="BS162" s="22">
        <f t="shared" si="169"/>
        <v>1.1989085469985707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-2.2737367544323206E-13</v>
      </c>
      <c r="BZ162" s="13">
        <f>BY162*VLOOKUP('Données projet'!$B$12,Paramètres!$A$1:$I$89,3,0)*VLOOKUP('Données projet'!$B$12,Paramètres!$A$1:$I$89,5,0)</f>
        <v>-1.8089849618263545E-13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314.94704727988847</v>
      </c>
      <c r="CE162" s="59">
        <f t="shared" si="148"/>
        <v>366.49199094166454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0.30428916261712047</v>
      </c>
      <c r="CL162" s="21">
        <f>EXP(-LN(2)/25)*CL161+(1-EXP(-LN(2)/25))/(LN(2)/25)*Calculateur!CG162*Calculateur!CI162*VLOOKUP('Données projet'!$B$12,Paramètres!$A$1:$I$89,3,0)*0.475*44/12</f>
        <v>0.71061894069433984</v>
      </c>
      <c r="CM162" s="21">
        <f>EXP(-LN(2)/2)*CM161+(1-EXP(-LN(2)/2))/(LN(2)/2)*CG162*CJ162*VLOOKUP('Données projet'!$B$12,Paramètres!$A$1:$I$89,3,0)*0.475*44/12</f>
        <v>1.1066252598486668E-18</v>
      </c>
      <c r="CN162" s="22">
        <f t="shared" si="172"/>
        <v>1.0149081033114604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-5.6843418860808015E-13</v>
      </c>
      <c r="CU162" s="17">
        <f>CT162*VLOOKUP('Données projet'!$B$13,Paramètres!$A$1:$I$89,3,0)*VLOOKUP('Données projet'!$B$13,Paramètres!$A$1:$I$89,5,0)</f>
        <v>-4.4337866711430256E-13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261.59434871103355</v>
      </c>
      <c r="CZ162" s="59">
        <f t="shared" si="150"/>
        <v>194.97518096665976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0.16135693664491518</v>
      </c>
      <c r="DG162" s="21">
        <f>EXP(-LN(2)/25)*DG161+(1-EXP(-LN(2)/25))/(LN(2)/25)*Calculateur!DB162*Calculateur!DD162*VLOOKUP('Données projet'!$B$13,Paramètres!$A$1:$I$89,3,0)*0.475*44/12</f>
        <v>0.32684598241909973</v>
      </c>
      <c r="DH162" s="21">
        <f>EXP(-LN(2)/2)*DH161+(1-EXP(-LN(2)/2))/(LN(2)/2)*DB162*DE162*VLOOKUP('Données projet'!$B$13,Paramètres!$A$1:$I$89,3,0)*0.475*44/12</f>
        <v>7.1840362488446465E-19</v>
      </c>
      <c r="DI162" s="22">
        <f t="shared" si="175"/>
        <v>0.48820291906401492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-1.0286385077051818E-13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237.22177246688199</v>
      </c>
      <c r="T163" s="59">
        <f t="shared" si="142"/>
        <v>149.27472147904302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</v>
      </c>
      <c r="AA163" s="21">
        <f>EXP(-LN(2)/25)*AA162+(1-EXP(-LN(2)/25))/(LN(2)/25)*Calculateur!V163*Calculateur!X163*VLOOKUP('Données projet'!$B$9,Paramètres!$A$1:$I$89,3,0)*0.475*44/12</f>
        <v>8.4496132050750961E-2</v>
      </c>
      <c r="AB163" s="21">
        <f>EXP(-LN(2)/2)*AB162+(1-EXP(-LN(2)/2))/(LN(2)/2)*V163*Y163*VLOOKUP('Données projet'!$B$9,Paramètres!$A$1:$I$89,3,0)*0.475*44/12</f>
        <v>1.6776260975099491E-19</v>
      </c>
      <c r="AC163" s="22">
        <f t="shared" si="163"/>
        <v>8.4496132050750961E-2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243.38048563215585</v>
      </c>
      <c r="AO163" s="59">
        <f t="shared" si="144"/>
        <v>372.1604147006675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0.55683874588433302</v>
      </c>
      <c r="AV163" s="21">
        <f>EXP(-LN(2)/25)*AV162+(1-EXP(-LN(2)/25))/(LN(2)/25)*Calculateur!AQ163*Calculateur!AS163*VLOOKUP('Données projet'!$B$10,Paramètres!$A$1:$I$89,3,0)*0.475*44/12</f>
        <v>0.52674915835623481</v>
      </c>
      <c r="AW163" s="21">
        <f>EXP(-LN(2)/2)*AW162+(1-EXP(-LN(2)/2))/(LN(2)/2)*AQ163*AT163*VLOOKUP('Données projet'!$B$10,Paramètres!$A$1:$I$89,3,0)*0.475*44/12</f>
        <v>7.9458301952977301E-19</v>
      </c>
      <c r="AX163" s="21">
        <f t="shared" si="166"/>
        <v>1.0835879042405678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-5.6843418860808015E-13</v>
      </c>
      <c r="BE163" s="13">
        <f>BD163*VLOOKUP('Données projet'!$B$11,Paramètres!$A$1:$I$89,3,0)*VLOOKUP('Données projet'!$B$11,Paramètres!$A$1:$I$89,5,0)</f>
        <v>-3.177547114319168E-13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326.31232746914907</v>
      </c>
      <c r="BJ163" s="59">
        <f t="shared" si="146"/>
        <v>330.17137761430297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0.34802421617770818</v>
      </c>
      <c r="BQ163" s="21">
        <f>EXP(-LN(2)/25)*BQ162+(1-EXP(-LN(2)/25))/(LN(2)/25)*Calculateur!BL163*Calculateur!BN163*VLOOKUP('Données projet'!$B$11,Paramètres!$A$1:$I$89,3,0)*0.475*44/12</f>
        <v>0.82084615973370567</v>
      </c>
      <c r="BR163" s="21">
        <f>EXP(-LN(2)/2)*BR162+(1-EXP(-LN(2)/2))/(LN(2)/2)*BL163*BO163*VLOOKUP('Données projet'!$B$11,Paramètres!$A$1:$I$89,3,0)*0.475*44/12</f>
        <v>8.8151297162478619E-19</v>
      </c>
      <c r="BS163" s="22">
        <f t="shared" si="169"/>
        <v>1.1688703759114139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-2.2737367544323206E-13</v>
      </c>
      <c r="BZ163" s="13">
        <f>BY163*VLOOKUP('Données projet'!$B$12,Paramètres!$A$1:$I$89,3,0)*VLOOKUP('Données projet'!$B$12,Paramètres!$A$1:$I$89,5,0)</f>
        <v>-1.8089849618263545E-13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314.94704727988847</v>
      </c>
      <c r="CE163" s="59">
        <f t="shared" si="148"/>
        <v>366.49199094166454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0.29832223773626165</v>
      </c>
      <c r="CL163" s="21">
        <f>EXP(-LN(2)/25)*CL162+(1-EXP(-LN(2)/25))/(LN(2)/25)*Calculateur!CG163*Calculateur!CI163*VLOOKUP('Données projet'!$B$12,Paramètres!$A$1:$I$89,3,0)*0.475*44/12</f>
        <v>0.69118702839122714</v>
      </c>
      <c r="CM163" s="21">
        <f>EXP(-LN(2)/2)*CM162+(1-EXP(-LN(2)/2))/(LN(2)/2)*CG163*CJ163*VLOOKUP('Données projet'!$B$12,Paramètres!$A$1:$I$89,3,0)*0.475*44/12</f>
        <v>7.8250222547131755E-19</v>
      </c>
      <c r="CN163" s="22">
        <f t="shared" si="172"/>
        <v>0.9895092661274888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-5.6843418860808015E-13</v>
      </c>
      <c r="CU163" s="17">
        <f>CT163*VLOOKUP('Données projet'!$B$13,Paramètres!$A$1:$I$89,3,0)*VLOOKUP('Données projet'!$B$13,Paramètres!$A$1:$I$89,5,0)</f>
        <v>-4.4337866711430256E-13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261.59434871103355</v>
      </c>
      <c r="CZ163" s="59">
        <f t="shared" si="150"/>
        <v>194.97518096665976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0.15819282553532177</v>
      </c>
      <c r="DG163" s="21">
        <f>EXP(-LN(2)/25)*DG162+(1-EXP(-LN(2)/25))/(LN(2)/25)*Calculateur!DB163*Calculateur!DD163*VLOOKUP('Données projet'!$B$13,Paramètres!$A$1:$I$89,3,0)*0.475*44/12</f>
        <v>0.31790836184176624</v>
      </c>
      <c r="DH163" s="21">
        <f>EXP(-LN(2)/2)*DH162+(1-EXP(-LN(2)/2))/(LN(2)/2)*DB163*DE163*VLOOKUP('Données projet'!$B$13,Paramètres!$A$1:$I$89,3,0)*0.475*44/12</f>
        <v>5.0798807478480171E-19</v>
      </c>
      <c r="DI163" s="22">
        <f t="shared" si="175"/>
        <v>0.47610118737708801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-1.0286385077051818E-13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237.22177246688199</v>
      </c>
      <c r="T164" s="59">
        <f t="shared" si="142"/>
        <v>149.27472147904302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</v>
      </c>
      <c r="AA164" s="21">
        <f>EXP(-LN(2)/25)*AA163+(1-EXP(-LN(2)/25))/(LN(2)/25)*Calculateur!V164*Calculateur!X164*VLOOKUP('Données projet'!$B$9,Paramètres!$A$1:$I$89,3,0)*0.475*44/12</f>
        <v>8.2185580876364711E-2</v>
      </c>
      <c r="AB164" s="21">
        <f>EXP(-LN(2)/2)*AB163+(1-EXP(-LN(2)/2))/(LN(2)/2)*V164*Y164*VLOOKUP('Données projet'!$B$9,Paramètres!$A$1:$I$89,3,0)*0.475*44/12</f>
        <v>1.1862607898448092E-19</v>
      </c>
      <c r="AC164" s="22">
        <f t="shared" si="163"/>
        <v>8.2185580876364711E-2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243.38048563215585</v>
      </c>
      <c r="AO164" s="59">
        <f t="shared" si="144"/>
        <v>372.1604147006675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0.54591947771563976</v>
      </c>
      <c r="AV164" s="21">
        <f>EXP(-LN(2)/25)*AV163+(1-EXP(-LN(2)/25))/(LN(2)/25)*Calculateur!AQ164*Calculateur!AS164*VLOOKUP('Données projet'!$B$10,Paramètres!$A$1:$I$89,3,0)*0.475*44/12</f>
        <v>0.51234517492044929</v>
      </c>
      <c r="AW164" s="21">
        <f>EXP(-LN(2)/2)*AW163+(1-EXP(-LN(2)/2))/(LN(2)/2)*AQ164*AT164*VLOOKUP('Données projet'!$B$10,Paramètres!$A$1:$I$89,3,0)*0.475*44/12</f>
        <v>5.6185504132518542E-19</v>
      </c>
      <c r="AX164" s="21">
        <f t="shared" si="166"/>
        <v>1.058264652636089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-5.6843418860808015E-13</v>
      </c>
      <c r="BE164" s="13">
        <f>BD164*VLOOKUP('Données projet'!$B$11,Paramètres!$A$1:$I$89,3,0)*VLOOKUP('Données projet'!$B$11,Paramètres!$A$1:$I$89,5,0)</f>
        <v>-3.177547114319168E-13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326.31232746914907</v>
      </c>
      <c r="BJ164" s="59">
        <f t="shared" si="146"/>
        <v>330.17137761430297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0.34119967357227488</v>
      </c>
      <c r="BQ164" s="21">
        <f>EXP(-LN(2)/25)*BQ163+(1-EXP(-LN(2)/25))/(LN(2)/25)*Calculateur!BL164*Calculateur!BN164*VLOOKUP('Données projet'!$B$11,Paramètres!$A$1:$I$89,3,0)*0.475*44/12</f>
        <v>0.79840007832936399</v>
      </c>
      <c r="BR164" s="21">
        <f>EXP(-LN(2)/2)*BR163+(1-EXP(-LN(2)/2))/(LN(2)/2)*BL164*BO164*VLOOKUP('Données projet'!$B$11,Paramètres!$A$1:$I$89,3,0)*0.475*44/12</f>
        <v>6.2332379993979096E-19</v>
      </c>
      <c r="BS164" s="22">
        <f t="shared" si="169"/>
        <v>1.1395997519016388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-2.2737367544323206E-13</v>
      </c>
      <c r="BZ164" s="13">
        <f>BY164*VLOOKUP('Données projet'!$B$12,Paramètres!$A$1:$I$89,3,0)*VLOOKUP('Données projet'!$B$12,Paramètres!$A$1:$I$89,5,0)</f>
        <v>-1.8089849618263545E-13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314.94704727988847</v>
      </c>
      <c r="CE164" s="59">
        <f t="shared" si="148"/>
        <v>366.49199094166454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0.29247232061285167</v>
      </c>
      <c r="CL164" s="21">
        <f>EXP(-LN(2)/25)*CL163+(1-EXP(-LN(2)/25))/(LN(2)/25)*Calculateur!CG164*Calculateur!CI164*VLOOKUP('Données projet'!$B$12,Paramètres!$A$1:$I$89,3,0)*0.475*44/12</f>
        <v>0.67228648275192293</v>
      </c>
      <c r="CM164" s="21">
        <f>EXP(-LN(2)/2)*CM163+(1-EXP(-LN(2)/2))/(LN(2)/2)*CG164*CJ164*VLOOKUP('Données projet'!$B$12,Paramètres!$A$1:$I$89,3,0)*0.475*44/12</f>
        <v>5.5331262992433341E-19</v>
      </c>
      <c r="CN164" s="22">
        <f t="shared" si="172"/>
        <v>0.9647588033647746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-5.6843418860808015E-13</v>
      </c>
      <c r="CU164" s="17">
        <f>CT164*VLOOKUP('Données projet'!$B$13,Paramètres!$A$1:$I$89,3,0)*VLOOKUP('Données projet'!$B$13,Paramètres!$A$1:$I$89,5,0)</f>
        <v>-4.4337866711430256E-13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261.59434871103355</v>
      </c>
      <c r="CZ164" s="59">
        <f t="shared" si="150"/>
        <v>194.97518096665976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0.15509076071467029</v>
      </c>
      <c r="DG164" s="21">
        <f>EXP(-LN(2)/25)*DG163+(1-EXP(-LN(2)/25))/(LN(2)/25)*Calculateur!DB164*Calculateur!DD164*VLOOKUP('Données projet'!$B$13,Paramètres!$A$1:$I$89,3,0)*0.475*44/12</f>
        <v>0.309215140969129</v>
      </c>
      <c r="DH164" s="21">
        <f>EXP(-LN(2)/2)*DH163+(1-EXP(-LN(2)/2))/(LN(2)/2)*DB164*DE164*VLOOKUP('Données projet'!$B$13,Paramètres!$A$1:$I$89,3,0)*0.475*44/12</f>
        <v>3.5920181244223232E-19</v>
      </c>
      <c r="DI164" s="22">
        <f t="shared" si="175"/>
        <v>0.46430590168379926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-1.0286385077051818E-13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237.22177246688199</v>
      </c>
      <c r="T165" s="59">
        <f t="shared" si="142"/>
        <v>149.27472147904302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</v>
      </c>
      <c r="AA165" s="21">
        <f>EXP(-LN(2)/25)*AA164+(1-EXP(-LN(2)/25))/(LN(2)/25)*Calculateur!V165*Calculateur!X165*VLOOKUP('Données projet'!$B$9,Paramètres!$A$1:$I$89,3,0)*0.475*44/12</f>
        <v>7.9938211845348661E-2</v>
      </c>
      <c r="AB165" s="21">
        <f>EXP(-LN(2)/2)*AB164+(1-EXP(-LN(2)/2))/(LN(2)/2)*V165*Y165*VLOOKUP('Données projet'!$B$9,Paramètres!$A$1:$I$89,3,0)*0.475*44/12</f>
        <v>8.3881304875497456E-20</v>
      </c>
      <c r="AC165" s="22">
        <f t="shared" si="163"/>
        <v>7.9938211845348661E-2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243.38048563215585</v>
      </c>
      <c r="AO165" s="59">
        <f t="shared" si="144"/>
        <v>372.1604147006675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0.53521432973563865</v>
      </c>
      <c r="AV165" s="21">
        <f>EXP(-LN(2)/25)*AV164+(1-EXP(-LN(2)/25))/(LN(2)/25)*Calculateur!AQ165*Calculateur!AS165*VLOOKUP('Données projet'!$B$10,Paramètres!$A$1:$I$89,3,0)*0.475*44/12</f>
        <v>0.49833506916918785</v>
      </c>
      <c r="AW165" s="21">
        <f>EXP(-LN(2)/2)*AW164+(1-EXP(-LN(2)/2))/(LN(2)/2)*AQ165*AT165*VLOOKUP('Données projet'!$B$10,Paramètres!$A$1:$I$89,3,0)*0.475*44/12</f>
        <v>3.9729150976488651E-19</v>
      </c>
      <c r="AX165" s="21">
        <f t="shared" si="166"/>
        <v>1.0335493989048266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-5.6843418860808015E-13</v>
      </c>
      <c r="BE165" s="13">
        <f>BD165*VLOOKUP('Données projet'!$B$11,Paramètres!$A$1:$I$89,3,0)*VLOOKUP('Données projet'!$B$11,Paramètres!$A$1:$I$89,5,0)</f>
        <v>-3.177547114319168E-13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326.31232746914907</v>
      </c>
      <c r="BJ165" s="59">
        <f t="shared" si="146"/>
        <v>330.17137761430297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0.33450895608477416</v>
      </c>
      <c r="BQ165" s="21">
        <f>EXP(-LN(2)/25)*BQ164+(1-EXP(-LN(2)/25))/(LN(2)/25)*Calculateur!BL165*Calculateur!BN165*VLOOKUP('Données projet'!$B$11,Paramètres!$A$1:$I$89,3,0)*0.475*44/12</f>
        <v>0.7765677862014122</v>
      </c>
      <c r="BR165" s="21">
        <f>EXP(-LN(2)/2)*BR164+(1-EXP(-LN(2)/2))/(LN(2)/2)*BL165*BO165*VLOOKUP('Données projet'!$B$11,Paramètres!$A$1:$I$89,3,0)*0.475*44/12</f>
        <v>4.407564858123931E-19</v>
      </c>
      <c r="BS165" s="22">
        <f t="shared" si="169"/>
        <v>1.1110767422861865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-2.2737367544323206E-13</v>
      </c>
      <c r="BZ165" s="13">
        <f>BY165*VLOOKUP('Données projet'!$B$12,Paramètres!$A$1:$I$89,3,0)*VLOOKUP('Données projet'!$B$12,Paramètres!$A$1:$I$89,5,0)</f>
        <v>-1.8089849618263545E-13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314.94704727988847</v>
      </c>
      <c r="CE165" s="59">
        <f t="shared" si="148"/>
        <v>366.49199094166454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0.28673711679613462</v>
      </c>
      <c r="CL165" s="21">
        <f>EXP(-LN(2)/25)*CL164+(1-EXP(-LN(2)/25))/(LN(2)/25)*Calculateur!CG165*Calculateur!CI165*VLOOKUP('Données projet'!$B$12,Paramètres!$A$1:$I$89,3,0)*0.475*44/12</f>
        <v>0.65390277352706205</v>
      </c>
      <c r="CM165" s="21">
        <f>EXP(-LN(2)/2)*CM164+(1-EXP(-LN(2)/2))/(LN(2)/2)*CG165*CJ165*VLOOKUP('Données projet'!$B$12,Paramètres!$A$1:$I$89,3,0)*0.475*44/12</f>
        <v>3.9125111273565878E-19</v>
      </c>
      <c r="CN165" s="22">
        <f t="shared" si="172"/>
        <v>0.94063989032319673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-5.6843418860808015E-13</v>
      </c>
      <c r="CU165" s="17">
        <f>CT165*VLOOKUP('Données projet'!$B$13,Paramètres!$A$1:$I$89,3,0)*VLOOKUP('Données projet'!$B$13,Paramètres!$A$1:$I$89,5,0)</f>
        <v>-4.4337866711430256E-13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261.59434871103355</v>
      </c>
      <c r="CZ165" s="59">
        <f t="shared" si="150"/>
        <v>194.97518096665976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0.15204952549307907</v>
      </c>
      <c r="DG165" s="21">
        <f>EXP(-LN(2)/25)*DG164+(1-EXP(-LN(2)/25))/(LN(2)/25)*Calculateur!DB165*Calculateur!DD165*VLOOKUP('Données projet'!$B$13,Paramètres!$A$1:$I$89,3,0)*0.475*44/12</f>
        <v>0.3007596366784106</v>
      </c>
      <c r="DH165" s="21">
        <f>EXP(-LN(2)/2)*DH164+(1-EXP(-LN(2)/2))/(LN(2)/2)*DB165*DE165*VLOOKUP('Données projet'!$B$13,Paramètres!$A$1:$I$89,3,0)*0.475*44/12</f>
        <v>2.5399403739240085E-19</v>
      </c>
      <c r="DI165" s="22">
        <f t="shared" si="175"/>
        <v>0.4528091621714897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-1.0286385077051818E-13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237.22177246688199</v>
      </c>
      <c r="T166" s="59">
        <f t="shared" si="142"/>
        <v>149.27472147904302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</v>
      </c>
      <c r="AA166" s="21">
        <f>EXP(-LN(2)/25)*AA165+(1-EXP(-LN(2)/25))/(LN(2)/25)*Calculateur!V166*Calculateur!X166*VLOOKUP('Données projet'!$B$9,Paramètres!$A$1:$I$89,3,0)*0.475*44/12</f>
        <v>7.7752297238669749E-2</v>
      </c>
      <c r="AB166" s="21">
        <f>EXP(-LN(2)/2)*AB165+(1-EXP(-LN(2)/2))/(LN(2)/2)*V166*Y166*VLOOKUP('Données projet'!$B$9,Paramètres!$A$1:$I$89,3,0)*0.475*44/12</f>
        <v>5.9313039492240461E-20</v>
      </c>
      <c r="AC166" s="22">
        <f t="shared" si="163"/>
        <v>7.7752297238669749E-2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243.38048563215585</v>
      </c>
      <c r="AO166" s="59">
        <f t="shared" si="144"/>
        <v>372.1604147006675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0.52471910317802983</v>
      </c>
      <c r="AV166" s="21">
        <f>EXP(-LN(2)/25)*AV165+(1-EXP(-LN(2)/25))/(LN(2)/25)*Calculateur!AQ166*Calculateur!AS166*VLOOKUP('Données projet'!$B$10,Paramètres!$A$1:$I$89,3,0)*0.475*44/12</f>
        <v>0.48470807049645409</v>
      </c>
      <c r="AW166" s="21">
        <f>EXP(-LN(2)/2)*AW165+(1-EXP(-LN(2)/2))/(LN(2)/2)*AQ166*AT166*VLOOKUP('Données projet'!$B$10,Paramètres!$A$1:$I$89,3,0)*0.475*44/12</f>
        <v>2.8092752066259271E-19</v>
      </c>
      <c r="AX166" s="21">
        <f t="shared" si="166"/>
        <v>1.009427173674484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-5.6843418860808015E-13</v>
      </c>
      <c r="BE166" s="13">
        <f>BD166*VLOOKUP('Données projet'!$B$11,Paramètres!$A$1:$I$89,3,0)*VLOOKUP('Données projet'!$B$11,Paramètres!$A$1:$I$89,5,0)</f>
        <v>-3.177547114319168E-13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326.31232746914907</v>
      </c>
      <c r="BJ166" s="59">
        <f t="shared" si="146"/>
        <v>330.17137761430297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0.32794943948626865</v>
      </c>
      <c r="BQ166" s="21">
        <f>EXP(-LN(2)/25)*BQ165+(1-EXP(-LN(2)/25))/(LN(2)/25)*Calculateur!BL166*Calculateur!BN166*VLOOKUP('Données projet'!$B$11,Paramètres!$A$1:$I$89,3,0)*0.475*44/12</f>
        <v>0.75533249924980961</v>
      </c>
      <c r="BR166" s="21">
        <f>EXP(-LN(2)/2)*BR165+(1-EXP(-LN(2)/2))/(LN(2)/2)*BL166*BO166*VLOOKUP('Données projet'!$B$11,Paramètres!$A$1:$I$89,3,0)*0.475*44/12</f>
        <v>3.1166189996989548E-19</v>
      </c>
      <c r="BS166" s="22">
        <f t="shared" si="169"/>
        <v>1.0832819387360781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-2.2737367544323206E-13</v>
      </c>
      <c r="BZ166" s="13">
        <f>BY166*VLOOKUP('Données projet'!$B$12,Paramètres!$A$1:$I$89,3,0)*VLOOKUP('Données projet'!$B$12,Paramètres!$A$1:$I$89,5,0)</f>
        <v>-1.8089849618263545E-13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314.94704727988847</v>
      </c>
      <c r="CE166" s="59">
        <f t="shared" si="148"/>
        <v>366.49199094166454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0.28111437682813445</v>
      </c>
      <c r="CL166" s="21">
        <f>EXP(-LN(2)/25)*CL165+(1-EXP(-LN(2)/25))/(LN(2)/25)*Calculateur!CG166*Calculateur!CI166*VLOOKUP('Données projet'!$B$12,Paramètres!$A$1:$I$89,3,0)*0.475*44/12</f>
        <v>0.63602176779771225</v>
      </c>
      <c r="CM166" s="21">
        <f>EXP(-LN(2)/2)*CM165+(1-EXP(-LN(2)/2))/(LN(2)/2)*CG166*CJ166*VLOOKUP('Données projet'!$B$12,Paramètres!$A$1:$I$89,3,0)*0.475*44/12</f>
        <v>2.766563149621667E-19</v>
      </c>
      <c r="CN166" s="22">
        <f t="shared" si="172"/>
        <v>0.91713614462584669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-5.6843418860808015E-13</v>
      </c>
      <c r="CU166" s="17">
        <f>CT166*VLOOKUP('Données projet'!$B$13,Paramètres!$A$1:$I$89,3,0)*VLOOKUP('Données projet'!$B$13,Paramètres!$A$1:$I$89,5,0)</f>
        <v>-4.4337866711430256E-13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261.59434871103355</v>
      </c>
      <c r="CZ166" s="59">
        <f t="shared" si="150"/>
        <v>194.97518096665976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0.14906792703921293</v>
      </c>
      <c r="DG166" s="21">
        <f>EXP(-LN(2)/25)*DG165+(1-EXP(-LN(2)/25))/(LN(2)/25)*Calculateur!DB166*Calculateur!DD166*VLOOKUP('Données projet'!$B$13,Paramètres!$A$1:$I$89,3,0)*0.475*44/12</f>
        <v>0.29253534859717756</v>
      </c>
      <c r="DH166" s="21">
        <f>EXP(-LN(2)/2)*DH165+(1-EXP(-LN(2)/2))/(LN(2)/2)*DB166*DE166*VLOOKUP('Données projet'!$B$13,Paramètres!$A$1:$I$89,3,0)*0.475*44/12</f>
        <v>1.7960090622111616E-19</v>
      </c>
      <c r="DI166" s="22">
        <f t="shared" si="175"/>
        <v>0.44160327563639046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-1.0286385077051818E-13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237.22177246688199</v>
      </c>
      <c r="T167" s="59">
        <f t="shared" si="142"/>
        <v>149.27472147904302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</v>
      </c>
      <c r="AA167" s="21">
        <f>EXP(-LN(2)/25)*AA166+(1-EXP(-LN(2)/25))/(LN(2)/25)*Calculateur!V167*Calculateur!X167*VLOOKUP('Données projet'!$B$9,Paramètres!$A$1:$I$89,3,0)*0.475*44/12</f>
        <v>7.5626156581862725E-2</v>
      </c>
      <c r="AB167" s="21">
        <f>EXP(-LN(2)/2)*AB166+(1-EXP(-LN(2)/2))/(LN(2)/2)*V167*Y167*VLOOKUP('Données projet'!$B$9,Paramètres!$A$1:$I$89,3,0)*0.475*44/12</f>
        <v>4.1940652437748728E-20</v>
      </c>
      <c r="AC167" s="22">
        <f t="shared" si="163"/>
        <v>7.5626156581862725E-2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243.38048563215585</v>
      </c>
      <c r="AO167" s="59">
        <f t="shared" si="144"/>
        <v>372.1604147006675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0.51442968161175961</v>
      </c>
      <c r="AV167" s="21">
        <f>EXP(-LN(2)/25)*AV166+(1-EXP(-LN(2)/25))/(LN(2)/25)*Calculateur!AQ167*Calculateur!AS167*VLOOKUP('Données projet'!$B$10,Paramètres!$A$1:$I$89,3,0)*0.475*44/12</f>
        <v>0.47145370281903892</v>
      </c>
      <c r="AW167" s="21">
        <f>EXP(-LN(2)/2)*AW166+(1-EXP(-LN(2)/2))/(LN(2)/2)*AQ167*AT167*VLOOKUP('Données projet'!$B$10,Paramètres!$A$1:$I$89,3,0)*0.475*44/12</f>
        <v>1.9864575488244325E-19</v>
      </c>
      <c r="AX167" s="21">
        <f t="shared" si="166"/>
        <v>0.98588338443079859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-5.6843418860808015E-13</v>
      </c>
      <c r="BE167" s="13">
        <f>BD167*VLOOKUP('Données projet'!$B$11,Paramètres!$A$1:$I$89,3,0)*VLOOKUP('Données projet'!$B$11,Paramètres!$A$1:$I$89,5,0)</f>
        <v>-3.177547114319168E-13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326.31232746914907</v>
      </c>
      <c r="BJ167" s="59">
        <f t="shared" si="146"/>
        <v>330.17137761430297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0.32151855100734972</v>
      </c>
      <c r="BQ167" s="21">
        <f>EXP(-LN(2)/25)*BQ166+(1-EXP(-LN(2)/25))/(LN(2)/25)*Calculateur!BL167*Calculateur!BN167*VLOOKUP('Données projet'!$B$11,Paramètres!$A$1:$I$89,3,0)*0.475*44/12</f>
        <v>0.73467789233661374</v>
      </c>
      <c r="BR167" s="21">
        <f>EXP(-LN(2)/2)*BR166+(1-EXP(-LN(2)/2))/(LN(2)/2)*BL167*BO167*VLOOKUP('Données projet'!$B$11,Paramètres!$A$1:$I$89,3,0)*0.475*44/12</f>
        <v>2.2037824290619655E-19</v>
      </c>
      <c r="BS167" s="22">
        <f t="shared" si="169"/>
        <v>1.0561964433439635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-2.2737367544323206E-13</v>
      </c>
      <c r="BZ167" s="13">
        <f>BY167*VLOOKUP('Données projet'!$B$12,Paramètres!$A$1:$I$89,3,0)*VLOOKUP('Données projet'!$B$12,Paramètres!$A$1:$I$89,5,0)</f>
        <v>-1.8089849618263545E-13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314.94704727988847</v>
      </c>
      <c r="CE167" s="59">
        <f t="shared" si="148"/>
        <v>366.49199094166454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0.27560189536137403</v>
      </c>
      <c r="CL167" s="21">
        <f>EXP(-LN(2)/25)*CL166+(1-EXP(-LN(2)/25))/(LN(2)/25)*Calculateur!CG167*Calculateur!CI167*VLOOKUP('Données projet'!$B$12,Paramètres!$A$1:$I$89,3,0)*0.475*44/12</f>
        <v>0.61862971911035269</v>
      </c>
      <c r="CM167" s="21">
        <f>EXP(-LN(2)/2)*CM166+(1-EXP(-LN(2)/2))/(LN(2)/2)*CG167*CJ167*VLOOKUP('Données projet'!$B$12,Paramètres!$A$1:$I$89,3,0)*0.475*44/12</f>
        <v>1.9562555636782939E-19</v>
      </c>
      <c r="CN167" s="22">
        <f t="shared" si="172"/>
        <v>0.89423161447172672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-5.6843418860808015E-13</v>
      </c>
      <c r="CU167" s="17">
        <f>CT167*VLOOKUP('Données projet'!$B$13,Paramètres!$A$1:$I$89,3,0)*VLOOKUP('Données projet'!$B$13,Paramètres!$A$1:$I$89,5,0)</f>
        <v>-4.4337866711430256E-13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261.59434871103355</v>
      </c>
      <c r="CZ167" s="59">
        <f t="shared" si="150"/>
        <v>194.97518096665976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0.1461447959124316</v>
      </c>
      <c r="DG167" s="21">
        <f>EXP(-LN(2)/25)*DG166+(1-EXP(-LN(2)/25))/(LN(2)/25)*Calculateur!DB167*Calculateur!DD167*VLOOKUP('Données projet'!$B$13,Paramètres!$A$1:$I$89,3,0)*0.475*44/12</f>
        <v>0.28453595410602234</v>
      </c>
      <c r="DH167" s="21">
        <f>EXP(-LN(2)/2)*DH166+(1-EXP(-LN(2)/2))/(LN(2)/2)*DB167*DE167*VLOOKUP('Données projet'!$B$13,Paramètres!$A$1:$I$89,3,0)*0.475*44/12</f>
        <v>1.2699701869620043E-19</v>
      </c>
      <c r="DI167" s="22">
        <f t="shared" si="175"/>
        <v>0.43068075001845396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-1.0286385077051818E-13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237.22177246688199</v>
      </c>
      <c r="T168" s="59">
        <f t="shared" si="142"/>
        <v>149.27472147904302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</v>
      </c>
      <c r="AA168" s="21">
        <f>EXP(-LN(2)/25)*AA167+(1-EXP(-LN(2)/25))/(LN(2)/25)*Calculateur!V168*Calculateur!X168*VLOOKUP('Données projet'!$B$9,Paramètres!$A$1:$I$89,3,0)*0.475*44/12</f>
        <v>7.355815535312496E-2</v>
      </c>
      <c r="AB168" s="21">
        <f>EXP(-LN(2)/2)*AB167+(1-EXP(-LN(2)/2))/(LN(2)/2)*V168*Y168*VLOOKUP('Données projet'!$B$9,Paramètres!$A$1:$I$89,3,0)*0.475*44/12</f>
        <v>2.965651974612023E-20</v>
      </c>
      <c r="AC168" s="22">
        <f t="shared" si="163"/>
        <v>7.355815535312496E-2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243.38048563215585</v>
      </c>
      <c r="AO168" s="59">
        <f t="shared" si="144"/>
        <v>372.1604147006675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0.50434202932647643</v>
      </c>
      <c r="AV168" s="21">
        <f>EXP(-LN(2)/25)*AV167+(1-EXP(-LN(2)/25))/(LN(2)/25)*Calculateur!AQ168*Calculateur!AS168*VLOOKUP('Données projet'!$B$10,Paramètres!$A$1:$I$89,3,0)*0.475*44/12</f>
        <v>0.45856177652277957</v>
      </c>
      <c r="AW168" s="21">
        <f>EXP(-LN(2)/2)*AW167+(1-EXP(-LN(2)/2))/(LN(2)/2)*AQ168*AT168*VLOOKUP('Données projet'!$B$10,Paramètres!$A$1:$I$89,3,0)*0.475*44/12</f>
        <v>1.4046376033129635E-19</v>
      </c>
      <c r="AX168" s="21">
        <f t="shared" si="166"/>
        <v>0.96290380584925606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-5.6843418860808015E-13</v>
      </c>
      <c r="BE168" s="13">
        <f>BD168*VLOOKUP('Données projet'!$B$11,Paramètres!$A$1:$I$89,3,0)*VLOOKUP('Données projet'!$B$11,Paramètres!$A$1:$I$89,5,0)</f>
        <v>-3.177547114319168E-13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326.31232746914907</v>
      </c>
      <c r="BJ168" s="59">
        <f t="shared" si="146"/>
        <v>330.17137761430297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0.31521376832904774</v>
      </c>
      <c r="BQ168" s="21">
        <f>EXP(-LN(2)/25)*BQ167+(1-EXP(-LN(2)/25))/(LN(2)/25)*Calculateur!BL168*Calculateur!BN168*VLOOKUP('Données projet'!$B$11,Paramètres!$A$1:$I$89,3,0)*0.475*44/12</f>
        <v>0.71458808673563778</v>
      </c>
      <c r="BR168" s="21">
        <f>EXP(-LN(2)/2)*BR167+(1-EXP(-LN(2)/2))/(LN(2)/2)*BL168*BO168*VLOOKUP('Données projet'!$B$11,Paramètres!$A$1:$I$89,3,0)*0.475*44/12</f>
        <v>1.5583094998494774E-19</v>
      </c>
      <c r="BS168" s="22">
        <f t="shared" si="169"/>
        <v>1.0298018550646855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-2.2737367544323206E-13</v>
      </c>
      <c r="BZ168" s="13">
        <f>BY168*VLOOKUP('Données projet'!$B$12,Paramètres!$A$1:$I$89,3,0)*VLOOKUP('Données projet'!$B$12,Paramètres!$A$1:$I$89,5,0)</f>
        <v>-1.8089849618263545E-13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314.94704727988847</v>
      </c>
      <c r="CE168" s="59">
        <f t="shared" si="148"/>
        <v>366.49199094166454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0.2701975102938951</v>
      </c>
      <c r="CL168" s="21">
        <f>EXP(-LN(2)/25)*CL167+(1-EXP(-LN(2)/25))/(LN(2)/25)*Calculateur!CG168*Calculateur!CI168*VLOOKUP('Données projet'!$B$12,Paramètres!$A$1:$I$89,3,0)*0.475*44/12</f>
        <v>0.60171325690895705</v>
      </c>
      <c r="CM168" s="21">
        <f>EXP(-LN(2)/2)*CM167+(1-EXP(-LN(2)/2))/(LN(2)/2)*CG168*CJ168*VLOOKUP('Données projet'!$B$12,Paramètres!$A$1:$I$89,3,0)*0.475*44/12</f>
        <v>1.3832815748108335E-19</v>
      </c>
      <c r="CN168" s="22">
        <f t="shared" si="172"/>
        <v>0.8719107672028521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-5.6843418860808015E-13</v>
      </c>
      <c r="CU168" s="17">
        <f>CT168*VLOOKUP('Données projet'!$B$13,Paramètres!$A$1:$I$89,3,0)*VLOOKUP('Données projet'!$B$13,Paramètres!$A$1:$I$89,5,0)</f>
        <v>-4.4337866711430256E-13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261.59434871103355</v>
      </c>
      <c r="CZ168" s="59">
        <f t="shared" si="150"/>
        <v>194.97518096665976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0.14327898560411254</v>
      </c>
      <c r="DG168" s="21">
        <f>EXP(-LN(2)/25)*DG167+(1-EXP(-LN(2)/25))/(LN(2)/25)*Calculateur!DB168*Calculateur!DD168*VLOOKUP('Données projet'!$B$13,Paramètres!$A$1:$I$89,3,0)*0.475*44/12</f>
        <v>0.27675530347789762</v>
      </c>
      <c r="DH168" s="21">
        <f>EXP(-LN(2)/2)*DH167+(1-EXP(-LN(2)/2))/(LN(2)/2)*DB168*DE168*VLOOKUP('Données projet'!$B$13,Paramètres!$A$1:$I$89,3,0)*0.475*44/12</f>
        <v>8.9800453110558081E-20</v>
      </c>
      <c r="DI168" s="22">
        <f t="shared" si="175"/>
        <v>0.42003428908201013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-1.0286385077051818E-13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237.22177246688199</v>
      </c>
      <c r="T169" s="59">
        <f t="shared" si="142"/>
        <v>149.27472147904302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</v>
      </c>
      <c r="AA169" s="21">
        <f>EXP(-LN(2)/25)*AA168+(1-EXP(-LN(2)/25))/(LN(2)/25)*Calculateur!V169*Calculateur!X169*VLOOKUP('Données projet'!$B$9,Paramètres!$A$1:$I$89,3,0)*0.475*44/12</f>
        <v>7.1546703726738492E-2</v>
      </c>
      <c r="AB169" s="21">
        <f>EXP(-LN(2)/2)*AB168+(1-EXP(-LN(2)/2))/(LN(2)/2)*V169*Y169*VLOOKUP('Données projet'!$B$9,Paramètres!$A$1:$I$89,3,0)*0.475*44/12</f>
        <v>2.0970326218874364E-20</v>
      </c>
      <c r="AC169" s="22">
        <f t="shared" si="163"/>
        <v>7.1546703726738492E-2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243.38048563215585</v>
      </c>
      <c r="AO169" s="59">
        <f t="shared" si="144"/>
        <v>372.1604147006675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0.49445218974964733</v>
      </c>
      <c r="AV169" s="21">
        <f>EXP(-LN(2)/25)*AV168+(1-EXP(-LN(2)/25))/(LN(2)/25)*Calculateur!AQ169*Calculateur!AS169*VLOOKUP('Données projet'!$B$10,Paramètres!$A$1:$I$89,3,0)*0.475*44/12</f>
        <v>0.44602238062904842</v>
      </c>
      <c r="AW169" s="21">
        <f>EXP(-LN(2)/2)*AW168+(1-EXP(-LN(2)/2))/(LN(2)/2)*AQ169*AT169*VLOOKUP('Données projet'!$B$10,Paramètres!$A$1:$I$89,3,0)*0.475*44/12</f>
        <v>9.9322877441221627E-20</v>
      </c>
      <c r="AX169" s="21">
        <f t="shared" si="166"/>
        <v>0.94047457037869575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-5.6843418860808015E-13</v>
      </c>
      <c r="BE169" s="13">
        <f>BD169*VLOOKUP('Données projet'!$B$11,Paramètres!$A$1:$I$89,3,0)*VLOOKUP('Données projet'!$B$11,Paramètres!$A$1:$I$89,5,0)</f>
        <v>-3.177547114319168E-13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326.31232746914907</v>
      </c>
      <c r="BJ169" s="59">
        <f t="shared" si="146"/>
        <v>330.17137761430297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0.30903261859352954</v>
      </c>
      <c r="BQ169" s="21">
        <f>EXP(-LN(2)/25)*BQ168+(1-EXP(-LN(2)/25))/(LN(2)/25)*Calculateur!BL169*Calculateur!BN169*VLOOKUP('Données projet'!$B$11,Paramètres!$A$1:$I$89,3,0)*0.475*44/12</f>
        <v>0.69504763792529745</v>
      </c>
      <c r="BR169" s="21">
        <f>EXP(-LN(2)/2)*BR168+(1-EXP(-LN(2)/2))/(LN(2)/2)*BL169*BO169*VLOOKUP('Données projet'!$B$11,Paramètres!$A$1:$I$89,3,0)*0.475*44/12</f>
        <v>1.1018912145309827E-19</v>
      </c>
      <c r="BS169" s="22">
        <f t="shared" si="169"/>
        <v>1.0040802565188269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-2.2737367544323206E-13</v>
      </c>
      <c r="BZ169" s="13">
        <f>BY169*VLOOKUP('Données projet'!$B$12,Paramètres!$A$1:$I$89,3,0)*VLOOKUP('Données projet'!$B$12,Paramètres!$A$1:$I$89,5,0)</f>
        <v>-1.8089849618263545E-13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314.94704727988847</v>
      </c>
      <c r="CE169" s="59">
        <f t="shared" si="148"/>
        <v>366.49199094166454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0.26489910192124005</v>
      </c>
      <c r="CL169" s="21">
        <f>EXP(-LN(2)/25)*CL168+(1-EXP(-LN(2)/25))/(LN(2)/25)*Calculateur!CG169*Calculateur!CI169*VLOOKUP('Données projet'!$B$12,Paramètres!$A$1:$I$89,3,0)*0.475*44/12</f>
        <v>0.58525937625605662</v>
      </c>
      <c r="CM169" s="21">
        <f>EXP(-LN(2)/2)*CM168+(1-EXP(-LN(2)/2))/(LN(2)/2)*CG169*CJ169*VLOOKUP('Données projet'!$B$12,Paramètres!$A$1:$I$89,3,0)*0.475*44/12</f>
        <v>9.7812778183914694E-20</v>
      </c>
      <c r="CN169" s="22">
        <f t="shared" si="172"/>
        <v>0.85015847817729662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-5.6843418860808015E-13</v>
      </c>
      <c r="CU169" s="17">
        <f>CT169*VLOOKUP('Données projet'!$B$13,Paramètres!$A$1:$I$89,3,0)*VLOOKUP('Données projet'!$B$13,Paramètres!$A$1:$I$89,5,0)</f>
        <v>-4.4337866711430256E-13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261.59434871103355</v>
      </c>
      <c r="CZ169" s="59">
        <f t="shared" si="150"/>
        <v>194.97518096665976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0.14046937208796792</v>
      </c>
      <c r="DG169" s="21">
        <f>EXP(-LN(2)/25)*DG168+(1-EXP(-LN(2)/25))/(LN(2)/25)*Calculateur!DB169*Calculateur!DD169*VLOOKUP('Données projet'!$B$13,Paramètres!$A$1:$I$89,3,0)*0.475*44/12</f>
        <v>0.26918741515036565</v>
      </c>
      <c r="DH169" s="21">
        <f>EXP(-LN(2)/2)*DH168+(1-EXP(-LN(2)/2))/(LN(2)/2)*DB169*DE169*VLOOKUP('Données projet'!$B$13,Paramètres!$A$1:$I$89,3,0)*0.475*44/12</f>
        <v>6.3498509348100214E-20</v>
      </c>
      <c r="DI169" s="22">
        <f t="shared" si="175"/>
        <v>0.40965678723833354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-1.0286385077051818E-13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237.22177246688199</v>
      </c>
      <c r="T170" s="59">
        <f t="shared" si="142"/>
        <v>149.27472147904302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</v>
      </c>
      <c r="AA170" s="21">
        <f>EXP(-LN(2)/25)*AA169+(1-EXP(-LN(2)/25))/(LN(2)/25)*Calculateur!V170*Calculateur!X170*VLOOKUP('Données projet'!$B$9,Paramètres!$A$1:$I$89,3,0)*0.475*44/12</f>
        <v>6.9590255350853197E-2</v>
      </c>
      <c r="AB170" s="21">
        <f>EXP(-LN(2)/2)*AB169+(1-EXP(-LN(2)/2))/(LN(2)/2)*V170*Y170*VLOOKUP('Données projet'!$B$9,Paramètres!$A$1:$I$89,3,0)*0.475*44/12</f>
        <v>1.4828259873060115E-20</v>
      </c>
      <c r="AC170" s="22">
        <f t="shared" si="163"/>
        <v>6.9590255350853197E-2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243.38048563215585</v>
      </c>
      <c r="AO170" s="59">
        <f t="shared" si="144"/>
        <v>372.1604147006675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0.48475628389471337</v>
      </c>
      <c r="AV170" s="21">
        <f>EXP(-LN(2)/25)*AV169+(1-EXP(-LN(2)/25))/(LN(2)/25)*Calculateur!AQ170*Calculateur!AS170*VLOOKUP('Données projet'!$B$10,Paramètres!$A$1:$I$89,3,0)*0.475*44/12</f>
        <v>0.43382587517544952</v>
      </c>
      <c r="AW170" s="21">
        <f>EXP(-LN(2)/2)*AW169+(1-EXP(-LN(2)/2))/(LN(2)/2)*AQ170*AT170*VLOOKUP('Données projet'!$B$10,Paramètres!$A$1:$I$89,3,0)*0.475*44/12</f>
        <v>7.0231880165648177E-20</v>
      </c>
      <c r="AX170" s="21">
        <f t="shared" si="166"/>
        <v>0.91858215907016283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-5.6843418860808015E-13</v>
      </c>
      <c r="BE170" s="13">
        <f>BD170*VLOOKUP('Données projet'!$B$11,Paramètres!$A$1:$I$89,3,0)*VLOOKUP('Données projet'!$B$11,Paramètres!$A$1:$I$89,5,0)</f>
        <v>-3.177547114319168E-13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326.31232746914907</v>
      </c>
      <c r="BJ170" s="59">
        <f t="shared" si="146"/>
        <v>330.17137761430297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0.30297267743419581</v>
      </c>
      <c r="BQ170" s="21">
        <f>EXP(-LN(2)/25)*BQ169+(1-EXP(-LN(2)/25))/(LN(2)/25)*Calculateur!BL170*Calculateur!BN170*VLOOKUP('Données projet'!$B$11,Paramètres!$A$1:$I$89,3,0)*0.475*44/12</f>
        <v>0.67604152371526349</v>
      </c>
      <c r="BR170" s="21">
        <f>EXP(-LN(2)/2)*BR169+(1-EXP(-LN(2)/2))/(LN(2)/2)*BL170*BO170*VLOOKUP('Données projet'!$B$11,Paramètres!$A$1:$I$89,3,0)*0.475*44/12</f>
        <v>7.791547499247387E-20</v>
      </c>
      <c r="BS170" s="22">
        <f t="shared" si="169"/>
        <v>0.97901420114945936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-2.2737367544323206E-13</v>
      </c>
      <c r="BZ170" s="13">
        <f>BY170*VLOOKUP('Données projet'!$B$12,Paramètres!$A$1:$I$89,3,0)*VLOOKUP('Données projet'!$B$12,Paramètres!$A$1:$I$89,5,0)</f>
        <v>-1.8089849618263545E-13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314.94704727988847</v>
      </c>
      <c r="CE170" s="59">
        <f t="shared" si="148"/>
        <v>366.49199094166454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0.25970459210506275</v>
      </c>
      <c r="CL170" s="21">
        <f>EXP(-LN(2)/25)*CL169+(1-EXP(-LN(2)/25))/(LN(2)/25)*Calculateur!CG170*Calculateur!CI170*VLOOKUP('Données projet'!$B$12,Paramètres!$A$1:$I$89,3,0)*0.475*44/12</f>
        <v>0.56925542783488181</v>
      </c>
      <c r="CM170" s="21">
        <f>EXP(-LN(2)/2)*CM169+(1-EXP(-LN(2)/2))/(LN(2)/2)*CG170*CJ170*VLOOKUP('Données projet'!$B$12,Paramètres!$A$1:$I$89,3,0)*0.475*44/12</f>
        <v>6.9164078740541676E-20</v>
      </c>
      <c r="CN170" s="22">
        <f t="shared" si="172"/>
        <v>0.8289600199399445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-5.6843418860808015E-13</v>
      </c>
      <c r="CU170" s="17">
        <f>CT170*VLOOKUP('Données projet'!$B$13,Paramètres!$A$1:$I$89,3,0)*VLOOKUP('Données projet'!$B$13,Paramètres!$A$1:$I$89,5,0)</f>
        <v>-4.4337866711430256E-13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261.59434871103355</v>
      </c>
      <c r="CZ170" s="59">
        <f t="shared" si="150"/>
        <v>194.97518096665976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0.13771485337917985</v>
      </c>
      <c r="DG170" s="21">
        <f>EXP(-LN(2)/25)*DG169+(1-EXP(-LN(2)/25))/(LN(2)/25)*Calculateur!DB170*Calculateur!DD170*VLOOKUP('Données projet'!$B$13,Paramètres!$A$1:$I$89,3,0)*0.475*44/12</f>
        <v>0.26182647112712798</v>
      </c>
      <c r="DH170" s="21">
        <f>EXP(-LN(2)/2)*DH169+(1-EXP(-LN(2)/2))/(LN(2)/2)*DB170*DE170*VLOOKUP('Données projet'!$B$13,Paramètres!$A$1:$I$89,3,0)*0.475*44/12</f>
        <v>4.490022655527904E-20</v>
      </c>
      <c r="DI170" s="22">
        <f t="shared" si="175"/>
        <v>0.39954132450630786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-1.0286385077051818E-13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237.22177246688199</v>
      </c>
      <c r="T171" s="59">
        <f t="shared" si="142"/>
        <v>149.27472147904302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</v>
      </c>
      <c r="AA171" s="21">
        <f>EXP(-LN(2)/25)*AA170+(1-EXP(-LN(2)/25))/(LN(2)/25)*Calculateur!V171*Calculateur!X171*VLOOKUP('Données projet'!$B$9,Paramètres!$A$1:$I$89,3,0)*0.475*44/12</f>
        <v>6.7687306158691632E-2</v>
      </c>
      <c r="AB171" s="21">
        <f>EXP(-LN(2)/2)*AB170+(1-EXP(-LN(2)/2))/(LN(2)/2)*V171*Y171*VLOOKUP('Données projet'!$B$9,Paramètres!$A$1:$I$89,3,0)*0.475*44/12</f>
        <v>1.0485163109437182E-20</v>
      </c>
      <c r="AC171" s="22">
        <f t="shared" si="163"/>
        <v>6.7687306158691632E-2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243.38048563215585</v>
      </c>
      <c r="AO171" s="59">
        <f t="shared" si="144"/>
        <v>372.1604147006675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0.47525050883967601</v>
      </c>
      <c r="AV171" s="21">
        <f>EXP(-LN(2)/25)*AV170+(1-EXP(-LN(2)/25))/(LN(2)/25)*Calculateur!AQ171*Calculateur!AS171*VLOOKUP('Données projet'!$B$10,Paramètres!$A$1:$I$89,3,0)*0.475*44/12</f>
        <v>0.42196288380486557</v>
      </c>
      <c r="AW171" s="21">
        <f>EXP(-LN(2)/2)*AW170+(1-EXP(-LN(2)/2))/(LN(2)/2)*AQ171*AT171*VLOOKUP('Données projet'!$B$10,Paramètres!$A$1:$I$89,3,0)*0.475*44/12</f>
        <v>4.9661438720610813E-20</v>
      </c>
      <c r="AX171" s="21">
        <f t="shared" si="166"/>
        <v>0.89721339264454159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-5.6843418860808015E-13</v>
      </c>
      <c r="BE171" s="13">
        <f>BD171*VLOOKUP('Données projet'!$B$11,Paramètres!$A$1:$I$89,3,0)*VLOOKUP('Données projet'!$B$11,Paramètres!$A$1:$I$89,5,0)</f>
        <v>-3.177547114319168E-13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326.31232746914907</v>
      </c>
      <c r="BJ171" s="59">
        <f t="shared" si="146"/>
        <v>330.17137761430297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0.29703156802479747</v>
      </c>
      <c r="BQ171" s="21">
        <f>EXP(-LN(2)/25)*BQ170+(1-EXP(-LN(2)/25))/(LN(2)/25)*Calculateur!BL171*Calculateur!BN171*VLOOKUP('Données projet'!$B$11,Paramètres!$A$1:$I$89,3,0)*0.475*44/12</f>
        <v>0.65755513269779098</v>
      </c>
      <c r="BR171" s="21">
        <f>EXP(-LN(2)/2)*BR170+(1-EXP(-LN(2)/2))/(LN(2)/2)*BL171*BO171*VLOOKUP('Données projet'!$B$11,Paramètres!$A$1:$I$89,3,0)*0.475*44/12</f>
        <v>5.5094560726549137E-20</v>
      </c>
      <c r="BS171" s="22">
        <f t="shared" si="169"/>
        <v>0.95458670072258844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-2.2737367544323206E-13</v>
      </c>
      <c r="BZ171" s="13">
        <f>BY171*VLOOKUP('Données projet'!$B$12,Paramètres!$A$1:$I$89,3,0)*VLOOKUP('Données projet'!$B$12,Paramètres!$A$1:$I$89,5,0)</f>
        <v>-1.8089849618263545E-13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314.94704727988847</v>
      </c>
      <c r="CE171" s="59">
        <f t="shared" si="148"/>
        <v>366.49199094166454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0.25461194345804256</v>
      </c>
      <c r="CL171" s="21">
        <f>EXP(-LN(2)/25)*CL170+(1-EXP(-LN(2)/25))/(LN(2)/25)*Calculateur!CG171*Calculateur!CI171*VLOOKUP('Données projet'!$B$12,Paramètres!$A$1:$I$89,3,0)*0.475*44/12</f>
        <v>0.55368910822489503</v>
      </c>
      <c r="CM171" s="21">
        <f>EXP(-LN(2)/2)*CM170+(1-EXP(-LN(2)/2))/(LN(2)/2)*CG171*CJ171*VLOOKUP('Données projet'!$B$12,Paramètres!$A$1:$I$89,3,0)*0.475*44/12</f>
        <v>4.8906389091957347E-20</v>
      </c>
      <c r="CN171" s="22">
        <f t="shared" si="172"/>
        <v>0.80830105168293764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-5.6843418860808015E-13</v>
      </c>
      <c r="CU171" s="17">
        <f>CT171*VLOOKUP('Données projet'!$B$13,Paramètres!$A$1:$I$89,3,0)*VLOOKUP('Données projet'!$B$13,Paramètres!$A$1:$I$89,5,0)</f>
        <v>-4.4337866711430256E-13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261.59434871103355</v>
      </c>
      <c r="CZ171" s="59">
        <f t="shared" si="150"/>
        <v>194.97518096665976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0.1350143491021806</v>
      </c>
      <c r="DG171" s="21">
        <f>EXP(-LN(2)/25)*DG170+(1-EXP(-LN(2)/25))/(LN(2)/25)*Calculateur!DB171*Calculateur!DD171*VLOOKUP('Données projet'!$B$13,Paramètres!$A$1:$I$89,3,0)*0.475*44/12</f>
        <v>0.25466681250530099</v>
      </c>
      <c r="DH171" s="21">
        <f>EXP(-LN(2)/2)*DH170+(1-EXP(-LN(2)/2))/(LN(2)/2)*DB171*DE171*VLOOKUP('Données projet'!$B$13,Paramètres!$A$1:$I$89,3,0)*0.475*44/12</f>
        <v>3.1749254674050107E-20</v>
      </c>
      <c r="DI171" s="22">
        <f t="shared" si="175"/>
        <v>0.38968116160748156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-1.0286385077051818E-13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237.22177246688199</v>
      </c>
      <c r="T172" s="59">
        <f t="shared" si="142"/>
        <v>149.27472147904302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</v>
      </c>
      <c r="AA172" s="21">
        <f>EXP(-LN(2)/25)*AA171+(1-EXP(-LN(2)/25))/(LN(2)/25)*Calculateur!V172*Calculateur!X172*VLOOKUP('Données projet'!$B$9,Paramètres!$A$1:$I$89,3,0)*0.475*44/12</f>
        <v>6.5836393212261479E-2</v>
      </c>
      <c r="AB172" s="21">
        <f>EXP(-LN(2)/2)*AB171+(1-EXP(-LN(2)/2))/(LN(2)/2)*V172*Y172*VLOOKUP('Données projet'!$B$9,Paramètres!$A$1:$I$89,3,0)*0.475*44/12</f>
        <v>7.4141299365300576E-21</v>
      </c>
      <c r="AC172" s="22">
        <f t="shared" si="163"/>
        <v>6.5836393212261479E-2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243.38048563215585</v>
      </c>
      <c r="AO172" s="59">
        <f t="shared" si="144"/>
        <v>372.1604147006675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0.46593113623551768</v>
      </c>
      <c r="AV172" s="21">
        <f>EXP(-LN(2)/25)*AV171+(1-EXP(-LN(2)/25))/(LN(2)/25)*Calculateur!AQ172*Calculateur!AS172*VLOOKUP('Données projet'!$B$10,Paramètres!$A$1:$I$89,3,0)*0.475*44/12</f>
        <v>0.4104242865571579</v>
      </c>
      <c r="AW172" s="21">
        <f>EXP(-LN(2)/2)*AW171+(1-EXP(-LN(2)/2))/(LN(2)/2)*AQ172*AT172*VLOOKUP('Données projet'!$B$10,Paramètres!$A$1:$I$89,3,0)*0.475*44/12</f>
        <v>3.5115940082824089E-20</v>
      </c>
      <c r="AX172" s="21">
        <f t="shared" si="166"/>
        <v>0.87635542279267553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-5.6843418860808015E-13</v>
      </c>
      <c r="BE172" s="13">
        <f>BD172*VLOOKUP('Données projet'!$B$11,Paramètres!$A$1:$I$89,3,0)*VLOOKUP('Données projet'!$B$11,Paramètres!$A$1:$I$89,5,0)</f>
        <v>-3.177547114319168E-13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326.31232746914907</v>
      </c>
      <c r="BJ172" s="59">
        <f t="shared" si="146"/>
        <v>330.17137761430297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0.29120696014719849</v>
      </c>
      <c r="BQ172" s="21">
        <f>EXP(-LN(2)/25)*BQ171+(1-EXP(-LN(2)/25))/(LN(2)/25)*Calculateur!BL172*Calculateur!BN172*VLOOKUP('Données projet'!$B$11,Paramètres!$A$1:$I$89,3,0)*0.475*44/12</f>
        <v>0.63957425301484827</v>
      </c>
      <c r="BR172" s="21">
        <f>EXP(-LN(2)/2)*BR171+(1-EXP(-LN(2)/2))/(LN(2)/2)*BL172*BO172*VLOOKUP('Données projet'!$B$11,Paramètres!$A$1:$I$89,3,0)*0.475*44/12</f>
        <v>3.8957737496236935E-20</v>
      </c>
      <c r="BS172" s="22">
        <f t="shared" si="169"/>
        <v>0.93078121316204676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-2.2737367544323206E-13</v>
      </c>
      <c r="BZ172" s="13">
        <f>BY172*VLOOKUP('Données projet'!$B$12,Paramètres!$A$1:$I$89,3,0)*VLOOKUP('Données projet'!$B$12,Paramètres!$A$1:$I$89,5,0)</f>
        <v>-1.8089849618263545E-13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314.94704727988847</v>
      </c>
      <c r="CE172" s="59">
        <f t="shared" si="148"/>
        <v>366.49199094166454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0.24961915854478145</v>
      </c>
      <c r="CL172" s="21">
        <f>EXP(-LN(2)/25)*CL171+(1-EXP(-LN(2)/25))/(LN(2)/25)*Calculateur!CG172*Calculateur!CI172*VLOOKUP('Données projet'!$B$12,Paramètres!$A$1:$I$89,3,0)*0.475*44/12</f>
        <v>0.53854845044324051</v>
      </c>
      <c r="CM172" s="21">
        <f>EXP(-LN(2)/2)*CM171+(1-EXP(-LN(2)/2))/(LN(2)/2)*CG172*CJ172*VLOOKUP('Données projet'!$B$12,Paramètres!$A$1:$I$89,3,0)*0.475*44/12</f>
        <v>3.4582039370270838E-20</v>
      </c>
      <c r="CN172" s="22">
        <f t="shared" si="172"/>
        <v>0.78816760898802196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-5.6843418860808015E-13</v>
      </c>
      <c r="CU172" s="17">
        <f>CT172*VLOOKUP('Données projet'!$B$13,Paramètres!$A$1:$I$89,3,0)*VLOOKUP('Données projet'!$B$13,Paramètres!$A$1:$I$89,5,0)</f>
        <v>-4.4337866711430256E-13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261.59434871103355</v>
      </c>
      <c r="CZ172" s="59">
        <f t="shared" si="150"/>
        <v>194.97518096665976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0.13236680006690835</v>
      </c>
      <c r="DG172" s="21">
        <f>EXP(-LN(2)/25)*DG171+(1-EXP(-LN(2)/25))/(LN(2)/25)*Calculateur!DB172*Calculateur!DD172*VLOOKUP('Données projet'!$B$13,Paramètres!$A$1:$I$89,3,0)*0.475*44/12</f>
        <v>0.24770293512499791</v>
      </c>
      <c r="DH172" s="21">
        <f>EXP(-LN(2)/2)*DH171+(1-EXP(-LN(2)/2))/(LN(2)/2)*DB172*DE172*VLOOKUP('Données projet'!$B$13,Paramètres!$A$1:$I$89,3,0)*0.475*44/12</f>
        <v>2.245011327763952E-20</v>
      </c>
      <c r="DI172" s="22">
        <f t="shared" si="175"/>
        <v>0.38006973519190623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-1.0286385077051818E-13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237.22177246688199</v>
      </c>
      <c r="T173" s="59">
        <f t="shared" si="142"/>
        <v>149.27472147904302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</v>
      </c>
      <c r="AA173" s="21">
        <f>EXP(-LN(2)/25)*AA172+(1-EXP(-LN(2)/25))/(LN(2)/25)*Calculateur!V173*Calculateur!X173*VLOOKUP('Données projet'!$B$9,Paramètres!$A$1:$I$89,3,0)*0.475*44/12</f>
        <v>6.4036093577686748E-2</v>
      </c>
      <c r="AB173" s="21">
        <f>EXP(-LN(2)/2)*AB172+(1-EXP(-LN(2)/2))/(LN(2)/2)*V173*Y173*VLOOKUP('Données projet'!$B$9,Paramètres!$A$1:$I$89,3,0)*0.475*44/12</f>
        <v>5.242581554718591E-21</v>
      </c>
      <c r="AC173" s="22">
        <f t="shared" si="163"/>
        <v>6.4036093577686748E-2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243.38048563215585</v>
      </c>
      <c r="AO173" s="59">
        <f t="shared" si="144"/>
        <v>372.1604147006675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0.45679451084387085</v>
      </c>
      <c r="AV173" s="21">
        <f>EXP(-LN(2)/25)*AV172+(1-EXP(-LN(2)/25))/(LN(2)/25)*Calculateur!AQ173*Calculateur!AS173*VLOOKUP('Données projet'!$B$10,Paramètres!$A$1:$I$89,3,0)*0.475*44/12</f>
        <v>0.39920121285797722</v>
      </c>
      <c r="AW173" s="21">
        <f>EXP(-LN(2)/2)*AW172+(1-EXP(-LN(2)/2))/(LN(2)/2)*AQ173*AT173*VLOOKUP('Données projet'!$B$10,Paramètres!$A$1:$I$89,3,0)*0.475*44/12</f>
        <v>2.4830719360305407E-20</v>
      </c>
      <c r="AX173" s="21">
        <f t="shared" si="166"/>
        <v>0.85599572370184807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-5.6843418860808015E-13</v>
      </c>
      <c r="BE173" s="13">
        <f>BD173*VLOOKUP('Données projet'!$B$11,Paramètres!$A$1:$I$89,3,0)*VLOOKUP('Données projet'!$B$11,Paramètres!$A$1:$I$89,5,0)</f>
        <v>-3.177547114319168E-13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326.31232746914907</v>
      </c>
      <c r="BJ173" s="59">
        <f t="shared" si="146"/>
        <v>330.17137761430297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0.28549656927741923</v>
      </c>
      <c r="BQ173" s="21">
        <f>EXP(-LN(2)/25)*BQ172+(1-EXP(-LN(2)/25))/(LN(2)/25)*Calculateur!BL173*Calculateur!BN173*VLOOKUP('Données projet'!$B$11,Paramètres!$A$1:$I$89,3,0)*0.475*44/12</f>
        <v>0.62208506143240905</v>
      </c>
      <c r="BR173" s="21">
        <f>EXP(-LN(2)/2)*BR172+(1-EXP(-LN(2)/2))/(LN(2)/2)*BL173*BO173*VLOOKUP('Données projet'!$B$11,Paramètres!$A$1:$I$89,3,0)*0.475*44/12</f>
        <v>2.7547280363274569E-20</v>
      </c>
      <c r="BS173" s="22">
        <f t="shared" si="169"/>
        <v>0.90758163070982834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-2.2737367544323206E-13</v>
      </c>
      <c r="BZ173" s="13">
        <f>BY173*VLOOKUP('Données projet'!$B$12,Paramètres!$A$1:$I$89,3,0)*VLOOKUP('Données projet'!$B$12,Paramètres!$A$1:$I$89,5,0)</f>
        <v>-1.8089849618263545E-13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314.94704727988847</v>
      </c>
      <c r="CE173" s="59">
        <f t="shared" si="148"/>
        <v>366.49199094166454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0.2447242790983713</v>
      </c>
      <c r="CL173" s="21">
        <f>EXP(-LN(2)/25)*CL172+(1-EXP(-LN(2)/25))/(LN(2)/25)*Calculateur!CG173*Calculateur!CI173*VLOOKUP('Données projet'!$B$12,Paramètres!$A$1:$I$89,3,0)*0.475*44/12</f>
        <v>0.52382181474483791</v>
      </c>
      <c r="CM173" s="21">
        <f>EXP(-LN(2)/2)*CM172+(1-EXP(-LN(2)/2))/(LN(2)/2)*CG173*CJ173*VLOOKUP('Données projet'!$B$12,Paramètres!$A$1:$I$89,3,0)*0.475*44/12</f>
        <v>2.4453194545978673E-20</v>
      </c>
      <c r="CN173" s="22">
        <f t="shared" si="172"/>
        <v>0.76854609384320915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-5.6843418860808015E-13</v>
      </c>
      <c r="CU173" s="17">
        <f>CT173*VLOOKUP('Données projet'!$B$13,Paramètres!$A$1:$I$89,3,0)*VLOOKUP('Données projet'!$B$13,Paramètres!$A$1:$I$89,5,0)</f>
        <v>-4.4337866711430256E-13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261.59434871103355</v>
      </c>
      <c r="CZ173" s="59">
        <f t="shared" si="150"/>
        <v>194.97518096665976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0.12977116785337231</v>
      </c>
      <c r="DG173" s="21">
        <f>EXP(-LN(2)/25)*DG172+(1-EXP(-LN(2)/25))/(LN(2)/25)*Calculateur!DB173*Calculateur!DD173*VLOOKUP('Données projet'!$B$13,Paramètres!$A$1:$I$89,3,0)*0.475*44/12</f>
        <v>0.24092948533787362</v>
      </c>
      <c r="DH173" s="21">
        <f>EXP(-LN(2)/2)*DH172+(1-EXP(-LN(2)/2))/(LN(2)/2)*DB173*DE173*VLOOKUP('Données projet'!$B$13,Paramètres!$A$1:$I$89,3,0)*0.475*44/12</f>
        <v>1.5874627337025053E-20</v>
      </c>
      <c r="DI173" s="22">
        <f t="shared" si="175"/>
        <v>0.3707006531912459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-1.0286385077051818E-13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237.22177246688199</v>
      </c>
      <c r="T174" s="59">
        <f t="shared" si="142"/>
        <v>149.27472147904302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</v>
      </c>
      <c r="AA174" s="21">
        <f>EXP(-LN(2)/25)*AA173+(1-EXP(-LN(2)/25))/(LN(2)/25)*Calculateur!V174*Calculateur!X174*VLOOKUP('Données projet'!$B$9,Paramètres!$A$1:$I$89,3,0)*0.475*44/12</f>
        <v>6.2285023231293098E-2</v>
      </c>
      <c r="AB174" s="21">
        <f>EXP(-LN(2)/2)*AB173+(1-EXP(-LN(2)/2))/(LN(2)/2)*V174*Y174*VLOOKUP('Données projet'!$B$9,Paramètres!$A$1:$I$89,3,0)*0.475*44/12</f>
        <v>3.7070649682650288E-21</v>
      </c>
      <c r="AC174" s="22">
        <f t="shared" si="163"/>
        <v>6.2285023231293098E-2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243.38048563215585</v>
      </c>
      <c r="AO174" s="59">
        <f t="shared" si="144"/>
        <v>372.1604147006675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0.44783704910336297</v>
      </c>
      <c r="AV174" s="21">
        <f>EXP(-LN(2)/25)*AV173+(1-EXP(-LN(2)/25))/(LN(2)/25)*Calculateur!AQ174*Calculateur!AS174*VLOOKUP('Données projet'!$B$10,Paramètres!$A$1:$I$89,3,0)*0.475*44/12</f>
        <v>0.38828503469929643</v>
      </c>
      <c r="AW174" s="21">
        <f>EXP(-LN(2)/2)*AW173+(1-EXP(-LN(2)/2))/(LN(2)/2)*AQ174*AT174*VLOOKUP('Données projet'!$B$10,Paramètres!$A$1:$I$89,3,0)*0.475*44/12</f>
        <v>1.7557970041412044E-20</v>
      </c>
      <c r="AX174" s="21">
        <f t="shared" si="166"/>
        <v>0.8361220838026594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-5.6843418860808015E-13</v>
      </c>
      <c r="BE174" s="13">
        <f>BD174*VLOOKUP('Données projet'!$B$11,Paramètres!$A$1:$I$89,3,0)*VLOOKUP('Données projet'!$B$11,Paramètres!$A$1:$I$89,5,0)</f>
        <v>-3.177547114319168E-13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326.31232746914907</v>
      </c>
      <c r="BJ174" s="59">
        <f t="shared" si="146"/>
        <v>330.17137761430297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0.2798981556896018</v>
      </c>
      <c r="BQ174" s="21">
        <f>EXP(-LN(2)/25)*BQ173+(1-EXP(-LN(2)/25))/(LN(2)/25)*Calculateur!BL174*Calculateur!BN174*VLOOKUP('Données projet'!$B$11,Paramètres!$A$1:$I$89,3,0)*0.475*44/12</f>
        <v>0.60507411271350819</v>
      </c>
      <c r="BR174" s="21">
        <f>EXP(-LN(2)/2)*BR173+(1-EXP(-LN(2)/2))/(LN(2)/2)*BL174*BO174*VLOOKUP('Données projet'!$B$11,Paramètres!$A$1:$I$89,3,0)*0.475*44/12</f>
        <v>1.9478868748118468E-20</v>
      </c>
      <c r="BS174" s="22">
        <f t="shared" si="169"/>
        <v>0.88497226840311005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-2.2737367544323206E-13</v>
      </c>
      <c r="BZ174" s="13">
        <f>BY174*VLOOKUP('Données projet'!$B$12,Paramètres!$A$1:$I$89,3,0)*VLOOKUP('Données projet'!$B$12,Paramètres!$A$1:$I$89,5,0)</f>
        <v>-1.8089849618263545E-13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314.94704727988847</v>
      </c>
      <c r="CE174" s="59">
        <f t="shared" si="148"/>
        <v>366.49199094166454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0.2399253852523236</v>
      </c>
      <c r="CL174" s="21">
        <f>EXP(-LN(2)/25)*CL173+(1-EXP(-LN(2)/25))/(LN(2)/25)*Calculateur!CG174*Calculateur!CI174*VLOOKUP('Données projet'!$B$12,Paramètres!$A$1:$I$89,3,0)*0.475*44/12</f>
        <v>0.50949787967404825</v>
      </c>
      <c r="CM174" s="21">
        <f>EXP(-LN(2)/2)*CM173+(1-EXP(-LN(2)/2))/(LN(2)/2)*CG174*CJ174*VLOOKUP('Données projet'!$B$12,Paramètres!$A$1:$I$89,3,0)*0.475*44/12</f>
        <v>1.7291019685135419E-20</v>
      </c>
      <c r="CN174" s="22">
        <f t="shared" si="172"/>
        <v>0.7494232649263719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-5.6843418860808015E-13</v>
      </c>
      <c r="CU174" s="17">
        <f>CT174*VLOOKUP('Données projet'!$B$13,Paramètres!$A$1:$I$89,3,0)*VLOOKUP('Données projet'!$B$13,Paramètres!$A$1:$I$89,5,0)</f>
        <v>-4.4337866711430256E-13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261.59434871103355</v>
      </c>
      <c r="CZ174" s="59">
        <f t="shared" si="150"/>
        <v>194.97518096665976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0.1272264344043644</v>
      </c>
      <c r="DG174" s="21">
        <f>EXP(-LN(2)/25)*DG173+(1-EXP(-LN(2)/25))/(LN(2)/25)*Calculateur!DB174*Calculateur!DD174*VLOOKUP('Données projet'!$B$13,Paramètres!$A$1:$I$89,3,0)*0.475*44/12</f>
        <v>0.23434125589137847</v>
      </c>
      <c r="DH174" s="21">
        <f>EXP(-LN(2)/2)*DH173+(1-EXP(-LN(2)/2))/(LN(2)/2)*DB174*DE174*VLOOKUP('Données projet'!$B$13,Paramètres!$A$1:$I$89,3,0)*0.475*44/12</f>
        <v>1.122505663881976E-20</v>
      </c>
      <c r="DI174" s="22">
        <f t="shared" si="175"/>
        <v>0.36156769029574287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-1.0286385077051818E-13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237.22177246688199</v>
      </c>
      <c r="T175" s="59">
        <f t="shared" si="142"/>
        <v>149.27472147904302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</v>
      </c>
      <c r="AA175" s="21">
        <f>EXP(-LN(2)/25)*AA174+(1-EXP(-LN(2)/25))/(LN(2)/25)*Calculateur!V175*Calculateur!X175*VLOOKUP('Données projet'!$B$9,Paramètres!$A$1:$I$89,3,0)*0.475*44/12</f>
        <v>6.0581835995606369E-2</v>
      </c>
      <c r="AB175" s="21">
        <f>EXP(-LN(2)/2)*AB174+(1-EXP(-LN(2)/2))/(LN(2)/2)*V175*Y175*VLOOKUP('Données projet'!$B$9,Paramètres!$A$1:$I$89,3,0)*0.475*44/12</f>
        <v>2.6212907773592955E-21</v>
      </c>
      <c r="AC175" s="22">
        <f t="shared" si="163"/>
        <v>6.0581835995606369E-2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243.38048563215585</v>
      </c>
      <c r="AO175" s="59">
        <f t="shared" si="144"/>
        <v>372.1604147006675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0.43905523772407429</v>
      </c>
      <c r="AV175" s="21">
        <f>EXP(-LN(2)/25)*AV174+(1-EXP(-LN(2)/25))/(LN(2)/25)*Calculateur!AQ175*Calculateur!AS175*VLOOKUP('Données projet'!$B$10,Paramètres!$A$1:$I$89,3,0)*0.475*44/12</f>
        <v>0.37766736000642165</v>
      </c>
      <c r="AW175" s="21">
        <f>EXP(-LN(2)/2)*AW174+(1-EXP(-LN(2)/2))/(LN(2)/2)*AQ175*AT175*VLOOKUP('Données projet'!$B$10,Paramètres!$A$1:$I$89,3,0)*0.475*44/12</f>
        <v>1.2415359680152703E-20</v>
      </c>
      <c r="AX175" s="21">
        <f t="shared" si="166"/>
        <v>0.81672259773049594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-5.6843418860808015E-13</v>
      </c>
      <c r="BE175" s="13">
        <f>BD175*VLOOKUP('Données projet'!$B$11,Paramètres!$A$1:$I$89,3,0)*VLOOKUP('Données projet'!$B$11,Paramètres!$A$1:$I$89,5,0)</f>
        <v>-3.177547114319168E-13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326.31232746914907</v>
      </c>
      <c r="BJ175" s="59">
        <f t="shared" si="146"/>
        <v>330.17137761430297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0.27440952357754639</v>
      </c>
      <c r="BQ175" s="21">
        <f>EXP(-LN(2)/25)*BQ174+(1-EXP(-LN(2)/25))/(LN(2)/25)*Calculateur!BL175*Calculateur!BN175*VLOOKUP('Données projet'!$B$11,Paramètres!$A$1:$I$89,3,0)*0.475*44/12</f>
        <v>0.58852832928189269</v>
      </c>
      <c r="BR175" s="21">
        <f>EXP(-LN(2)/2)*BR174+(1-EXP(-LN(2)/2))/(LN(2)/2)*BL175*BO175*VLOOKUP('Données projet'!$B$11,Paramètres!$A$1:$I$89,3,0)*0.475*44/12</f>
        <v>1.3773640181637284E-20</v>
      </c>
      <c r="BS175" s="22">
        <f t="shared" si="169"/>
        <v>0.86293785285943914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-2.2737367544323206E-13</v>
      </c>
      <c r="BZ175" s="13">
        <f>BY175*VLOOKUP('Données projet'!$B$12,Paramètres!$A$1:$I$89,3,0)*VLOOKUP('Données projet'!$B$12,Paramètres!$A$1:$I$89,5,0)</f>
        <v>-1.8089849618263545E-13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314.94704727988847</v>
      </c>
      <c r="CE175" s="59">
        <f t="shared" si="148"/>
        <v>366.49199094166454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0.23522059478756066</v>
      </c>
      <c r="CL175" s="21">
        <f>EXP(-LN(2)/25)*CL174+(1-EXP(-LN(2)/25))/(LN(2)/25)*Calculateur!CG175*Calculateur!CI175*VLOOKUP('Données projet'!$B$12,Paramètres!$A$1:$I$89,3,0)*0.475*44/12</f>
        <v>0.49556563336103238</v>
      </c>
      <c r="CM175" s="21">
        <f>EXP(-LN(2)/2)*CM174+(1-EXP(-LN(2)/2))/(LN(2)/2)*CG175*CJ175*VLOOKUP('Données projet'!$B$12,Paramètres!$A$1:$I$89,3,0)*0.475*44/12</f>
        <v>1.2226597272989337E-20</v>
      </c>
      <c r="CN175" s="22">
        <f t="shared" si="172"/>
        <v>0.73078622814859306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-5.6843418860808015E-13</v>
      </c>
      <c r="CU175" s="17">
        <f>CT175*VLOOKUP('Données projet'!$B$13,Paramètres!$A$1:$I$89,3,0)*VLOOKUP('Données projet'!$B$13,Paramètres!$A$1:$I$89,5,0)</f>
        <v>-4.4337866711430256E-13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261.59434871103355</v>
      </c>
      <c r="CZ175" s="59">
        <f t="shared" si="150"/>
        <v>194.97518096665976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0.12473160162615739</v>
      </c>
      <c r="DG175" s="21">
        <f>EXP(-LN(2)/25)*DG174+(1-EXP(-LN(2)/25))/(LN(2)/25)*Calculateur!DB175*Calculateur!DD175*VLOOKUP('Données projet'!$B$13,Paramètres!$A$1:$I$89,3,0)*0.475*44/12</f>
        <v>0.22793318192555767</v>
      </c>
      <c r="DH175" s="21">
        <f>EXP(-LN(2)/2)*DH174+(1-EXP(-LN(2)/2))/(LN(2)/2)*DB175*DE175*VLOOKUP('Données projet'!$B$13,Paramètres!$A$1:$I$89,3,0)*0.475*44/12</f>
        <v>7.9373136685125267E-21</v>
      </c>
      <c r="DI175" s="22">
        <f t="shared" si="175"/>
        <v>0.35266478355171504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-1.0286385077051818E-13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237.22177246688199</v>
      </c>
      <c r="T176" s="59">
        <f t="shared" si="142"/>
        <v>149.27472147904302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</v>
      </c>
      <c r="AA176" s="21">
        <f>EXP(-LN(2)/25)*AA175+(1-EXP(-LN(2)/25))/(LN(2)/25)*Calculateur!V176*Calculateur!X176*VLOOKUP('Données projet'!$B$9,Paramètres!$A$1:$I$89,3,0)*0.475*44/12</f>
        <v>5.892522250444622E-2</v>
      </c>
      <c r="AB176" s="21">
        <f>EXP(-LN(2)/2)*AB175+(1-EXP(-LN(2)/2))/(LN(2)/2)*V176*Y176*VLOOKUP('Données projet'!$B$9,Paramètres!$A$1:$I$89,3,0)*0.475*44/12</f>
        <v>1.8535324841325144E-21</v>
      </c>
      <c r="AC176" s="22">
        <f t="shared" si="163"/>
        <v>5.892522250444622E-2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243.38048563215585</v>
      </c>
      <c r="AO176" s="59">
        <f t="shared" si="144"/>
        <v>372.1604147006675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0.4304456323095574</v>
      </c>
      <c r="AV176" s="21">
        <f>EXP(-LN(2)/25)*AV175+(1-EXP(-LN(2)/25))/(LN(2)/25)*Calculateur!AQ176*Calculateur!AS176*VLOOKUP('Données projet'!$B$10,Paramètres!$A$1:$I$89,3,0)*0.475*44/12</f>
        <v>0.36734002618638273</v>
      </c>
      <c r="AW176" s="21">
        <f>EXP(-LN(2)/2)*AW175+(1-EXP(-LN(2)/2))/(LN(2)/2)*AQ176*AT176*VLOOKUP('Données projet'!$B$10,Paramètres!$A$1:$I$89,3,0)*0.475*44/12</f>
        <v>8.7789850207060222E-21</v>
      </c>
      <c r="AX176" s="21">
        <f t="shared" si="166"/>
        <v>0.79778565849594019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-5.6843418860808015E-13</v>
      </c>
      <c r="BE176" s="13">
        <f>BD176*VLOOKUP('Données projet'!$B$11,Paramètres!$A$1:$I$89,3,0)*VLOOKUP('Données projet'!$B$11,Paramètres!$A$1:$I$89,5,0)</f>
        <v>-3.177547114319168E-13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326.31232746914907</v>
      </c>
      <c r="BJ176" s="59">
        <f t="shared" si="146"/>
        <v>330.17137761430297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0.26902852019347334</v>
      </c>
      <c r="BQ176" s="21">
        <f>EXP(-LN(2)/25)*BQ175+(1-EXP(-LN(2)/25))/(LN(2)/25)*Calculateur!BL176*Calculateur!BN176*VLOOKUP('Données projet'!$B$11,Paramètres!$A$1:$I$89,3,0)*0.475*44/12</f>
        <v>0.57243499116831964</v>
      </c>
      <c r="BR176" s="21">
        <f>EXP(-LN(2)/2)*BR175+(1-EXP(-LN(2)/2))/(LN(2)/2)*BL176*BO176*VLOOKUP('Données projet'!$B$11,Paramètres!$A$1:$I$89,3,0)*0.475*44/12</f>
        <v>9.7394343740592338E-21</v>
      </c>
      <c r="BS176" s="22">
        <f t="shared" si="169"/>
        <v>0.84146351136179298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-2.2737367544323206E-13</v>
      </c>
      <c r="BZ176" s="13">
        <f>BY176*VLOOKUP('Données projet'!$B$12,Paramètres!$A$1:$I$89,3,0)*VLOOKUP('Données projet'!$B$12,Paramètres!$A$1:$I$89,5,0)</f>
        <v>-1.8089849618263545E-13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314.94704727988847</v>
      </c>
      <c r="CE176" s="59">
        <f t="shared" si="148"/>
        <v>366.49199094166454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0.23060806239417289</v>
      </c>
      <c r="CL176" s="21">
        <f>EXP(-LN(2)/25)*CL175+(1-EXP(-LN(2)/25))/(LN(2)/25)*Calculateur!CG176*Calculateur!CI176*VLOOKUP('Données projet'!$B$12,Paramètres!$A$1:$I$89,3,0)*0.475*44/12</f>
        <v>0.48201436505611089</v>
      </c>
      <c r="CM176" s="21">
        <f>EXP(-LN(2)/2)*CM175+(1-EXP(-LN(2)/2))/(LN(2)/2)*CG176*CJ176*VLOOKUP('Données projet'!$B$12,Paramètres!$A$1:$I$89,3,0)*0.475*44/12</f>
        <v>8.6455098425677095E-21</v>
      </c>
      <c r="CN176" s="22">
        <f t="shared" si="172"/>
        <v>0.71262242745028381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-5.6843418860808015E-13</v>
      </c>
      <c r="CU176" s="17">
        <f>CT176*VLOOKUP('Données projet'!$B$13,Paramètres!$A$1:$I$89,3,0)*VLOOKUP('Données projet'!$B$13,Paramètres!$A$1:$I$89,5,0)</f>
        <v>-4.4337866711430256E-13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261.59434871103355</v>
      </c>
      <c r="CZ176" s="59">
        <f t="shared" si="150"/>
        <v>194.97518096665976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0.12228569099703328</v>
      </c>
      <c r="DG176" s="21">
        <f>EXP(-LN(2)/25)*DG175+(1-EXP(-LN(2)/25))/(LN(2)/25)*Calculateur!DB176*Calculateur!DD176*VLOOKUP('Données projet'!$B$13,Paramètres!$A$1:$I$89,3,0)*0.475*44/12</f>
        <v>0.22170033707931822</v>
      </c>
      <c r="DH176" s="21">
        <f>EXP(-LN(2)/2)*DH175+(1-EXP(-LN(2)/2))/(LN(2)/2)*DB176*DE176*VLOOKUP('Données projet'!$B$13,Paramètres!$A$1:$I$89,3,0)*0.475*44/12</f>
        <v>5.61252831940988E-21</v>
      </c>
      <c r="DI176" s="22">
        <f t="shared" si="175"/>
        <v>0.34398602807635148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-1.0286385077051818E-13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237.22177246688199</v>
      </c>
      <c r="T177" s="59">
        <f t="shared" si="142"/>
        <v>149.27472147904302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</v>
      </c>
      <c r="AA177" s="21">
        <f>EXP(-LN(2)/25)*AA176+(1-EXP(-LN(2)/25))/(LN(2)/25)*Calculateur!V177*Calculateur!X177*VLOOKUP('Données projet'!$B$9,Paramètres!$A$1:$I$89,3,0)*0.475*44/12</f>
        <v>5.731390919631936E-2</v>
      </c>
      <c r="AB177" s="21">
        <f>EXP(-LN(2)/2)*AB176+(1-EXP(-LN(2)/2))/(LN(2)/2)*V177*Y177*VLOOKUP('Données projet'!$B$9,Paramètres!$A$1:$I$89,3,0)*0.475*44/12</f>
        <v>1.3106453886796478E-21</v>
      </c>
      <c r="AC177" s="22">
        <f t="shared" si="163"/>
        <v>5.731390919631936E-2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243.38048563215585</v>
      </c>
      <c r="AO177" s="59">
        <f t="shared" si="144"/>
        <v>372.1604147006675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0.42200485600587845</v>
      </c>
      <c r="AV177" s="21">
        <f>EXP(-LN(2)/25)*AV176+(1-EXP(-LN(2)/25))/(LN(2)/25)*Calculateur!AQ177*Calculateur!AS177*VLOOKUP('Données projet'!$B$10,Paramètres!$A$1:$I$89,3,0)*0.475*44/12</f>
        <v>0.35729509385274366</v>
      </c>
      <c r="AW177" s="21">
        <f>EXP(-LN(2)/2)*AW176+(1-EXP(-LN(2)/2))/(LN(2)/2)*AQ177*AT177*VLOOKUP('Données projet'!$B$10,Paramètres!$A$1:$I$89,3,0)*0.475*44/12</f>
        <v>6.2076798400763517E-21</v>
      </c>
      <c r="AX177" s="21">
        <f t="shared" si="166"/>
        <v>0.77929994985862217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-5.6843418860808015E-13</v>
      </c>
      <c r="BE177" s="13">
        <f>BD177*VLOOKUP('Données projet'!$B$11,Paramètres!$A$1:$I$89,3,0)*VLOOKUP('Données projet'!$B$11,Paramètres!$A$1:$I$89,5,0)</f>
        <v>-3.177547114319168E-13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326.31232746914907</v>
      </c>
      <c r="BJ177" s="59">
        <f t="shared" si="146"/>
        <v>330.17137761430297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0.26375303500367397</v>
      </c>
      <c r="BQ177" s="21">
        <f>EXP(-LN(2)/25)*BQ176+(1-EXP(-LN(2)/25))/(LN(2)/25)*Calculateur!BL177*Calculateur!BN177*VLOOKUP('Données projet'!$B$11,Paramètres!$A$1:$I$89,3,0)*0.475*44/12</f>
        <v>0.55678172623177402</v>
      </c>
      <c r="BR177" s="21">
        <f>EXP(-LN(2)/2)*BR176+(1-EXP(-LN(2)/2))/(LN(2)/2)*BL177*BO177*VLOOKUP('Données projet'!$B$11,Paramètres!$A$1:$I$89,3,0)*0.475*44/12</f>
        <v>6.8868200908186421E-21</v>
      </c>
      <c r="BS177" s="22">
        <f t="shared" si="169"/>
        <v>0.820534761235448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-2.2737367544323206E-13</v>
      </c>
      <c r="BZ177" s="13">
        <f>BY177*VLOOKUP('Données projet'!$B$12,Paramètres!$A$1:$I$89,3,0)*VLOOKUP('Données projet'!$B$12,Paramètres!$A$1:$I$89,5,0)</f>
        <v>-1.8089849618263545E-13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314.94704727988847</v>
      </c>
      <c r="CE177" s="59">
        <f t="shared" si="148"/>
        <v>366.49199094166454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0.22608597894765251</v>
      </c>
      <c r="CL177" s="21">
        <f>EXP(-LN(2)/25)*CL176+(1-EXP(-LN(2)/25))/(LN(2)/25)*Calculateur!CG177*Calculateur!CI177*VLOOKUP('Données projet'!$B$12,Paramètres!$A$1:$I$89,3,0)*0.475*44/12</f>
        <v>0.46883365689561773</v>
      </c>
      <c r="CM177" s="21">
        <f>EXP(-LN(2)/2)*CM176+(1-EXP(-LN(2)/2))/(LN(2)/2)*CG177*CJ177*VLOOKUP('Données projet'!$B$12,Paramètres!$A$1:$I$89,3,0)*0.475*44/12</f>
        <v>6.1132986364946684E-21</v>
      </c>
      <c r="CN177" s="22">
        <f t="shared" si="172"/>
        <v>0.69491963584327021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-5.6843418860808015E-13</v>
      </c>
      <c r="CU177" s="17">
        <f>CT177*VLOOKUP('Données projet'!$B$13,Paramètres!$A$1:$I$89,3,0)*VLOOKUP('Données projet'!$B$13,Paramètres!$A$1:$I$89,5,0)</f>
        <v>-4.4337866711430256E-13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261.59434871103355</v>
      </c>
      <c r="CZ177" s="59">
        <f t="shared" si="150"/>
        <v>194.97518096665976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0.11988774318348812</v>
      </c>
      <c r="DG177" s="21">
        <f>EXP(-LN(2)/25)*DG176+(1-EXP(-LN(2)/25))/(LN(2)/25)*Calculateur!DB177*Calculateur!DD177*VLOOKUP('Données projet'!$B$13,Paramètres!$A$1:$I$89,3,0)*0.475*44/12</f>
        <v>0.21563792970317022</v>
      </c>
      <c r="DH177" s="21">
        <f>EXP(-LN(2)/2)*DH176+(1-EXP(-LN(2)/2))/(LN(2)/2)*DB177*DE177*VLOOKUP('Données projet'!$B$13,Paramètres!$A$1:$I$89,3,0)*0.475*44/12</f>
        <v>3.9686568342562634E-21</v>
      </c>
      <c r="DI177" s="22">
        <f t="shared" si="175"/>
        <v>0.33552567288665835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-1.0286385077051818E-13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237.22177246688199</v>
      </c>
      <c r="T178" s="59">
        <f t="shared" si="142"/>
        <v>149.27472147904302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</v>
      </c>
      <c r="AA178" s="21">
        <f>EXP(-LN(2)/25)*AA177+(1-EXP(-LN(2)/25))/(LN(2)/25)*Calculateur!V178*Calculateur!X178*VLOOKUP('Données projet'!$B$9,Paramètres!$A$1:$I$89,3,0)*0.475*44/12</f>
        <v>5.5746657335338512E-2</v>
      </c>
      <c r="AB178" s="21">
        <f>EXP(-LN(2)/2)*AB177+(1-EXP(-LN(2)/2))/(LN(2)/2)*V178*Y178*VLOOKUP('Données projet'!$B$9,Paramètres!$A$1:$I$89,3,0)*0.475*44/12</f>
        <v>9.267662420662572E-22</v>
      </c>
      <c r="AC178" s="22">
        <f t="shared" si="163"/>
        <v>5.5746657335338512E-2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243.38048563215585</v>
      </c>
      <c r="AO178" s="59">
        <f t="shared" si="144"/>
        <v>372.1604147006675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0.41372959817714944</v>
      </c>
      <c r="AV178" s="21">
        <f>EXP(-LN(2)/25)*AV177+(1-EXP(-LN(2)/25))/(LN(2)/25)*Calculateur!AQ178*Calculateur!AS178*VLOOKUP('Données projet'!$B$10,Paramètres!$A$1:$I$89,3,0)*0.475*44/12</f>
        <v>0.34752484072200801</v>
      </c>
      <c r="AW178" s="21">
        <f>EXP(-LN(2)/2)*AW177+(1-EXP(-LN(2)/2))/(LN(2)/2)*AQ178*AT178*VLOOKUP('Données projet'!$B$10,Paramètres!$A$1:$I$89,3,0)*0.475*44/12</f>
        <v>4.3894925103530111E-21</v>
      </c>
      <c r="AX178" s="21">
        <f t="shared" si="166"/>
        <v>0.76125443889915745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-5.6843418860808015E-13</v>
      </c>
      <c r="BE178" s="13">
        <f>BD178*VLOOKUP('Données projet'!$B$11,Paramètres!$A$1:$I$89,3,0)*VLOOKUP('Données projet'!$B$11,Paramètres!$A$1:$I$89,5,0)</f>
        <v>-3.177547114319168E-13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326.31232746914907</v>
      </c>
      <c r="BJ178" s="59">
        <f t="shared" si="146"/>
        <v>330.17137761430297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0.25858099886071834</v>
      </c>
      <c r="BQ178" s="21">
        <f>EXP(-LN(2)/25)*BQ177+(1-EXP(-LN(2)/25))/(LN(2)/25)*Calculateur!BL178*Calculateur!BN178*VLOOKUP('Données projet'!$B$11,Paramètres!$A$1:$I$89,3,0)*0.475*44/12</f>
        <v>0.54155650064808769</v>
      </c>
      <c r="BR178" s="21">
        <f>EXP(-LN(2)/2)*BR177+(1-EXP(-LN(2)/2))/(LN(2)/2)*BL178*BO178*VLOOKUP('Données projet'!$B$11,Paramètres!$A$1:$I$89,3,0)*0.475*44/12</f>
        <v>4.8697171870296169E-21</v>
      </c>
      <c r="BS178" s="22">
        <f t="shared" si="169"/>
        <v>0.80013749950880597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-2.2737367544323206E-13</v>
      </c>
      <c r="BZ178" s="13">
        <f>BY178*VLOOKUP('Données projet'!$B$12,Paramètres!$A$1:$I$89,3,0)*VLOOKUP('Données projet'!$B$12,Paramètres!$A$1:$I$89,5,0)</f>
        <v>-1.8089849618263545E-13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314.94704727988847</v>
      </c>
      <c r="CE178" s="59">
        <f t="shared" si="148"/>
        <v>366.49199094166454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0.22165257079931983</v>
      </c>
      <c r="CL178" s="21">
        <f>EXP(-LN(2)/25)*CL177+(1-EXP(-LN(2)/25))/(LN(2)/25)*Calculateur!CG178*Calculateur!CI178*VLOOKUP('Données projet'!$B$12,Paramètres!$A$1:$I$89,3,0)*0.475*44/12</f>
        <v>0.45601337589291657</v>
      </c>
      <c r="CM178" s="21">
        <f>EXP(-LN(2)/2)*CM177+(1-EXP(-LN(2)/2))/(LN(2)/2)*CG178*CJ178*VLOOKUP('Données projet'!$B$12,Paramètres!$A$1:$I$89,3,0)*0.475*44/12</f>
        <v>4.3227549212838547E-21</v>
      </c>
      <c r="CN178" s="22">
        <f t="shared" si="172"/>
        <v>0.67766594669223634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-5.6843418860808015E-13</v>
      </c>
      <c r="CU178" s="17">
        <f>CT178*VLOOKUP('Données projet'!$B$13,Paramètres!$A$1:$I$89,3,0)*VLOOKUP('Données projet'!$B$13,Paramètres!$A$1:$I$89,5,0)</f>
        <v>-4.4337866711430256E-13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261.59434871103355</v>
      </c>
      <c r="CZ178" s="59">
        <f t="shared" si="150"/>
        <v>194.97518096665976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0.11753681766396283</v>
      </c>
      <c r="DG178" s="21">
        <f>EXP(-LN(2)/25)*DG177+(1-EXP(-LN(2)/25))/(LN(2)/25)*Calculateur!DB178*Calculateur!DD178*VLOOKUP('Données projet'!$B$13,Paramètres!$A$1:$I$89,3,0)*0.475*44/12</f>
        <v>0.20974129917553117</v>
      </c>
      <c r="DH178" s="21">
        <f>EXP(-LN(2)/2)*DH177+(1-EXP(-LN(2)/2))/(LN(2)/2)*DB178*DE178*VLOOKUP('Données projet'!$B$13,Paramètres!$A$1:$I$89,3,0)*0.475*44/12</f>
        <v>2.80626415970494E-21</v>
      </c>
      <c r="DI178" s="22">
        <f t="shared" si="175"/>
        <v>0.32727811683949398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-1.0286385077051818E-13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237.22177246688199</v>
      </c>
      <c r="T179" s="59">
        <f t="shared" si="142"/>
        <v>149.27472147904302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</v>
      </c>
      <c r="AA179" s="21">
        <f>EXP(-LN(2)/25)*AA178+(1-EXP(-LN(2)/25))/(LN(2)/25)*Calculateur!V179*Calculateur!X179*VLOOKUP('Données projet'!$B$9,Paramètres!$A$1:$I$89,3,0)*0.475*44/12</f>
        <v>5.4222262058914381E-2</v>
      </c>
      <c r="AB179" s="21">
        <f>EXP(-LN(2)/2)*AB178+(1-EXP(-LN(2)/2))/(LN(2)/2)*V179*Y179*VLOOKUP('Données projet'!$B$9,Paramètres!$A$1:$I$89,3,0)*0.475*44/12</f>
        <v>6.5532269433982388E-22</v>
      </c>
      <c r="AC179" s="22">
        <f t="shared" si="163"/>
        <v>5.4222262058914381E-2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243.38048563215585</v>
      </c>
      <c r="AO179" s="59">
        <f t="shared" si="144"/>
        <v>372.1604147006675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0.4056166131070329</v>
      </c>
      <c r="AV179" s="21">
        <f>EXP(-LN(2)/25)*AV178+(1-EXP(-LN(2)/25))/(LN(2)/25)*Calculateur!AQ179*Calculateur!AS179*VLOOKUP('Données projet'!$B$10,Paramètres!$A$1:$I$89,3,0)*0.475*44/12</f>
        <v>0.3380217556769276</v>
      </c>
      <c r="AW179" s="21">
        <f>EXP(-LN(2)/2)*AW178+(1-EXP(-LN(2)/2))/(LN(2)/2)*AQ179*AT179*VLOOKUP('Données projet'!$B$10,Paramètres!$A$1:$I$89,3,0)*0.475*44/12</f>
        <v>3.1038399200381758E-21</v>
      </c>
      <c r="AX179" s="21">
        <f t="shared" si="166"/>
        <v>0.7436383687839605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-5.6843418860808015E-13</v>
      </c>
      <c r="BE179" s="13">
        <f>BD179*VLOOKUP('Données projet'!$B$11,Paramètres!$A$1:$I$89,3,0)*VLOOKUP('Données projet'!$B$11,Paramètres!$A$1:$I$89,5,0)</f>
        <v>-3.177547114319168E-13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326.31232746914907</v>
      </c>
      <c r="BJ179" s="59">
        <f t="shared" si="146"/>
        <v>330.17137761430297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0.25351038319189551</v>
      </c>
      <c r="BQ179" s="21">
        <f>EXP(-LN(2)/25)*BQ178+(1-EXP(-LN(2)/25))/(LN(2)/25)*Calculateur!BL179*Calculateur!BN179*VLOOKUP('Données projet'!$B$11,Paramètres!$A$1:$I$89,3,0)*0.475*44/12</f>
        <v>0.52674760965864709</v>
      </c>
      <c r="BR179" s="21">
        <f>EXP(-LN(2)/2)*BR178+(1-EXP(-LN(2)/2))/(LN(2)/2)*BL179*BO179*VLOOKUP('Données projet'!$B$11,Paramètres!$A$1:$I$89,3,0)*0.475*44/12</f>
        <v>3.4434100454093211E-21</v>
      </c>
      <c r="BS179" s="22">
        <f t="shared" si="169"/>
        <v>0.78025799285054265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-2.2737367544323206E-13</v>
      </c>
      <c r="BZ179" s="13">
        <f>BY179*VLOOKUP('Données projet'!$B$12,Paramètres!$A$1:$I$89,3,0)*VLOOKUP('Données projet'!$B$12,Paramètres!$A$1:$I$89,5,0)</f>
        <v>-1.8089849618263545E-13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314.94704727988847</v>
      </c>
      <c r="CE179" s="59">
        <f t="shared" si="148"/>
        <v>366.49199094166454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0.21730609908066398</v>
      </c>
      <c r="CL179" s="21">
        <f>EXP(-LN(2)/25)*CL178+(1-EXP(-LN(2)/25))/(LN(2)/25)*Calculateur!CG179*Calculateur!CI179*VLOOKUP('Données projet'!$B$12,Paramètres!$A$1:$I$89,3,0)*0.475*44/12</f>
        <v>0.44354366614842355</v>
      </c>
      <c r="CM179" s="21">
        <f>EXP(-LN(2)/2)*CM178+(1-EXP(-LN(2)/2))/(LN(2)/2)*CG179*CJ179*VLOOKUP('Données projet'!$B$12,Paramètres!$A$1:$I$89,3,0)*0.475*44/12</f>
        <v>3.0566493182473342E-21</v>
      </c>
      <c r="CN179" s="22">
        <f t="shared" si="172"/>
        <v>0.66084976522908756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-5.6843418860808015E-13</v>
      </c>
      <c r="CU179" s="17">
        <f>CT179*VLOOKUP('Données projet'!$B$13,Paramètres!$A$1:$I$89,3,0)*VLOOKUP('Données projet'!$B$13,Paramètres!$A$1:$I$89,5,0)</f>
        <v>-4.4337866711430256E-13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261.59434871103355</v>
      </c>
      <c r="CZ179" s="59">
        <f t="shared" si="150"/>
        <v>194.97518096665976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0.11523199235995246</v>
      </c>
      <c r="DG179" s="21">
        <f>EXP(-LN(2)/25)*DG178+(1-EXP(-LN(2)/25))/(LN(2)/25)*Calculateur!DB179*Calculateur!DD179*VLOOKUP('Données projet'!$B$13,Paramètres!$A$1:$I$89,3,0)*0.475*44/12</f>
        <v>0.2040059123197607</v>
      </c>
      <c r="DH179" s="21">
        <f>EXP(-LN(2)/2)*DH178+(1-EXP(-LN(2)/2))/(LN(2)/2)*DB179*DE179*VLOOKUP('Données projet'!$B$13,Paramètres!$A$1:$I$89,3,0)*0.475*44/12</f>
        <v>1.9843284171281317E-21</v>
      </c>
      <c r="DI179" s="22">
        <f t="shared" si="175"/>
        <v>0.31923790467971314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-1.0286385077051818E-13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237.22177246688199</v>
      </c>
      <c r="T180" s="59">
        <f t="shared" si="142"/>
        <v>149.27472147904302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</v>
      </c>
      <c r="AA180" s="21">
        <f>EXP(-LN(2)/25)*AA179+(1-EXP(-LN(2)/25))/(LN(2)/25)*Calculateur!V180*Calculateur!X180*VLOOKUP('Données projet'!$B$9,Paramètres!$A$1:$I$89,3,0)*0.475*44/12</f>
        <v>5.273955145148853E-2</v>
      </c>
      <c r="AB180" s="21">
        <f>EXP(-LN(2)/2)*AB179+(1-EXP(-LN(2)/2))/(LN(2)/2)*V180*Y180*VLOOKUP('Données projet'!$B$9,Paramètres!$A$1:$I$89,3,0)*0.475*44/12</f>
        <v>4.633831210331286E-22</v>
      </c>
      <c r="AC180" s="22">
        <f t="shared" si="163"/>
        <v>5.273955145148853E-2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243.38048563215585</v>
      </c>
      <c r="AO180" s="59">
        <f t="shared" si="144"/>
        <v>372.1604147006675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0.39766271872570907</v>
      </c>
      <c r="AV180" s="21">
        <f>EXP(-LN(2)/25)*AV179+(1-EXP(-LN(2)/25))/(LN(2)/25)*Calculateur!AQ180*Calculateur!AS180*VLOOKUP('Données projet'!$B$10,Paramètres!$A$1:$I$89,3,0)*0.475*44/12</f>
        <v>0.32877853299215043</v>
      </c>
      <c r="AW180" s="21">
        <f>EXP(-LN(2)/2)*AW179+(1-EXP(-LN(2)/2))/(LN(2)/2)*AQ180*AT180*VLOOKUP('Données projet'!$B$10,Paramètres!$A$1:$I$89,3,0)*0.475*44/12</f>
        <v>2.1947462551765055E-21</v>
      </c>
      <c r="AX180" s="21">
        <f t="shared" si="166"/>
        <v>0.72644125171785956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-5.6843418860808015E-13</v>
      </c>
      <c r="BE180" s="13">
        <f>BD180*VLOOKUP('Données projet'!$B$11,Paramètres!$A$1:$I$89,3,0)*VLOOKUP('Données projet'!$B$11,Paramètres!$A$1:$I$89,5,0)</f>
        <v>-3.177547114319168E-13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326.31232746914907</v>
      </c>
      <c r="BJ180" s="59">
        <f t="shared" si="146"/>
        <v>330.17137761430297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0.24853919920356812</v>
      </c>
      <c r="BQ180" s="21">
        <f>EXP(-LN(2)/25)*BQ179+(1-EXP(-LN(2)/25))/(LN(2)/25)*Calculateur!BL180*Calculateur!BN180*VLOOKUP('Données projet'!$B$11,Paramètres!$A$1:$I$89,3,0)*0.475*44/12</f>
        <v>0.51234366857207847</v>
      </c>
      <c r="BR180" s="21">
        <f>EXP(-LN(2)/2)*BR179+(1-EXP(-LN(2)/2))/(LN(2)/2)*BL180*BO180*VLOOKUP('Données projet'!$B$11,Paramètres!$A$1:$I$89,3,0)*0.475*44/12</f>
        <v>2.4348585935148085E-21</v>
      </c>
      <c r="BS180" s="22">
        <f t="shared" si="169"/>
        <v>0.76088286777564662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-2.2737367544323206E-13</v>
      </c>
      <c r="BZ180" s="13">
        <f>BY180*VLOOKUP('Données projet'!$B$12,Paramètres!$A$1:$I$89,3,0)*VLOOKUP('Données projet'!$B$12,Paramètres!$A$1:$I$89,5,0)</f>
        <v>-1.8089849618263545E-13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314.94704727988847</v>
      </c>
      <c r="CE180" s="59">
        <f t="shared" si="148"/>
        <v>366.49199094166454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0.213044859021325</v>
      </c>
      <c r="CL180" s="21">
        <f>EXP(-LN(2)/25)*CL179+(1-EXP(-LN(2)/25))/(LN(2)/25)*Calculateur!CG180*Calculateur!CI180*VLOOKUP('Données projet'!$B$12,Paramètres!$A$1:$I$89,3,0)*0.475*44/12</f>
        <v>0.43141494127264723</v>
      </c>
      <c r="CM180" s="21">
        <f>EXP(-LN(2)/2)*CM179+(1-EXP(-LN(2)/2))/(LN(2)/2)*CG180*CJ180*VLOOKUP('Données projet'!$B$12,Paramètres!$A$1:$I$89,3,0)*0.475*44/12</f>
        <v>2.1613774606419274E-21</v>
      </c>
      <c r="CN180" s="22">
        <f t="shared" si="172"/>
        <v>0.64445980029397221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-5.6843418860808015E-13</v>
      </c>
      <c r="CU180" s="17">
        <f>CT180*VLOOKUP('Données projet'!$B$13,Paramètres!$A$1:$I$89,3,0)*VLOOKUP('Données projet'!$B$13,Paramètres!$A$1:$I$89,5,0)</f>
        <v>-4.4337866711430256E-13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261.59434871103355</v>
      </c>
      <c r="CZ180" s="59">
        <f t="shared" si="150"/>
        <v>194.97518096665976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0.11297236327434911</v>
      </c>
      <c r="DG180" s="21">
        <f>EXP(-LN(2)/25)*DG179+(1-EXP(-LN(2)/25))/(LN(2)/25)*Calculateur!DB180*Calculateur!DD180*VLOOKUP('Données projet'!$B$13,Paramètres!$A$1:$I$89,3,0)*0.475*44/12</f>
        <v>0.19842735991917218</v>
      </c>
      <c r="DH180" s="21">
        <f>EXP(-LN(2)/2)*DH179+(1-EXP(-LN(2)/2))/(LN(2)/2)*DB180*DE180*VLOOKUP('Données projet'!$B$13,Paramètres!$A$1:$I$89,3,0)*0.475*44/12</f>
        <v>1.40313207985247E-21</v>
      </c>
      <c r="DI180" s="22">
        <f t="shared" si="175"/>
        <v>0.31139972319352127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-1.0286385077051818E-13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237.22177246688199</v>
      </c>
      <c r="T181" s="59">
        <f t="shared" si="142"/>
        <v>149.27472147904302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</v>
      </c>
      <c r="AA181" s="21">
        <f>EXP(-LN(2)/25)*AA180+(1-EXP(-LN(2)/25))/(LN(2)/25)*Calculateur!V181*Calculateur!X181*VLOOKUP('Données projet'!$B$9,Paramètres!$A$1:$I$89,3,0)*0.475*44/12</f>
        <v>5.1297385643595102E-2</v>
      </c>
      <c r="AB181" s="21">
        <f>EXP(-LN(2)/2)*AB180+(1-EXP(-LN(2)/2))/(LN(2)/2)*V181*Y181*VLOOKUP('Données projet'!$B$9,Paramètres!$A$1:$I$89,3,0)*0.475*44/12</f>
        <v>3.2766134716991194E-22</v>
      </c>
      <c r="AC181" s="22">
        <f t="shared" si="163"/>
        <v>5.1297385643595102E-2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243.38048563215585</v>
      </c>
      <c r="AO181" s="59">
        <f t="shared" si="144"/>
        <v>372.1604147006675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0.38986479536180652</v>
      </c>
      <c r="AV181" s="21">
        <f>EXP(-LN(2)/25)*AV180+(1-EXP(-LN(2)/25))/(LN(2)/25)*Calculateur!AQ181*Calculateur!AS181*VLOOKUP('Données projet'!$B$10,Paramètres!$A$1:$I$89,3,0)*0.475*44/12</f>
        <v>0.31978806671776844</v>
      </c>
      <c r="AW181" s="21">
        <f>EXP(-LN(2)/2)*AW180+(1-EXP(-LN(2)/2))/(LN(2)/2)*AQ181*AT181*VLOOKUP('Données projet'!$B$10,Paramètres!$A$1:$I$89,3,0)*0.475*44/12</f>
        <v>1.5519199600190879E-21</v>
      </c>
      <c r="AX181" s="21">
        <f t="shared" si="166"/>
        <v>0.70965286207957501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-5.6843418860808015E-13</v>
      </c>
      <c r="BE181" s="13">
        <f>BD181*VLOOKUP('Données projet'!$B$11,Paramètres!$A$1:$I$89,3,0)*VLOOKUP('Données projet'!$B$11,Paramètres!$A$1:$I$89,5,0)</f>
        <v>-3.177547114319168E-13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326.31232746914907</v>
      </c>
      <c r="BJ181" s="59">
        <f t="shared" si="146"/>
        <v>330.17137761430297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0.243665497101129</v>
      </c>
      <c r="BQ181" s="21">
        <f>EXP(-LN(2)/25)*BQ180+(1-EXP(-LN(2)/25))/(LN(2)/25)*Calculateur!BL181*Calculateur!BN181*VLOOKUP('Données projet'!$B$11,Paramètres!$A$1:$I$89,3,0)*0.475*44/12</f>
        <v>0.49833360401199245</v>
      </c>
      <c r="BR181" s="21">
        <f>EXP(-LN(2)/2)*BR180+(1-EXP(-LN(2)/2))/(LN(2)/2)*BL181*BO181*VLOOKUP('Données projet'!$B$11,Paramètres!$A$1:$I$89,3,0)*0.475*44/12</f>
        <v>1.7217050227046605E-21</v>
      </c>
      <c r="BS181" s="22">
        <f t="shared" si="169"/>
        <v>0.74199910111312151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-2.2737367544323206E-13</v>
      </c>
      <c r="BZ181" s="13">
        <f>BY181*VLOOKUP('Données projet'!$B$12,Paramètres!$A$1:$I$89,3,0)*VLOOKUP('Données projet'!$B$12,Paramètres!$A$1:$I$89,5,0)</f>
        <v>-1.8089849618263545E-13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314.94704727988847</v>
      </c>
      <c r="CE181" s="59">
        <f t="shared" si="148"/>
        <v>366.49199094166454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0.20886717928044987</v>
      </c>
      <c r="CL181" s="21">
        <f>EXP(-LN(2)/25)*CL180+(1-EXP(-LN(2)/25))/(LN(2)/25)*Calculateur!CG181*Calculateur!CI181*VLOOKUP('Données projet'!$B$12,Paramètres!$A$1:$I$89,3,0)*0.475*44/12</f>
        <v>0.41961787701642095</v>
      </c>
      <c r="CM181" s="21">
        <f>EXP(-LN(2)/2)*CM180+(1-EXP(-LN(2)/2))/(LN(2)/2)*CG181*CJ181*VLOOKUP('Données projet'!$B$12,Paramètres!$A$1:$I$89,3,0)*0.475*44/12</f>
        <v>1.5283246591236671E-21</v>
      </c>
      <c r="CN181" s="22">
        <f t="shared" si="172"/>
        <v>0.62848505629687079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-5.6843418860808015E-13</v>
      </c>
      <c r="CU181" s="17">
        <f>CT181*VLOOKUP('Données projet'!$B$13,Paramètres!$A$1:$I$89,3,0)*VLOOKUP('Données projet'!$B$13,Paramètres!$A$1:$I$89,5,0)</f>
        <v>-4.4337866711430256E-13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261.59434871103355</v>
      </c>
      <c r="CZ181" s="59">
        <f t="shared" si="150"/>
        <v>194.97518096665976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0.11075704413687679</v>
      </c>
      <c r="DG181" s="21">
        <f>EXP(-LN(2)/25)*DG180+(1-EXP(-LN(2)/25))/(LN(2)/25)*Calculateur!DB181*Calculateur!DD181*VLOOKUP('Données projet'!$B$13,Paramètres!$A$1:$I$89,3,0)*0.475*44/12</f>
        <v>0.19300135332734106</v>
      </c>
      <c r="DH181" s="21">
        <f>EXP(-LN(2)/2)*DH180+(1-EXP(-LN(2)/2))/(LN(2)/2)*DB181*DE181*VLOOKUP('Données projet'!$B$13,Paramètres!$A$1:$I$89,3,0)*0.475*44/12</f>
        <v>9.9216420856406584E-22</v>
      </c>
      <c r="DI181" s="22">
        <f t="shared" si="175"/>
        <v>0.30375839746421784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-1.0286385077051818E-13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237.22177246688199</v>
      </c>
      <c r="T182" s="59">
        <f t="shared" si="142"/>
        <v>149.27472147904302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</v>
      </c>
      <c r="AA182" s="21">
        <f>EXP(-LN(2)/25)*AA181+(1-EXP(-LN(2)/25))/(LN(2)/25)*Calculateur!V182*Calculateur!X182*VLOOKUP('Données projet'!$B$9,Paramètres!$A$1:$I$89,3,0)*0.475*44/12</f>
        <v>4.9894655935558724E-2</v>
      </c>
      <c r="AB182" s="21">
        <f>EXP(-LN(2)/2)*AB181+(1-EXP(-LN(2)/2))/(LN(2)/2)*V182*Y182*VLOOKUP('Données projet'!$B$9,Paramètres!$A$1:$I$89,3,0)*0.475*44/12</f>
        <v>2.316915605165643E-22</v>
      </c>
      <c r="AC182" s="22">
        <f t="shared" si="163"/>
        <v>4.9894655935558724E-2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243.38048563215585</v>
      </c>
      <c r="AO182" s="59">
        <f t="shared" si="144"/>
        <v>372.1604147006675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0.38221978451880645</v>
      </c>
      <c r="AV182" s="21">
        <f>EXP(-LN(2)/25)*AV181+(1-EXP(-LN(2)/25))/(LN(2)/25)*Calculateur!AQ182*Calculateur!AS182*VLOOKUP('Données projet'!$B$10,Paramètres!$A$1:$I$89,3,0)*0.475*44/12</f>
        <v>0.3110434452164475</v>
      </c>
      <c r="AW182" s="21">
        <f>EXP(-LN(2)/2)*AW181+(1-EXP(-LN(2)/2))/(LN(2)/2)*AQ182*AT182*VLOOKUP('Données projet'!$B$10,Paramètres!$A$1:$I$89,3,0)*0.475*44/12</f>
        <v>1.0973731275882528E-21</v>
      </c>
      <c r="AX182" s="21">
        <f t="shared" si="166"/>
        <v>0.69326322973525389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-5.6843418860808015E-13</v>
      </c>
      <c r="BE182" s="13">
        <f>BD182*VLOOKUP('Données projet'!$B$11,Paramètres!$A$1:$I$89,3,0)*VLOOKUP('Données projet'!$B$11,Paramètres!$A$1:$I$89,5,0)</f>
        <v>-3.177547114319168E-13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326.31232746914907</v>
      </c>
      <c r="BJ182" s="59">
        <f t="shared" si="146"/>
        <v>330.17137761430297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0.23888736532425398</v>
      </c>
      <c r="BQ182" s="21">
        <f>EXP(-LN(2)/25)*BQ181+(1-EXP(-LN(2)/25))/(LN(2)/25)*Calculateur!BL182*Calculateur!BN182*VLOOKUP('Données projet'!$B$11,Paramètres!$A$1:$I$89,3,0)*0.475*44/12</f>
        <v>0.48470664540405922</v>
      </c>
      <c r="BR182" s="21">
        <f>EXP(-LN(2)/2)*BR181+(1-EXP(-LN(2)/2))/(LN(2)/2)*BL182*BO182*VLOOKUP('Données projet'!$B$11,Paramètres!$A$1:$I$89,3,0)*0.475*44/12</f>
        <v>1.2174292967574042E-21</v>
      </c>
      <c r="BS182" s="22">
        <f t="shared" si="169"/>
        <v>0.7235940107283132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-2.2737367544323206E-13</v>
      </c>
      <c r="BZ182" s="13">
        <f>BY182*VLOOKUP('Données projet'!$B$12,Paramètres!$A$1:$I$89,3,0)*VLOOKUP('Données projet'!$B$12,Paramètres!$A$1:$I$89,5,0)</f>
        <v>-1.8089849618263545E-13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314.94704727988847</v>
      </c>
      <c r="CE182" s="59">
        <f t="shared" si="148"/>
        <v>366.49199094166454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0.20477142129116027</v>
      </c>
      <c r="CL182" s="21">
        <f>EXP(-LN(2)/25)*CL181+(1-EXP(-LN(2)/25))/(LN(2)/25)*Calculateur!CG182*Calculateur!CI182*VLOOKUP('Données projet'!$B$12,Paramètres!$A$1:$I$89,3,0)*0.475*44/12</f>
        <v>0.40814340410266181</v>
      </c>
      <c r="CM182" s="21">
        <f>EXP(-LN(2)/2)*CM181+(1-EXP(-LN(2)/2))/(LN(2)/2)*CG182*CJ182*VLOOKUP('Données projet'!$B$12,Paramètres!$A$1:$I$89,3,0)*0.475*44/12</f>
        <v>1.0806887303209637E-21</v>
      </c>
      <c r="CN182" s="22">
        <f t="shared" si="172"/>
        <v>0.61291482539382214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-5.6843418860808015E-13</v>
      </c>
      <c r="CU182" s="17">
        <f>CT182*VLOOKUP('Données projet'!$B$13,Paramètres!$A$1:$I$89,3,0)*VLOOKUP('Données projet'!$B$13,Paramètres!$A$1:$I$89,5,0)</f>
        <v>-4.4337866711430256E-13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261.59434871103355</v>
      </c>
      <c r="CZ182" s="59">
        <f t="shared" si="150"/>
        <v>194.97518096665976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0.10858516605647904</v>
      </c>
      <c r="DG182" s="21">
        <f>EXP(-LN(2)/25)*DG181+(1-EXP(-LN(2)/25))/(LN(2)/25)*Calculateur!DB182*Calculateur!DD182*VLOOKUP('Données projet'!$B$13,Paramètres!$A$1:$I$89,3,0)*0.475*44/12</f>
        <v>0.18772372117110486</v>
      </c>
      <c r="DH182" s="21">
        <f>EXP(-LN(2)/2)*DH181+(1-EXP(-LN(2)/2))/(LN(2)/2)*DB182*DE182*VLOOKUP('Données projet'!$B$13,Paramètres!$A$1:$I$89,3,0)*0.475*44/12</f>
        <v>7.0156603992623501E-22</v>
      </c>
      <c r="DI182" s="22">
        <f t="shared" si="175"/>
        <v>0.29630888722758392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-1.0286385077051818E-13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237.22177246688199</v>
      </c>
      <c r="T183" s="59">
        <f t="shared" si="142"/>
        <v>149.27472147904302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</v>
      </c>
      <c r="AA183" s="21">
        <f>EXP(-LN(2)/25)*AA182+(1-EXP(-LN(2)/25))/(LN(2)/25)*Calculateur!V183*Calculateur!X183*VLOOKUP('Données projet'!$B$9,Paramètres!$A$1:$I$89,3,0)*0.475*44/12</f>
        <v>4.8530283945154948E-2</v>
      </c>
      <c r="AB183" s="21">
        <f>EXP(-LN(2)/2)*AB182+(1-EXP(-LN(2)/2))/(LN(2)/2)*V183*Y183*VLOOKUP('Données projet'!$B$9,Paramètres!$A$1:$I$89,3,0)*0.475*44/12</f>
        <v>1.6383067358495597E-22</v>
      </c>
      <c r="AC183" s="22">
        <f t="shared" si="163"/>
        <v>4.8530283945154948E-2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243.38048563215585</v>
      </c>
      <c r="AO183" s="59">
        <f t="shared" si="144"/>
        <v>372.1604147006675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0.37472468767544143</v>
      </c>
      <c r="AV183" s="21">
        <f>EXP(-LN(2)/25)*AV182+(1-EXP(-LN(2)/25))/(LN(2)/25)*Calculateur!AQ183*Calculateur!AS183*VLOOKUP('Données projet'!$B$10,Paramètres!$A$1:$I$89,3,0)*0.475*44/12</f>
        <v>0.30253794584993987</v>
      </c>
      <c r="AW183" s="21">
        <f>EXP(-LN(2)/2)*AW182+(1-EXP(-LN(2)/2))/(LN(2)/2)*AQ183*AT183*VLOOKUP('Données projet'!$B$10,Paramètres!$A$1:$I$89,3,0)*0.475*44/12</f>
        <v>7.7595998000954396E-22</v>
      </c>
      <c r="AX183" s="21">
        <f t="shared" si="166"/>
        <v>0.6772626335253813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-5.6843418860808015E-13</v>
      </c>
      <c r="BE183" s="13">
        <f>BD183*VLOOKUP('Données projet'!$B$11,Paramètres!$A$1:$I$89,3,0)*VLOOKUP('Données projet'!$B$11,Paramètres!$A$1:$I$89,5,0)</f>
        <v>-3.177547114319168E-13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326.31232746914907</v>
      </c>
      <c r="BJ183" s="59">
        <f t="shared" si="146"/>
        <v>330.17137761430297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0.23420292979715085</v>
      </c>
      <c r="BQ183" s="21">
        <f>EXP(-LN(2)/25)*BQ182+(1-EXP(-LN(2)/25))/(LN(2)/25)*Calculateur!BL183*Calculateur!BN183*VLOOKUP('Données projet'!$B$11,Paramètres!$A$1:$I$89,3,0)*0.475*44/12</f>
        <v>0.47145231669587057</v>
      </c>
      <c r="BR183" s="21">
        <f>EXP(-LN(2)/2)*BR182+(1-EXP(-LN(2)/2))/(LN(2)/2)*BL183*BO183*VLOOKUP('Données projet'!$B$11,Paramètres!$A$1:$I$89,3,0)*0.475*44/12</f>
        <v>8.6085251135233027E-22</v>
      </c>
      <c r="BS183" s="22">
        <f t="shared" si="169"/>
        <v>0.70565524649302147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-2.2737367544323206E-13</v>
      </c>
      <c r="BZ183" s="13">
        <f>BY183*VLOOKUP('Données projet'!$B$12,Paramètres!$A$1:$I$89,3,0)*VLOOKUP('Données projet'!$B$12,Paramètres!$A$1:$I$89,5,0)</f>
        <v>-1.8089849618263545E-13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314.94704727988847</v>
      </c>
      <c r="CE183" s="59">
        <f t="shared" si="148"/>
        <v>366.49199094166454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0.20075597861787492</v>
      </c>
      <c r="CL183" s="21">
        <f>EXP(-LN(2)/25)*CL182+(1-EXP(-LN(2)/25))/(LN(2)/25)*Calculateur!CG183*Calculateur!CI183*VLOOKUP('Données projet'!$B$12,Paramètres!$A$1:$I$89,3,0)*0.475*44/12</f>
        <v>0.39698270125414575</v>
      </c>
      <c r="CM183" s="21">
        <f>EXP(-LN(2)/2)*CM182+(1-EXP(-LN(2)/2))/(LN(2)/2)*CG183*CJ183*VLOOKUP('Données projet'!$B$12,Paramètres!$A$1:$I$89,3,0)*0.475*44/12</f>
        <v>7.6416232956183355E-22</v>
      </c>
      <c r="CN183" s="22">
        <f t="shared" si="172"/>
        <v>0.59773867987202067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-5.6843418860808015E-13</v>
      </c>
      <c r="CU183" s="17">
        <f>CT183*VLOOKUP('Données projet'!$B$13,Paramètres!$A$1:$I$89,3,0)*VLOOKUP('Données projet'!$B$13,Paramètres!$A$1:$I$89,5,0)</f>
        <v>-4.4337866711430256E-13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261.59434871103355</v>
      </c>
      <c r="CZ183" s="59">
        <f t="shared" si="150"/>
        <v>194.97518096665976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0.10645587718052307</v>
      </c>
      <c r="DG183" s="21">
        <f>EXP(-LN(2)/25)*DG182+(1-EXP(-LN(2)/25))/(LN(2)/25)*Calculateur!DB183*Calculateur!DD183*VLOOKUP('Données projet'!$B$13,Paramètres!$A$1:$I$89,3,0)*0.475*44/12</f>
        <v>0.18259040614371955</v>
      </c>
      <c r="DH183" s="21">
        <f>EXP(-LN(2)/2)*DH182+(1-EXP(-LN(2)/2))/(LN(2)/2)*DB183*DE183*VLOOKUP('Données projet'!$B$13,Paramètres!$A$1:$I$89,3,0)*0.475*44/12</f>
        <v>4.9608210428203292E-22</v>
      </c>
      <c r="DI183" s="22">
        <f t="shared" si="175"/>
        <v>0.28904628332424265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-1.0286385077051818E-13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237.22177246688199</v>
      </c>
      <c r="T184" s="59">
        <f t="shared" si="142"/>
        <v>149.27472147904302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</v>
      </c>
      <c r="AA184" s="21">
        <f>EXP(-LN(2)/25)*AA183+(1-EXP(-LN(2)/25))/(LN(2)/25)*Calculateur!V184*Calculateur!X184*VLOOKUP('Données projet'!$B$9,Paramètres!$A$1:$I$89,3,0)*0.475*44/12</f>
        <v>4.720322077857797E-2</v>
      </c>
      <c r="AB184" s="21">
        <f>EXP(-LN(2)/2)*AB183+(1-EXP(-LN(2)/2))/(LN(2)/2)*V184*Y184*VLOOKUP('Données projet'!$B$9,Paramètres!$A$1:$I$89,3,0)*0.475*44/12</f>
        <v>1.1584578025828215E-22</v>
      </c>
      <c r="AC184" s="22">
        <f t="shared" si="163"/>
        <v>4.720322077857797E-2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243.38048563215585</v>
      </c>
      <c r="AO184" s="59">
        <f t="shared" si="144"/>
        <v>372.1604147006675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0.36737656510961714</v>
      </c>
      <c r="AV184" s="21">
        <f>EXP(-LN(2)/25)*AV183+(1-EXP(-LN(2)/25))/(LN(2)/25)*Calculateur!AQ184*Calculateur!AS184*VLOOKUP('Données projet'!$B$10,Paramètres!$A$1:$I$89,3,0)*0.475*44/12</f>
        <v>0.29426502981089414</v>
      </c>
      <c r="AW184" s="21">
        <f>EXP(-LN(2)/2)*AW183+(1-EXP(-LN(2)/2))/(LN(2)/2)*AQ184*AT184*VLOOKUP('Données projet'!$B$10,Paramètres!$A$1:$I$89,3,0)*0.475*44/12</f>
        <v>5.4868656379412638E-22</v>
      </c>
      <c r="AX184" s="21">
        <f t="shared" si="166"/>
        <v>0.66164159492051122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-5.6843418860808015E-13</v>
      </c>
      <c r="BE184" s="13">
        <f>BD184*VLOOKUP('Données projet'!$B$11,Paramètres!$A$1:$I$89,3,0)*VLOOKUP('Données projet'!$B$11,Paramètres!$A$1:$I$89,5,0)</f>
        <v>-3.177547114319168E-13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326.31232746914907</v>
      </c>
      <c r="BJ184" s="59">
        <f t="shared" si="146"/>
        <v>330.17137761430297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0.22961035319351067</v>
      </c>
      <c r="BQ184" s="21">
        <f>EXP(-LN(2)/25)*BQ183+(1-EXP(-LN(2)/25))/(LN(2)/25)*Calculateur!BL184*Calculateur!BN184*VLOOKUP('Données projet'!$B$11,Paramètres!$A$1:$I$89,3,0)*0.475*44/12</f>
        <v>0.45856042830322219</v>
      </c>
      <c r="BR184" s="21">
        <f>EXP(-LN(2)/2)*BR183+(1-EXP(-LN(2)/2))/(LN(2)/2)*BL184*BO184*VLOOKUP('Données projet'!$B$11,Paramètres!$A$1:$I$89,3,0)*0.475*44/12</f>
        <v>6.0871464837870211E-22</v>
      </c>
      <c r="BS184" s="22">
        <f t="shared" si="169"/>
        <v>0.68817078149673283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-2.2737367544323206E-13</v>
      </c>
      <c r="BZ184" s="13">
        <f>BY184*VLOOKUP('Données projet'!$B$12,Paramètres!$A$1:$I$89,3,0)*VLOOKUP('Données projet'!$B$12,Paramètres!$A$1:$I$89,5,0)</f>
        <v>-1.8089849618263545E-13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314.94704727988847</v>
      </c>
      <c r="CE184" s="59">
        <f t="shared" si="148"/>
        <v>366.49199094166454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0.1968192763262345</v>
      </c>
      <c r="CL184" s="21">
        <f>EXP(-LN(2)/25)*CL183+(1-EXP(-LN(2)/25))/(LN(2)/25)*Calculateur!CG184*Calculateur!CI184*VLOOKUP('Données projet'!$B$12,Paramètres!$A$1:$I$89,3,0)*0.475*44/12</f>
        <v>0.38612718841193822</v>
      </c>
      <c r="CM184" s="21">
        <f>EXP(-LN(2)/2)*CM183+(1-EXP(-LN(2)/2))/(LN(2)/2)*CG184*CJ184*VLOOKUP('Données projet'!$B$12,Paramètres!$A$1:$I$89,3,0)*0.475*44/12</f>
        <v>5.4034436516048184E-22</v>
      </c>
      <c r="CN184" s="22">
        <f t="shared" si="172"/>
        <v>0.58294646473817269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-5.6843418860808015E-13</v>
      </c>
      <c r="CU184" s="17">
        <f>CT184*VLOOKUP('Données projet'!$B$13,Paramètres!$A$1:$I$89,3,0)*VLOOKUP('Données projet'!$B$13,Paramètres!$A$1:$I$89,5,0)</f>
        <v>-4.4337866711430256E-13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261.59434871103355</v>
      </c>
      <c r="CZ184" s="59">
        <f t="shared" si="150"/>
        <v>194.97518096665976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0.10436834236068662</v>
      </c>
      <c r="DG184" s="21">
        <f>EXP(-LN(2)/25)*DG183+(1-EXP(-LN(2)/25))/(LN(2)/25)*Calculateur!DB184*Calculateur!DD184*VLOOKUP('Données projet'!$B$13,Paramètres!$A$1:$I$89,3,0)*0.475*44/12</f>
        <v>0.17759746188570738</v>
      </c>
      <c r="DH184" s="21">
        <f>EXP(-LN(2)/2)*DH183+(1-EXP(-LN(2)/2))/(LN(2)/2)*DB184*DE184*VLOOKUP('Données projet'!$B$13,Paramètres!$A$1:$I$89,3,0)*0.475*44/12</f>
        <v>3.507830199631175E-22</v>
      </c>
      <c r="DI184" s="22">
        <f t="shared" si="175"/>
        <v>0.281965804246394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-1.0286385077051818E-13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237.22177246688199</v>
      </c>
      <c r="T185" s="59">
        <f t="shared" si="142"/>
        <v>149.27472147904302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</v>
      </c>
      <c r="AA185" s="21">
        <f>EXP(-LN(2)/25)*AA184+(1-EXP(-LN(2)/25))/(LN(2)/25)*Calculateur!V185*Calculateur!X185*VLOOKUP('Données projet'!$B$9,Paramètres!$A$1:$I$89,3,0)*0.475*44/12</f>
        <v>4.5912446224078259E-2</v>
      </c>
      <c r="AB185" s="21">
        <f>EXP(-LN(2)/2)*AB184+(1-EXP(-LN(2)/2))/(LN(2)/2)*V185*Y185*VLOOKUP('Données projet'!$B$9,Paramètres!$A$1:$I$89,3,0)*0.475*44/12</f>
        <v>8.1915336792477985E-23</v>
      </c>
      <c r="AC185" s="22">
        <f t="shared" si="163"/>
        <v>4.5912446224078259E-2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243.38048563215585</v>
      </c>
      <c r="AO185" s="59">
        <f t="shared" si="144"/>
        <v>372.1604147006675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0.36017253474539646</v>
      </c>
      <c r="AV185" s="21">
        <f>EXP(-LN(2)/25)*AV184+(1-EXP(-LN(2)/25))/(LN(2)/25)*Calculateur!AQ185*Calculateur!AS185*VLOOKUP('Données projet'!$B$10,Paramètres!$A$1:$I$89,3,0)*0.475*44/12</f>
        <v>0.28621833709598987</v>
      </c>
      <c r="AW185" s="21">
        <f>EXP(-LN(2)/2)*AW184+(1-EXP(-LN(2)/2))/(LN(2)/2)*AQ185*AT185*VLOOKUP('Données projet'!$B$10,Paramètres!$A$1:$I$89,3,0)*0.475*44/12</f>
        <v>3.8797999000477198E-22</v>
      </c>
      <c r="AX185" s="21">
        <f t="shared" si="166"/>
        <v>0.64639087184138633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-5.6843418860808015E-13</v>
      </c>
      <c r="BE185" s="13">
        <f>BD185*VLOOKUP('Données projet'!$B$11,Paramètres!$A$1:$I$89,3,0)*VLOOKUP('Données projet'!$B$11,Paramètres!$A$1:$I$89,5,0)</f>
        <v>-3.177547114319168E-13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326.31232746914907</v>
      </c>
      <c r="BJ185" s="59">
        <f t="shared" si="146"/>
        <v>330.17137761430297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0.22510783421587274</v>
      </c>
      <c r="BQ185" s="21">
        <f>EXP(-LN(2)/25)*BQ184+(1-EXP(-LN(2)/25))/(LN(2)/25)*Calculateur!BL185*Calculateur!BN185*VLOOKUP('Données projet'!$B$11,Paramètres!$A$1:$I$89,3,0)*0.475*44/12</f>
        <v>0.44602106927662571</v>
      </c>
      <c r="BR185" s="21">
        <f>EXP(-LN(2)/2)*BR184+(1-EXP(-LN(2)/2))/(LN(2)/2)*BL185*BO185*VLOOKUP('Données projet'!$B$11,Paramètres!$A$1:$I$89,3,0)*0.475*44/12</f>
        <v>4.3042625567616513E-22</v>
      </c>
      <c r="BS185" s="22">
        <f t="shared" si="169"/>
        <v>0.67112890349249843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-2.2737367544323206E-13</v>
      </c>
      <c r="BZ185" s="13">
        <f>BY185*VLOOKUP('Données projet'!$B$12,Paramètres!$A$1:$I$89,3,0)*VLOOKUP('Données projet'!$B$12,Paramètres!$A$1:$I$89,5,0)</f>
        <v>-1.8089849618263545E-13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314.94704727988847</v>
      </c>
      <c r="CE185" s="59">
        <f t="shared" si="148"/>
        <v>366.49199094166454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0.19295977036538187</v>
      </c>
      <c r="CL185" s="21">
        <f>EXP(-LN(2)/25)*CL184+(1-EXP(-LN(2)/25))/(LN(2)/25)*Calculateur!CG185*Calculateur!CI185*VLOOKUP('Données projet'!$B$12,Paramètres!$A$1:$I$89,3,0)*0.475*44/12</f>
        <v>0.37556852013926745</v>
      </c>
      <c r="CM185" s="21">
        <f>EXP(-LN(2)/2)*CM184+(1-EXP(-LN(2)/2))/(LN(2)/2)*CG185*CJ185*VLOOKUP('Données projet'!$B$12,Paramètres!$A$1:$I$89,3,0)*0.475*44/12</f>
        <v>3.8208116478091677E-22</v>
      </c>
      <c r="CN185" s="22">
        <f t="shared" si="172"/>
        <v>0.56852829050464937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-5.6843418860808015E-13</v>
      </c>
      <c r="CU185" s="17">
        <f>CT185*VLOOKUP('Données projet'!$B$13,Paramètres!$A$1:$I$89,3,0)*VLOOKUP('Données projet'!$B$13,Paramètres!$A$1:$I$89,5,0)</f>
        <v>-4.4337866711430256E-13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261.59434871103355</v>
      </c>
      <c r="CZ185" s="59">
        <f t="shared" si="150"/>
        <v>194.97518096665976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0.10232174282539665</v>
      </c>
      <c r="DG185" s="21">
        <f>EXP(-LN(2)/25)*DG184+(1-EXP(-LN(2)/25))/(LN(2)/25)*Calculateur!DB185*Calculateur!DD185*VLOOKUP('Données projet'!$B$13,Paramètres!$A$1:$I$89,3,0)*0.475*44/12</f>
        <v>0.17274104995099809</v>
      </c>
      <c r="DH185" s="21">
        <f>EXP(-LN(2)/2)*DH184+(1-EXP(-LN(2)/2))/(LN(2)/2)*DB185*DE185*VLOOKUP('Données projet'!$B$13,Paramètres!$A$1:$I$89,3,0)*0.475*44/12</f>
        <v>2.4804105214101646E-22</v>
      </c>
      <c r="DI185" s="22">
        <f t="shared" si="175"/>
        <v>0.27506279277639473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-1.0286385077051818E-13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237.22177246688199</v>
      </c>
      <c r="T186" s="59">
        <f t="shared" si="142"/>
        <v>149.27472147904302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</v>
      </c>
      <c r="AA186" s="21">
        <f>EXP(-LN(2)/25)*AA185+(1-EXP(-LN(2)/25))/(LN(2)/25)*Calculateur!V186*Calculateur!X186*VLOOKUP('Données projet'!$B$9,Paramètres!$A$1:$I$89,3,0)*0.475*44/12</f>
        <v>4.4656967967650223E-2</v>
      </c>
      <c r="AB186" s="21">
        <f>EXP(-LN(2)/2)*AB185+(1-EXP(-LN(2)/2))/(LN(2)/2)*V186*Y186*VLOOKUP('Données projet'!$B$9,Paramètres!$A$1:$I$89,3,0)*0.475*44/12</f>
        <v>5.7922890129141075E-23</v>
      </c>
      <c r="AC186" s="22">
        <f t="shared" si="163"/>
        <v>4.4656967967650223E-2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243.38048563215585</v>
      </c>
      <c r="AO186" s="59">
        <f t="shared" si="144"/>
        <v>372.1604147006675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0.3531097710225935</v>
      </c>
      <c r="AV186" s="21">
        <f>EXP(-LN(2)/25)*AV185+(1-EXP(-LN(2)/25))/(LN(2)/25)*Calculateur!AQ186*Calculateur!AS186*VLOOKUP('Données projet'!$B$10,Paramètres!$A$1:$I$89,3,0)*0.475*44/12</f>
        <v>0.27839168161653183</v>
      </c>
      <c r="AW186" s="21">
        <f>EXP(-LN(2)/2)*AW185+(1-EXP(-LN(2)/2))/(LN(2)/2)*AQ186*AT186*VLOOKUP('Données projet'!$B$10,Paramètres!$A$1:$I$89,3,0)*0.475*44/12</f>
        <v>2.7434328189706319E-22</v>
      </c>
      <c r="AX186" s="21">
        <f t="shared" si="166"/>
        <v>0.63150145263912538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-5.6843418860808015E-13</v>
      </c>
      <c r="BE186" s="13">
        <f>BD186*VLOOKUP('Données projet'!$B$11,Paramètres!$A$1:$I$89,3,0)*VLOOKUP('Données projet'!$B$11,Paramètres!$A$1:$I$89,5,0)</f>
        <v>-3.177547114319168E-13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326.31232746914907</v>
      </c>
      <c r="BJ186" s="59">
        <f t="shared" si="146"/>
        <v>330.17137761430297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0.22069360688912087</v>
      </c>
      <c r="BQ186" s="21">
        <f>EXP(-LN(2)/25)*BQ185+(1-EXP(-LN(2)/25))/(LN(2)/25)*Calculateur!BL186*Calculateur!BN186*VLOOKUP('Données projet'!$B$11,Paramètres!$A$1:$I$89,3,0)*0.475*44/12</f>
        <v>0.43382459968202775</v>
      </c>
      <c r="BR186" s="21">
        <f>EXP(-LN(2)/2)*BR185+(1-EXP(-LN(2)/2))/(LN(2)/2)*BL186*BO186*VLOOKUP('Données projet'!$B$11,Paramètres!$A$1:$I$89,3,0)*0.475*44/12</f>
        <v>3.0435732418935106E-22</v>
      </c>
      <c r="BS186" s="22">
        <f t="shared" si="169"/>
        <v>0.65451820657114856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-2.2737367544323206E-13</v>
      </c>
      <c r="BZ186" s="13">
        <f>BY186*VLOOKUP('Données projet'!$B$12,Paramètres!$A$1:$I$89,3,0)*VLOOKUP('Données projet'!$B$12,Paramètres!$A$1:$I$89,5,0)</f>
        <v>-1.8089849618263545E-13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314.94704727988847</v>
      </c>
      <c r="CE186" s="59">
        <f t="shared" si="148"/>
        <v>366.49199094166454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0.18917594696235535</v>
      </c>
      <c r="CL186" s="21">
        <f>EXP(-LN(2)/25)*CL185+(1-EXP(-LN(2)/25))/(LN(2)/25)*Calculateur!CG186*Calculateur!CI186*VLOOKUP('Données projet'!$B$12,Paramètres!$A$1:$I$89,3,0)*0.475*44/12</f>
        <v>0.36529857920576908</v>
      </c>
      <c r="CM186" s="21">
        <f>EXP(-LN(2)/2)*CM185+(1-EXP(-LN(2)/2))/(LN(2)/2)*CG186*CJ186*VLOOKUP('Données projet'!$B$12,Paramètres!$A$1:$I$89,3,0)*0.475*44/12</f>
        <v>2.7017218258024092E-22</v>
      </c>
      <c r="CN186" s="22">
        <f t="shared" si="172"/>
        <v>0.55447452616812443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-5.6843418860808015E-13</v>
      </c>
      <c r="CU186" s="17">
        <f>CT186*VLOOKUP('Données projet'!$B$13,Paramètres!$A$1:$I$89,3,0)*VLOOKUP('Données projet'!$B$13,Paramètres!$A$1:$I$89,5,0)</f>
        <v>-4.4337866711430256E-13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261.59434871103355</v>
      </c>
      <c r="CZ186" s="59">
        <f t="shared" si="150"/>
        <v>194.97518096665976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0.10031527585869125</v>
      </c>
      <c r="DG186" s="21">
        <f>EXP(-LN(2)/25)*DG185+(1-EXP(-LN(2)/25))/(LN(2)/25)*Calculateur!DB186*Calculateur!DD186*VLOOKUP('Données projet'!$B$13,Paramètres!$A$1:$I$89,3,0)*0.475*44/12</f>
        <v>0.16801743685603104</v>
      </c>
      <c r="DH186" s="21">
        <f>EXP(-LN(2)/2)*DH185+(1-EXP(-LN(2)/2))/(LN(2)/2)*DB186*DE186*VLOOKUP('Données projet'!$B$13,Paramètres!$A$1:$I$89,3,0)*0.475*44/12</f>
        <v>1.7539150998155875E-22</v>
      </c>
      <c r="DI186" s="22">
        <f t="shared" si="175"/>
        <v>0.26833271271472231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-1.0286385077051818E-13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237.22177246688199</v>
      </c>
      <c r="T187" s="59">
        <f t="shared" si="142"/>
        <v>149.27472147904302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</v>
      </c>
      <c r="AA187" s="21">
        <f>EXP(-LN(2)/25)*AA186+(1-EXP(-LN(2)/25))/(LN(2)/25)*Calculateur!V187*Calculateur!X187*VLOOKUP('Données projet'!$B$9,Paramètres!$A$1:$I$89,3,0)*0.475*44/12</f>
        <v>4.3435820830166949E-2</v>
      </c>
      <c r="AB187" s="21">
        <f>EXP(-LN(2)/2)*AB186+(1-EXP(-LN(2)/2))/(LN(2)/2)*V187*Y187*VLOOKUP('Données projet'!$B$9,Paramètres!$A$1:$I$89,3,0)*0.475*44/12</f>
        <v>4.0957668396238992E-23</v>
      </c>
      <c r="AC187" s="22">
        <f t="shared" si="163"/>
        <v>4.3435820830166949E-2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243.38048563215585</v>
      </c>
      <c r="AO187" s="59">
        <f t="shared" si="144"/>
        <v>372.1604147006675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0.34618550378853419</v>
      </c>
      <c r="AV187" s="21">
        <f>EXP(-LN(2)/25)*AV186+(1-EXP(-LN(2)/25))/(LN(2)/25)*Calculateur!AQ187*Calculateur!AS187*VLOOKUP('Données projet'!$B$10,Paramètres!$A$1:$I$89,3,0)*0.475*44/12</f>
        <v>0.27077904644274547</v>
      </c>
      <c r="AW187" s="21">
        <f>EXP(-LN(2)/2)*AW186+(1-EXP(-LN(2)/2))/(LN(2)/2)*AQ187*AT187*VLOOKUP('Données projet'!$B$10,Paramètres!$A$1:$I$89,3,0)*0.475*44/12</f>
        <v>1.9398999500238599E-22</v>
      </c>
      <c r="AX187" s="21">
        <f t="shared" si="166"/>
        <v>0.61696455023127972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-5.6843418860808015E-13</v>
      </c>
      <c r="BE187" s="13">
        <f>BD187*VLOOKUP('Données projet'!$B$11,Paramètres!$A$1:$I$89,3,0)*VLOOKUP('Données projet'!$B$11,Paramètres!$A$1:$I$89,5,0)</f>
        <v>-3.177547114319168E-13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326.31232746914907</v>
      </c>
      <c r="BJ187" s="59">
        <f t="shared" si="146"/>
        <v>330.17137761430297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0.21636593986783381</v>
      </c>
      <c r="BQ187" s="21">
        <f>EXP(-LN(2)/25)*BQ186+(1-EXP(-LN(2)/25))/(LN(2)/25)*Calculateur!BL187*Calculateur!BN187*VLOOKUP('Données projet'!$B$11,Paramètres!$A$1:$I$89,3,0)*0.475*44/12</f>
        <v>0.4219616431898785</v>
      </c>
      <c r="BR187" s="21">
        <f>EXP(-LN(2)/2)*BR186+(1-EXP(-LN(2)/2))/(LN(2)/2)*BL187*BO187*VLOOKUP('Données projet'!$B$11,Paramètres!$A$1:$I$89,3,0)*0.475*44/12</f>
        <v>2.1521312783808257E-22</v>
      </c>
      <c r="BS187" s="22">
        <f t="shared" si="169"/>
        <v>0.63832758305771231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-2.2737367544323206E-13</v>
      </c>
      <c r="BZ187" s="13">
        <f>BY187*VLOOKUP('Données projet'!$B$12,Paramètres!$A$1:$I$89,3,0)*VLOOKUP('Données projet'!$B$12,Paramètres!$A$1:$I$89,5,0)</f>
        <v>-1.8089849618263545E-13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314.94704727988847</v>
      </c>
      <c r="CE187" s="59">
        <f t="shared" si="148"/>
        <v>366.49199094166454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0.18546632202835778</v>
      </c>
      <c r="CL187" s="21">
        <f>EXP(-LN(2)/25)*CL186+(1-EXP(-LN(2)/25))/(LN(2)/25)*Calculateur!CG187*Calculateur!CI187*VLOOKUP('Données projet'!$B$12,Paramètres!$A$1:$I$89,3,0)*0.475*44/12</f>
        <v>0.35530947034716992</v>
      </c>
      <c r="CM187" s="21">
        <f>EXP(-LN(2)/2)*CM186+(1-EXP(-LN(2)/2))/(LN(2)/2)*CG187*CJ187*VLOOKUP('Données projet'!$B$12,Paramètres!$A$1:$I$89,3,0)*0.475*44/12</f>
        <v>1.9104058239045839E-22</v>
      </c>
      <c r="CN187" s="22">
        <f t="shared" si="172"/>
        <v>0.54077579237552764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-5.6843418860808015E-13</v>
      </c>
      <c r="CU187" s="17">
        <f>CT187*VLOOKUP('Données projet'!$B$13,Paramètres!$A$1:$I$89,3,0)*VLOOKUP('Données projet'!$B$13,Paramètres!$A$1:$I$89,5,0)</f>
        <v>-4.4337866711430256E-13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261.59434871103355</v>
      </c>
      <c r="CZ187" s="59">
        <f t="shared" si="150"/>
        <v>194.97518096665976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9.8348154485378952E-2</v>
      </c>
      <c r="DG187" s="21">
        <f>EXP(-LN(2)/25)*DG186+(1-EXP(-LN(2)/25))/(LN(2)/25)*Calculateur!DB187*Calculateur!DD187*VLOOKUP('Données projet'!$B$13,Paramètres!$A$1:$I$89,3,0)*0.475*44/12</f>
        <v>0.16342299120954987</v>
      </c>
      <c r="DH187" s="21">
        <f>EXP(-LN(2)/2)*DH186+(1-EXP(-LN(2)/2))/(LN(2)/2)*DB187*DE187*VLOOKUP('Données projet'!$B$13,Paramètres!$A$1:$I$89,3,0)*0.475*44/12</f>
        <v>1.2402052607050823E-22</v>
      </c>
      <c r="DI187" s="22">
        <f t="shared" si="175"/>
        <v>0.26177114569492882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-1.0286385077051818E-13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237.22177246688199</v>
      </c>
      <c r="T188" s="59">
        <f t="shared" si="142"/>
        <v>149.27472147904302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</v>
      </c>
      <c r="AA188" s="21">
        <f>EXP(-LN(2)/25)*AA187+(1-EXP(-LN(2)/25))/(LN(2)/25)*Calculateur!V188*Calculateur!X188*VLOOKUP('Données projet'!$B$9,Paramètres!$A$1:$I$89,3,0)*0.475*44/12</f>
        <v>4.2248066025375487E-2</v>
      </c>
      <c r="AB188" s="21">
        <f>EXP(-LN(2)/2)*AB187+(1-EXP(-LN(2)/2))/(LN(2)/2)*V188*Y188*VLOOKUP('Données projet'!$B$9,Paramètres!$A$1:$I$89,3,0)*0.475*44/12</f>
        <v>2.8961445064570538E-23</v>
      </c>
      <c r="AC188" s="22">
        <f t="shared" si="163"/>
        <v>4.2248066025375487E-2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243.38048563215585</v>
      </c>
      <c r="AO188" s="59">
        <f t="shared" si="144"/>
        <v>372.1604147006675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0.3393970172115488</v>
      </c>
      <c r="AV188" s="21">
        <f>EXP(-LN(2)/25)*AV187+(1-EXP(-LN(2)/25))/(LN(2)/25)*Calculateur!AQ188*Calculateur!AS188*VLOOKUP('Données projet'!$B$10,Paramètres!$A$1:$I$89,3,0)*0.475*44/12</f>
        <v>0.26337457917811741</v>
      </c>
      <c r="AW188" s="21">
        <f>EXP(-LN(2)/2)*AW187+(1-EXP(-LN(2)/2))/(LN(2)/2)*AQ188*AT188*VLOOKUP('Données projet'!$B$10,Paramètres!$A$1:$I$89,3,0)*0.475*44/12</f>
        <v>1.371716409485316E-22</v>
      </c>
      <c r="AX188" s="21">
        <f t="shared" si="166"/>
        <v>0.60277159638966626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-5.6843418860808015E-13</v>
      </c>
      <c r="BE188" s="13">
        <f>BD188*VLOOKUP('Données projet'!$B$11,Paramètres!$A$1:$I$89,3,0)*VLOOKUP('Données projet'!$B$11,Paramètres!$A$1:$I$89,5,0)</f>
        <v>-3.177547114319168E-13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326.31232746914907</v>
      </c>
      <c r="BJ188" s="59">
        <f t="shared" si="146"/>
        <v>330.17137761430297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0.21212313575721795</v>
      </c>
      <c r="BQ188" s="21">
        <f>EXP(-LN(2)/25)*BQ187+(1-EXP(-LN(2)/25))/(LN(2)/25)*Calculateur!BL188*Calculateur!BN188*VLOOKUP('Données projet'!$B$11,Paramètres!$A$1:$I$89,3,0)*0.475*44/12</f>
        <v>0.41042307986685284</v>
      </c>
      <c r="BR188" s="21">
        <f>EXP(-LN(2)/2)*BR187+(1-EXP(-LN(2)/2))/(LN(2)/2)*BL188*BO188*VLOOKUP('Données projet'!$B$11,Paramètres!$A$1:$I$89,3,0)*0.475*44/12</f>
        <v>1.5217866209467553E-22</v>
      </c>
      <c r="BS188" s="22">
        <f t="shared" si="169"/>
        <v>0.62254621562407075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-2.2737367544323206E-13</v>
      </c>
      <c r="BZ188" s="13">
        <f>BY188*VLOOKUP('Données projet'!$B$12,Paramètres!$A$1:$I$89,3,0)*VLOOKUP('Données projet'!$B$12,Paramètres!$A$1:$I$89,5,0)</f>
        <v>-1.8089849618263545E-13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314.94704727988847</v>
      </c>
      <c r="CE188" s="59">
        <f t="shared" si="148"/>
        <v>366.49199094166454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0.18182944057666811</v>
      </c>
      <c r="CL188" s="21">
        <f>EXP(-LN(2)/25)*CL187+(1-EXP(-LN(2)/25))/(LN(2)/25)*Calculateur!CG188*Calculateur!CI188*VLOOKUP('Données projet'!$B$12,Paramètres!$A$1:$I$89,3,0)*0.475*44/12</f>
        <v>0.34559351419561357</v>
      </c>
      <c r="CM188" s="21">
        <f>EXP(-LN(2)/2)*CM187+(1-EXP(-LN(2)/2))/(LN(2)/2)*CG188*CJ188*VLOOKUP('Données projet'!$B$12,Paramètres!$A$1:$I$89,3,0)*0.475*44/12</f>
        <v>1.3508609129012046E-22</v>
      </c>
      <c r="CN188" s="22">
        <f t="shared" si="172"/>
        <v>0.52742295477228174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-5.6843418860808015E-13</v>
      </c>
      <c r="CU188" s="17">
        <f>CT188*VLOOKUP('Données projet'!$B$13,Paramètres!$A$1:$I$89,3,0)*VLOOKUP('Données projet'!$B$13,Paramètres!$A$1:$I$89,5,0)</f>
        <v>-4.4337866711430256E-13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261.59434871103355</v>
      </c>
      <c r="CZ188" s="59">
        <f t="shared" si="150"/>
        <v>194.97518096665976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9.6419607162371732E-2</v>
      </c>
      <c r="DG188" s="21">
        <f>EXP(-LN(2)/25)*DG187+(1-EXP(-LN(2)/25))/(LN(2)/25)*Calculateur!DB188*Calculateur!DD188*VLOOKUP('Données projet'!$B$13,Paramètres!$A$1:$I$89,3,0)*0.475*44/12</f>
        <v>0.15895418092088312</v>
      </c>
      <c r="DH188" s="21">
        <f>EXP(-LN(2)/2)*DH187+(1-EXP(-LN(2)/2))/(LN(2)/2)*DB188*DE188*VLOOKUP('Données projet'!$B$13,Paramètres!$A$1:$I$89,3,0)*0.475*44/12</f>
        <v>8.7695754990779376E-23</v>
      </c>
      <c r="DI188" s="22">
        <f t="shared" si="175"/>
        <v>0.25537378808325484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-1.0286385077051818E-13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237.22177246688199</v>
      </c>
      <c r="T189" s="59">
        <f t="shared" si="142"/>
        <v>149.27472147904302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</v>
      </c>
      <c r="AA189" s="21">
        <f>EXP(-LN(2)/25)*AA188+(1-EXP(-LN(2)/25))/(LN(2)/25)*Calculateur!V189*Calculateur!X189*VLOOKUP('Données projet'!$B$9,Paramètres!$A$1:$I$89,3,0)*0.475*44/12</f>
        <v>4.1092790438182362E-2</v>
      </c>
      <c r="AB189" s="21">
        <f>EXP(-LN(2)/2)*AB188+(1-EXP(-LN(2)/2))/(LN(2)/2)*V189*Y189*VLOOKUP('Données projet'!$B$9,Paramètres!$A$1:$I$89,3,0)*0.475*44/12</f>
        <v>2.0478834198119496E-23</v>
      </c>
      <c r="AC189" s="22">
        <f t="shared" si="163"/>
        <v>4.1092790438182362E-2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243.38048563215585</v>
      </c>
      <c r="AO189" s="59">
        <f t="shared" si="144"/>
        <v>372.1604147006675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0.33274164871577011</v>
      </c>
      <c r="AV189" s="21">
        <f>EXP(-LN(2)/25)*AV188+(1-EXP(-LN(2)/25))/(LN(2)/25)*Calculateur!AQ189*Calculateur!AS189*VLOOKUP('Données projet'!$B$10,Paramètres!$A$1:$I$89,3,0)*0.475*44/12</f>
        <v>0.25617258746022464</v>
      </c>
      <c r="AW189" s="21">
        <f>EXP(-LN(2)/2)*AW188+(1-EXP(-LN(2)/2))/(LN(2)/2)*AQ189*AT189*VLOOKUP('Données projet'!$B$10,Paramètres!$A$1:$I$89,3,0)*0.475*44/12</f>
        <v>9.6994997501192995E-23</v>
      </c>
      <c r="AX189" s="21">
        <f t="shared" si="166"/>
        <v>0.5889142361759947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-5.6843418860808015E-13</v>
      </c>
      <c r="BE189" s="13">
        <f>BD189*VLOOKUP('Données projet'!$B$11,Paramètres!$A$1:$I$89,3,0)*VLOOKUP('Données projet'!$B$11,Paramètres!$A$1:$I$89,5,0)</f>
        <v>-3.177547114319168E-13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326.31232746914907</v>
      </c>
      <c r="BJ189" s="59">
        <f t="shared" si="146"/>
        <v>330.17137761430297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0.20796353044735627</v>
      </c>
      <c r="BQ189" s="21">
        <f>EXP(-LN(2)/25)*BQ188+(1-EXP(-LN(2)/25))/(LN(2)/25)*Calculateur!BL189*Calculateur!BN189*VLOOKUP('Données projet'!$B$11,Paramètres!$A$1:$I$89,3,0)*0.475*44/12</f>
        <v>0.399200039164682</v>
      </c>
      <c r="BR189" s="21">
        <f>EXP(-LN(2)/2)*BR188+(1-EXP(-LN(2)/2))/(LN(2)/2)*BL189*BO189*VLOOKUP('Données projet'!$B$11,Paramètres!$A$1:$I$89,3,0)*0.475*44/12</f>
        <v>1.0760656391904128E-22</v>
      </c>
      <c r="BS189" s="22">
        <f t="shared" si="169"/>
        <v>0.60716356961203832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-2.2737367544323206E-13</v>
      </c>
      <c r="BZ189" s="13">
        <f>BY189*VLOOKUP('Données projet'!$B$12,Paramètres!$A$1:$I$89,3,0)*VLOOKUP('Données projet'!$B$12,Paramètres!$A$1:$I$89,5,0)</f>
        <v>-1.8089849618263545E-13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314.94704727988847</v>
      </c>
      <c r="CE189" s="59">
        <f t="shared" si="148"/>
        <v>366.49199094166454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0.17826387615196745</v>
      </c>
      <c r="CL189" s="21">
        <f>EXP(-LN(2)/25)*CL188+(1-EXP(-LN(2)/25))/(LN(2)/25)*Calculateur!CG189*Calculateur!CI189*VLOOKUP('Données projet'!$B$12,Paramètres!$A$1:$I$89,3,0)*0.475*44/12</f>
        <v>0.33614324137596147</v>
      </c>
      <c r="CM189" s="21">
        <f>EXP(-LN(2)/2)*CM188+(1-EXP(-LN(2)/2))/(LN(2)/2)*CG189*CJ189*VLOOKUP('Données projet'!$B$12,Paramètres!$A$1:$I$89,3,0)*0.475*44/12</f>
        <v>9.5520291195229193E-23</v>
      </c>
      <c r="CN189" s="22">
        <f t="shared" si="172"/>
        <v>0.51440711752792889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-5.6843418860808015E-13</v>
      </c>
      <c r="CU189" s="17">
        <f>CT189*VLOOKUP('Données projet'!$B$13,Paramètres!$A$1:$I$89,3,0)*VLOOKUP('Données projet'!$B$13,Paramètres!$A$1:$I$89,5,0)</f>
        <v>-4.4337866711430256E-13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261.59434871103355</v>
      </c>
      <c r="CZ189" s="59">
        <f t="shared" si="150"/>
        <v>194.97518096665976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9.4528877476070972E-2</v>
      </c>
      <c r="DG189" s="21">
        <f>EXP(-LN(2)/25)*DG188+(1-EXP(-LN(2)/25))/(LN(2)/25)*Calculateur!DB189*Calculateur!DD189*VLOOKUP('Données projet'!$B$13,Paramètres!$A$1:$I$89,3,0)*0.475*44/12</f>
        <v>0.1546075704845645</v>
      </c>
      <c r="DH189" s="21">
        <f>EXP(-LN(2)/2)*DH188+(1-EXP(-LN(2)/2))/(LN(2)/2)*DB189*DE189*VLOOKUP('Données projet'!$B$13,Paramètres!$A$1:$I$89,3,0)*0.475*44/12</f>
        <v>6.2010263035254115E-23</v>
      </c>
      <c r="DI189" s="22">
        <f t="shared" si="175"/>
        <v>0.24913644796063547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-1.0286385077051818E-13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237.22177246688199</v>
      </c>
      <c r="T190" s="59">
        <f t="shared" si="142"/>
        <v>149.27472147904302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</v>
      </c>
      <c r="AA190" s="21">
        <f>EXP(-LN(2)/25)*AA189+(1-EXP(-LN(2)/25))/(LN(2)/25)*Calculateur!V190*Calculateur!X190*VLOOKUP('Données projet'!$B$9,Paramètres!$A$1:$I$89,3,0)*0.475*44/12</f>
        <v>3.9969105922674338E-2</v>
      </c>
      <c r="AB190" s="21">
        <f>EXP(-LN(2)/2)*AB189+(1-EXP(-LN(2)/2))/(LN(2)/2)*V190*Y190*VLOOKUP('Données projet'!$B$9,Paramètres!$A$1:$I$89,3,0)*0.475*44/12</f>
        <v>1.4480722532285269E-23</v>
      </c>
      <c r="AC190" s="22">
        <f t="shared" si="163"/>
        <v>3.9969105922674338E-2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243.38048563215585</v>
      </c>
      <c r="AO190" s="59">
        <f t="shared" si="144"/>
        <v>372.1604147006675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0.32621678793681969</v>
      </c>
      <c r="AV190" s="21">
        <f>EXP(-LN(2)/25)*AV189+(1-EXP(-LN(2)/25))/(LN(2)/25)*Calculateur!AQ190*Calculateur!AS190*VLOOKUP('Données projet'!$B$10,Paramètres!$A$1:$I$89,3,0)*0.475*44/12</f>
        <v>0.24916753458459392</v>
      </c>
      <c r="AW190" s="21">
        <f>EXP(-LN(2)/2)*AW189+(1-EXP(-LN(2)/2))/(LN(2)/2)*AQ190*AT190*VLOOKUP('Données projet'!$B$10,Paramètres!$A$1:$I$89,3,0)*0.475*44/12</f>
        <v>6.8585820474265798E-23</v>
      </c>
      <c r="AX190" s="21">
        <f t="shared" si="166"/>
        <v>0.57538432252141358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-5.6843418860808015E-13</v>
      </c>
      <c r="BE190" s="13">
        <f>BD190*VLOOKUP('Données projet'!$B$11,Paramètres!$A$1:$I$89,3,0)*VLOOKUP('Données projet'!$B$11,Paramètres!$A$1:$I$89,5,0)</f>
        <v>-3.177547114319168E-13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326.31232746914907</v>
      </c>
      <c r="BJ190" s="59">
        <f t="shared" si="146"/>
        <v>330.17137761430297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0.20388549246051227</v>
      </c>
      <c r="BQ190" s="21">
        <f>EXP(-LN(2)/25)*BQ189+(1-EXP(-LN(2)/25))/(LN(2)/25)*Calculateur!BL190*Calculateur!BN190*VLOOKUP('Données projet'!$B$11,Paramètres!$A$1:$I$89,3,0)*0.475*44/12</f>
        <v>0.3882838931007061</v>
      </c>
      <c r="BR190" s="21">
        <f>EXP(-LN(2)/2)*BR189+(1-EXP(-LN(2)/2))/(LN(2)/2)*BL190*BO190*VLOOKUP('Données projet'!$B$11,Paramètres!$A$1:$I$89,3,0)*0.475*44/12</f>
        <v>7.6089331047337764E-23</v>
      </c>
      <c r="BS190" s="22">
        <f t="shared" si="169"/>
        <v>0.59216938556121834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-2.2737367544323206E-13</v>
      </c>
      <c r="BZ190" s="13">
        <f>BY190*VLOOKUP('Données projet'!$B$12,Paramètres!$A$1:$I$89,3,0)*VLOOKUP('Données projet'!$B$12,Paramètres!$A$1:$I$89,5,0)</f>
        <v>-1.8089849618263545E-13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314.94704727988847</v>
      </c>
      <c r="CE190" s="59">
        <f t="shared" si="148"/>
        <v>366.49199094166454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0.17476823027085561</v>
      </c>
      <c r="CL190" s="21">
        <f>EXP(-LN(2)/25)*CL189+(1-EXP(-LN(2)/25))/(LN(2)/25)*Calculateur!CG190*Calculateur!CI190*VLOOKUP('Données projet'!$B$12,Paramètres!$A$1:$I$89,3,0)*0.475*44/12</f>
        <v>0.32695138676353103</v>
      </c>
      <c r="CM190" s="21">
        <f>EXP(-LN(2)/2)*CM189+(1-EXP(-LN(2)/2))/(LN(2)/2)*CG190*CJ190*VLOOKUP('Données projet'!$B$12,Paramètres!$A$1:$I$89,3,0)*0.475*44/12</f>
        <v>6.754304564506023E-23</v>
      </c>
      <c r="CN190" s="22">
        <f t="shared" si="172"/>
        <v>0.50171961703438661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-5.6843418860808015E-13</v>
      </c>
      <c r="CU190" s="17">
        <f>CT190*VLOOKUP('Données projet'!$B$13,Paramètres!$A$1:$I$89,3,0)*VLOOKUP('Données projet'!$B$13,Paramètres!$A$1:$I$89,5,0)</f>
        <v>-4.4337866711430256E-13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261.59434871103355</v>
      </c>
      <c r="CZ190" s="59">
        <f t="shared" si="150"/>
        <v>194.97518096665976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9.2675223845687327E-2</v>
      </c>
      <c r="DG190" s="21">
        <f>EXP(-LN(2)/25)*DG189+(1-EXP(-LN(2)/25))/(LN(2)/25)*Calculateur!DB190*Calculateur!DD190*VLOOKUP('Données projet'!$B$13,Paramètres!$A$1:$I$89,3,0)*0.475*44/12</f>
        <v>0.1503798183392053</v>
      </c>
      <c r="DH190" s="21">
        <f>EXP(-LN(2)/2)*DH189+(1-EXP(-LN(2)/2))/(LN(2)/2)*DB190*DE190*VLOOKUP('Données projet'!$B$13,Paramètres!$A$1:$I$89,3,0)*0.475*44/12</f>
        <v>4.3847877495389688E-23</v>
      </c>
      <c r="DI190" s="22">
        <f t="shared" si="175"/>
        <v>0.24305504218489263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-1.0286385077051818E-13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237.22177246688199</v>
      </c>
      <c r="T191" s="59">
        <f t="shared" si="142"/>
        <v>149.27472147904302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</v>
      </c>
      <c r="AA191" s="21">
        <f>EXP(-LN(2)/25)*AA190+(1-EXP(-LN(2)/25))/(LN(2)/25)*Calculateur!V191*Calculateur!X191*VLOOKUP('Données projet'!$B$9,Paramètres!$A$1:$I$89,3,0)*0.475*44/12</f>
        <v>3.8876148619334881E-2</v>
      </c>
      <c r="AB191" s="21">
        <f>EXP(-LN(2)/2)*AB190+(1-EXP(-LN(2)/2))/(LN(2)/2)*V191*Y191*VLOOKUP('Données projet'!$B$9,Paramètres!$A$1:$I$89,3,0)*0.475*44/12</f>
        <v>1.0239417099059748E-23</v>
      </c>
      <c r="AC191" s="22">
        <f t="shared" si="163"/>
        <v>3.8876148619334881E-2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243.38048563215585</v>
      </c>
      <c r="AO191" s="59">
        <f t="shared" si="144"/>
        <v>372.1604147006675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0.31981987569797238</v>
      </c>
      <c r="AV191" s="21">
        <f>EXP(-LN(2)/25)*AV190+(1-EXP(-LN(2)/25))/(LN(2)/25)*Calculateur!AQ191*Calculateur!AS191*VLOOKUP('Données projet'!$B$10,Paramètres!$A$1:$I$89,3,0)*0.475*44/12</f>
        <v>0.24235403524822705</v>
      </c>
      <c r="AW191" s="21">
        <f>EXP(-LN(2)/2)*AW190+(1-EXP(-LN(2)/2))/(LN(2)/2)*AQ191*AT191*VLOOKUP('Données projet'!$B$10,Paramètres!$A$1:$I$89,3,0)*0.475*44/12</f>
        <v>4.8497498750596497E-23</v>
      </c>
      <c r="AX191" s="21">
        <f t="shared" si="166"/>
        <v>0.5621739109461994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-5.6843418860808015E-13</v>
      </c>
      <c r="BE191" s="13">
        <f>BD191*VLOOKUP('Données projet'!$B$11,Paramètres!$A$1:$I$89,3,0)*VLOOKUP('Données projet'!$B$11,Paramètres!$A$1:$I$89,5,0)</f>
        <v>-3.177547114319168E-13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326.31232746914907</v>
      </c>
      <c r="BJ191" s="59">
        <f t="shared" si="146"/>
        <v>330.17137761430297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0.19988742231123272</v>
      </c>
      <c r="BQ191" s="21">
        <f>EXP(-LN(2)/25)*BQ190+(1-EXP(-LN(2)/25))/(LN(2)/25)*Calculateur!BL191*Calculateur!BN191*VLOOKUP('Données projet'!$B$11,Paramètres!$A$1:$I$89,3,0)*0.475*44/12</f>
        <v>0.3776662496249048</v>
      </c>
      <c r="BR191" s="21">
        <f>EXP(-LN(2)/2)*BR190+(1-EXP(-LN(2)/2))/(LN(2)/2)*BL191*BO191*VLOOKUP('Données projet'!$B$11,Paramètres!$A$1:$I$89,3,0)*0.475*44/12</f>
        <v>5.3803281959520642E-23</v>
      </c>
      <c r="BS191" s="22">
        <f t="shared" si="169"/>
        <v>0.57755367193613749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-2.2737367544323206E-13</v>
      </c>
      <c r="BZ191" s="13">
        <f>BY191*VLOOKUP('Données projet'!$B$12,Paramètres!$A$1:$I$89,3,0)*VLOOKUP('Données projet'!$B$12,Paramètres!$A$1:$I$89,5,0)</f>
        <v>-1.8089849618263545E-13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314.94704727988847</v>
      </c>
      <c r="CE191" s="59">
        <f t="shared" si="148"/>
        <v>366.49199094166454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0.17134113187333891</v>
      </c>
      <c r="CL191" s="21">
        <f>EXP(-LN(2)/25)*CL190+(1-EXP(-LN(2)/25))/(LN(2)/25)*Calculateur!CG191*Calculateur!CI191*VLOOKUP('Données projet'!$B$12,Paramètres!$A$1:$I$89,3,0)*0.475*44/12</f>
        <v>0.31801088389885612</v>
      </c>
      <c r="CM191" s="21">
        <f>EXP(-LN(2)/2)*CM190+(1-EXP(-LN(2)/2))/(LN(2)/2)*CG191*CJ191*VLOOKUP('Données projet'!$B$12,Paramètres!$A$1:$I$89,3,0)*0.475*44/12</f>
        <v>4.7760145597614597E-23</v>
      </c>
      <c r="CN191" s="22">
        <f t="shared" si="172"/>
        <v>0.489352015772195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-5.6843418860808015E-13</v>
      </c>
      <c r="CU191" s="17">
        <f>CT191*VLOOKUP('Données projet'!$B$13,Paramètres!$A$1:$I$89,3,0)*VLOOKUP('Données projet'!$B$13,Paramètres!$A$1:$I$89,5,0)</f>
        <v>-4.4337866711430256E-13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261.59434871103355</v>
      </c>
      <c r="CZ191" s="59">
        <f t="shared" si="150"/>
        <v>194.97518096665976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9.0857919232378431E-2</v>
      </c>
      <c r="DG191" s="21">
        <f>EXP(-LN(2)/25)*DG190+(1-EXP(-LN(2)/25))/(LN(2)/25)*Calculateur!DB191*Calculateur!DD191*VLOOKUP('Données projet'!$B$13,Paramètres!$A$1:$I$89,3,0)*0.475*44/12</f>
        <v>0.14626767429858878</v>
      </c>
      <c r="DH191" s="21">
        <f>EXP(-LN(2)/2)*DH190+(1-EXP(-LN(2)/2))/(LN(2)/2)*DB191*DE191*VLOOKUP('Données projet'!$B$13,Paramètres!$A$1:$I$89,3,0)*0.475*44/12</f>
        <v>3.1005131517627057E-23</v>
      </c>
      <c r="DI191" s="22">
        <f t="shared" si="175"/>
        <v>0.23712559353096721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-1.0286385077051818E-13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237.22177246688199</v>
      </c>
      <c r="T192" s="59">
        <f t="shared" si="142"/>
        <v>149.27472147904302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</v>
      </c>
      <c r="AA192" s="21">
        <f>EXP(-LN(2)/25)*AA191+(1-EXP(-LN(2)/25))/(LN(2)/25)*Calculateur!V192*Calculateur!X192*VLOOKUP('Données projet'!$B$9,Paramètres!$A$1:$I$89,3,0)*0.475*44/12</f>
        <v>3.7813078290931362E-2</v>
      </c>
      <c r="AB192" s="21">
        <f>EXP(-LN(2)/2)*AB191+(1-EXP(-LN(2)/2))/(LN(2)/2)*V192*Y192*VLOOKUP('Données projet'!$B$9,Paramètres!$A$1:$I$89,3,0)*0.475*44/12</f>
        <v>7.2403612661426344E-24</v>
      </c>
      <c r="AC192" s="22">
        <f t="shared" si="163"/>
        <v>3.7813078290931362E-2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243.38048563215585</v>
      </c>
      <c r="AO192" s="59">
        <f t="shared" si="144"/>
        <v>372.1604147006675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0.31354840300639769</v>
      </c>
      <c r="AV192" s="21">
        <f>EXP(-LN(2)/25)*AV191+(1-EXP(-LN(2)/25))/(LN(2)/25)*Calculateur!AQ192*Calculateur!AS192*VLOOKUP('Données projet'!$B$10,Paramètres!$A$1:$I$89,3,0)*0.475*44/12</f>
        <v>0.23572685140951946</v>
      </c>
      <c r="AW192" s="21">
        <f>EXP(-LN(2)/2)*AW191+(1-EXP(-LN(2)/2))/(LN(2)/2)*AQ192*AT192*VLOOKUP('Données projet'!$B$10,Paramètres!$A$1:$I$89,3,0)*0.475*44/12</f>
        <v>3.4292910237132899E-23</v>
      </c>
      <c r="AX192" s="21">
        <f t="shared" si="166"/>
        <v>0.54927525441591718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-5.6843418860808015E-13</v>
      </c>
      <c r="BE192" s="13">
        <f>BD192*VLOOKUP('Données projet'!$B$11,Paramètres!$A$1:$I$89,3,0)*VLOOKUP('Données projet'!$B$11,Paramètres!$A$1:$I$89,5,0)</f>
        <v>-3.177547114319168E-13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326.31232746914907</v>
      </c>
      <c r="BJ192" s="59">
        <f t="shared" si="146"/>
        <v>330.17137761430297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0.19596775187899851</v>
      </c>
      <c r="BQ192" s="21">
        <f>EXP(-LN(2)/25)*BQ191+(1-EXP(-LN(2)/25))/(LN(2)/25)*Calculateur!BL192*Calculateur!BN192*VLOOKUP('Données projet'!$B$11,Paramètres!$A$1:$I$89,3,0)*0.475*44/12</f>
        <v>0.36733894616830687</v>
      </c>
      <c r="BR192" s="21">
        <f>EXP(-LN(2)/2)*BR191+(1-EXP(-LN(2)/2))/(LN(2)/2)*BL192*BO192*VLOOKUP('Données projet'!$B$11,Paramètres!$A$1:$I$89,3,0)*0.475*44/12</f>
        <v>3.8044665523668882E-23</v>
      </c>
      <c r="BS192" s="22">
        <f t="shared" si="169"/>
        <v>0.56330669804730538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-2.2737367544323206E-13</v>
      </c>
      <c r="BZ192" s="13">
        <f>BY192*VLOOKUP('Données projet'!$B$12,Paramètres!$A$1:$I$89,3,0)*VLOOKUP('Données projet'!$B$12,Paramètres!$A$1:$I$89,5,0)</f>
        <v>-1.8089849618263545E-13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314.94704727988847</v>
      </c>
      <c r="CE192" s="59">
        <f t="shared" si="148"/>
        <v>366.49199094166454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0.1679812367850739</v>
      </c>
      <c r="CL192" s="21">
        <f>EXP(-LN(2)/25)*CL191+(1-EXP(-LN(2)/25))/(LN(2)/25)*Calculateur!CG192*Calculateur!CI192*VLOOKUP('Données projet'!$B$12,Paramètres!$A$1:$I$89,3,0)*0.475*44/12</f>
        <v>0.30931485955517635</v>
      </c>
      <c r="CM192" s="21">
        <f>EXP(-LN(2)/2)*CM191+(1-EXP(-LN(2)/2))/(LN(2)/2)*CG192*CJ192*VLOOKUP('Données projet'!$B$12,Paramètres!$A$1:$I$89,3,0)*0.475*44/12</f>
        <v>3.3771522822530115E-23</v>
      </c>
      <c r="CN192" s="22">
        <f t="shared" si="172"/>
        <v>0.47729609634025028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-5.6843418860808015E-13</v>
      </c>
      <c r="CU192" s="17">
        <f>CT192*VLOOKUP('Données projet'!$B$13,Paramètres!$A$1:$I$89,3,0)*VLOOKUP('Données projet'!$B$13,Paramètres!$A$1:$I$89,5,0)</f>
        <v>-4.4337866711430256E-13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261.59434871103355</v>
      </c>
      <c r="CZ192" s="59">
        <f t="shared" si="150"/>
        <v>194.97518096665976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8.9076250854090169E-2</v>
      </c>
      <c r="DG192" s="21">
        <f>EXP(-LN(2)/25)*DG191+(1-EXP(-LN(2)/25))/(LN(2)/25)*Calculateur!DB192*Calculateur!DD192*VLOOKUP('Données projet'!$B$13,Paramètres!$A$1:$I$89,3,0)*0.475*44/12</f>
        <v>0.14226797705301117</v>
      </c>
      <c r="DH192" s="21">
        <f>EXP(-LN(2)/2)*DH191+(1-EXP(-LN(2)/2))/(LN(2)/2)*DB192*DE192*VLOOKUP('Données projet'!$B$13,Paramètres!$A$1:$I$89,3,0)*0.475*44/12</f>
        <v>2.1923938747694844E-23</v>
      </c>
      <c r="DI192" s="22">
        <f t="shared" si="175"/>
        <v>0.23134422790710135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-1.0286385077051818E-13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237.22177246688199</v>
      </c>
      <c r="T193" s="59">
        <f t="shared" si="142"/>
        <v>149.27472147904302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</v>
      </c>
      <c r="AA193" s="21">
        <f>EXP(-LN(2)/25)*AA192+(1-EXP(-LN(2)/25))/(LN(2)/25)*Calculateur!V193*Calculateur!X193*VLOOKUP('Données projet'!$B$9,Paramètres!$A$1:$I$89,3,0)*0.475*44/12</f>
        <v>3.677907767656248E-2</v>
      </c>
      <c r="AB193" s="21">
        <f>EXP(-LN(2)/2)*AB192+(1-EXP(-LN(2)/2))/(LN(2)/2)*V193*Y193*VLOOKUP('Données projet'!$B$9,Paramètres!$A$1:$I$89,3,0)*0.475*44/12</f>
        <v>5.119708549529874E-24</v>
      </c>
      <c r="AC193" s="22">
        <f t="shared" si="163"/>
        <v>3.677907767656248E-2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243.38048563215585</v>
      </c>
      <c r="AO193" s="59">
        <f t="shared" si="144"/>
        <v>372.1604147006675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0.30739991006908413</v>
      </c>
      <c r="AV193" s="21">
        <f>EXP(-LN(2)/25)*AV192+(1-EXP(-LN(2)/25))/(LN(2)/25)*Calculateur!AQ193*Calculateur!AS193*VLOOKUP('Données projet'!$B$10,Paramètres!$A$1:$I$89,3,0)*0.475*44/12</f>
        <v>0.22928088826138979</v>
      </c>
      <c r="AW193" s="21">
        <f>EXP(-LN(2)/2)*AW192+(1-EXP(-LN(2)/2))/(LN(2)/2)*AQ193*AT193*VLOOKUP('Données projet'!$B$10,Paramètres!$A$1:$I$89,3,0)*0.475*44/12</f>
        <v>2.4248749375298249E-23</v>
      </c>
      <c r="AX193" s="21">
        <f t="shared" si="166"/>
        <v>0.53668079833047388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-5.6843418860808015E-13</v>
      </c>
      <c r="BE193" s="13">
        <f>BD193*VLOOKUP('Données projet'!$B$11,Paramètres!$A$1:$I$89,3,0)*VLOOKUP('Données projet'!$B$11,Paramètres!$A$1:$I$89,5,0)</f>
        <v>-3.177547114319168E-13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326.31232746914907</v>
      </c>
      <c r="BJ193" s="59">
        <f t="shared" si="146"/>
        <v>330.17137761430297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0.19212494379317754</v>
      </c>
      <c r="BQ193" s="21">
        <f>EXP(-LN(2)/25)*BQ192+(1-EXP(-LN(2)/25))/(LN(2)/25)*Calculateur!BL193*Calculateur!BN193*VLOOKUP('Données projet'!$B$11,Paramètres!$A$1:$I$89,3,0)*0.475*44/12</f>
        <v>0.35729404336781889</v>
      </c>
      <c r="BR193" s="21">
        <f>EXP(-LN(2)/2)*BR192+(1-EXP(-LN(2)/2))/(LN(2)/2)*BL193*BO193*VLOOKUP('Données projet'!$B$11,Paramètres!$A$1:$I$89,3,0)*0.475*44/12</f>
        <v>2.6901640979760321E-23</v>
      </c>
      <c r="BS193" s="22">
        <f t="shared" si="169"/>
        <v>0.54941898716099646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-2.2737367544323206E-13</v>
      </c>
      <c r="BZ193" s="13">
        <f>BY193*VLOOKUP('Données projet'!$B$12,Paramètres!$A$1:$I$89,3,0)*VLOOKUP('Données projet'!$B$12,Paramètres!$A$1:$I$89,5,0)</f>
        <v>-1.8089849618263545E-13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314.94704727988847</v>
      </c>
      <c r="CE193" s="59">
        <f t="shared" si="148"/>
        <v>366.49199094166454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0.1646872271901561</v>
      </c>
      <c r="CL193" s="21">
        <f>EXP(-LN(2)/25)*CL192+(1-EXP(-LN(2)/25))/(LN(2)/25)*Calculateur!CG193*Calculateur!CI193*VLOOKUP('Données projet'!$B$12,Paramètres!$A$1:$I$89,3,0)*0.475*44/12</f>
        <v>0.30085662845447853</v>
      </c>
      <c r="CM193" s="21">
        <f>EXP(-LN(2)/2)*CM192+(1-EXP(-LN(2)/2))/(LN(2)/2)*CG193*CJ193*VLOOKUP('Données projet'!$B$12,Paramètres!$A$1:$I$89,3,0)*0.475*44/12</f>
        <v>2.3880072798807298E-23</v>
      </c>
      <c r="CN193" s="22">
        <f t="shared" si="172"/>
        <v>0.46554385564463463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-5.6843418860808015E-13</v>
      </c>
      <c r="CU193" s="17">
        <f>CT193*VLOOKUP('Données projet'!$B$13,Paramètres!$A$1:$I$89,3,0)*VLOOKUP('Données projet'!$B$13,Paramètres!$A$1:$I$89,5,0)</f>
        <v>-4.4337866711430256E-13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261.59434871103355</v>
      </c>
      <c r="CZ193" s="59">
        <f t="shared" si="150"/>
        <v>194.97518096665976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8.7329519905989722E-2</v>
      </c>
      <c r="DG193" s="21">
        <f>EXP(-LN(2)/25)*DG192+(1-EXP(-LN(2)/25))/(LN(2)/25)*Calculateur!DB193*Calculateur!DD193*VLOOKUP('Données projet'!$B$13,Paramètres!$A$1:$I$89,3,0)*0.475*44/12</f>
        <v>0.13837765173894881</v>
      </c>
      <c r="DH193" s="21">
        <f>EXP(-LN(2)/2)*DH192+(1-EXP(-LN(2)/2))/(LN(2)/2)*DB193*DE193*VLOOKUP('Données projet'!$B$13,Paramètres!$A$1:$I$89,3,0)*0.475*44/12</f>
        <v>1.5502565758813529E-23</v>
      </c>
      <c r="DI193" s="22">
        <f t="shared" si="175"/>
        <v>0.22570717164493853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-1.0286385077051818E-13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237.22177246688199</v>
      </c>
      <c r="T194" s="59">
        <f t="shared" si="142"/>
        <v>149.27472147904302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</v>
      </c>
      <c r="AA194" s="21">
        <f>EXP(-LN(2)/25)*AA193+(1-EXP(-LN(2)/25))/(LN(2)/25)*Calculateur!V194*Calculateur!X194*VLOOKUP('Données projet'!$B$9,Paramètres!$A$1:$I$89,3,0)*0.475*44/12</f>
        <v>3.5773351863369246E-2</v>
      </c>
      <c r="AB194" s="21">
        <f>EXP(-LN(2)/2)*AB193+(1-EXP(-LN(2)/2))/(LN(2)/2)*V194*Y194*VLOOKUP('Données projet'!$B$9,Paramètres!$A$1:$I$89,3,0)*0.475*44/12</f>
        <v>3.6201806330713172E-24</v>
      </c>
      <c r="AC194" s="22">
        <f t="shared" si="163"/>
        <v>3.5773351863369246E-2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243.38048563215585</v>
      </c>
      <c r="AO194" s="59">
        <f t="shared" si="144"/>
        <v>372.1604147006675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0.30137198532806087</v>
      </c>
      <c r="AV194" s="21">
        <f>EXP(-LN(2)/25)*AV193+(1-EXP(-LN(2)/25))/(LN(2)/25)*Calculateur!AQ194*Calculateur!AS194*VLOOKUP('Données projet'!$B$10,Paramètres!$A$1:$I$89,3,0)*0.475*44/12</f>
        <v>0.22301119031452421</v>
      </c>
      <c r="AW194" s="21">
        <f>EXP(-LN(2)/2)*AW193+(1-EXP(-LN(2)/2))/(LN(2)/2)*AQ194*AT194*VLOOKUP('Données projet'!$B$10,Paramètres!$A$1:$I$89,3,0)*0.475*44/12</f>
        <v>1.714645511856645E-23</v>
      </c>
      <c r="AX194" s="21">
        <f t="shared" si="166"/>
        <v>0.52438317564258508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-5.6843418860808015E-13</v>
      </c>
      <c r="BE194" s="13">
        <f>BD194*VLOOKUP('Données projet'!$B$11,Paramètres!$A$1:$I$89,3,0)*VLOOKUP('Données projet'!$B$11,Paramètres!$A$1:$I$89,5,0)</f>
        <v>-3.177547114319168E-13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326.31232746914907</v>
      </c>
      <c r="BJ194" s="59">
        <f t="shared" si="146"/>
        <v>330.17137761430297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0.18835749083003803</v>
      </c>
      <c r="BQ194" s="21">
        <f>EXP(-LN(2)/25)*BQ193+(1-EXP(-LN(2)/25))/(LN(2)/25)*Calculateur!BL194*Calculateur!BN194*VLOOKUP('Données projet'!$B$11,Paramètres!$A$1:$I$89,3,0)*0.475*44/12</f>
        <v>0.34752381896264872</v>
      </c>
      <c r="BR194" s="21">
        <f>EXP(-LN(2)/2)*BR193+(1-EXP(-LN(2)/2))/(LN(2)/2)*BL194*BO194*VLOOKUP('Données projet'!$B$11,Paramètres!$A$1:$I$89,3,0)*0.475*44/12</f>
        <v>1.9022332761834441E-23</v>
      </c>
      <c r="BS194" s="22">
        <f t="shared" si="169"/>
        <v>0.53588130979268678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-2.2737367544323206E-13</v>
      </c>
      <c r="BZ194" s="13">
        <f>BY194*VLOOKUP('Données projet'!$B$12,Paramètres!$A$1:$I$89,3,0)*VLOOKUP('Données projet'!$B$12,Paramètres!$A$1:$I$89,5,0)</f>
        <v>-1.8089849618263545E-13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314.94704727988847</v>
      </c>
      <c r="CE194" s="59">
        <f t="shared" si="148"/>
        <v>366.49199094166454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0.16145781111424717</v>
      </c>
      <c r="CL194" s="21">
        <f>EXP(-LN(2)/25)*CL193+(1-EXP(-LN(2)/25))/(LN(2)/25)*Calculateur!CG194*Calculateur!CI194*VLOOKUP('Données projet'!$B$12,Paramètres!$A$1:$I$89,3,0)*0.475*44/12</f>
        <v>0.29262968812802831</v>
      </c>
      <c r="CM194" s="21">
        <f>EXP(-LN(2)/2)*CM193+(1-EXP(-LN(2)/2))/(LN(2)/2)*CG194*CJ194*VLOOKUP('Données projet'!$B$12,Paramètres!$A$1:$I$89,3,0)*0.475*44/12</f>
        <v>1.6885761411265058E-23</v>
      </c>
      <c r="CN194" s="22">
        <f t="shared" si="172"/>
        <v>0.45408749924227548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-5.6843418860808015E-13</v>
      </c>
      <c r="CU194" s="17">
        <f>CT194*VLOOKUP('Données projet'!$B$13,Paramètres!$A$1:$I$89,3,0)*VLOOKUP('Données projet'!$B$13,Paramètres!$A$1:$I$89,5,0)</f>
        <v>-4.4337866711430256E-13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261.59434871103355</v>
      </c>
      <c r="CZ194" s="59">
        <f t="shared" si="150"/>
        <v>194.97518096665976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8.5617041286380854E-2</v>
      </c>
      <c r="DG194" s="21">
        <f>EXP(-LN(2)/25)*DG193+(1-EXP(-LN(2)/25))/(LN(2)/25)*Calculateur!DB194*Calculateur!DD194*VLOOKUP('Données projet'!$B$13,Paramètres!$A$1:$I$89,3,0)*0.475*44/12</f>
        <v>0.13459370757518282</v>
      </c>
      <c r="DH194" s="21">
        <f>EXP(-LN(2)/2)*DH193+(1-EXP(-LN(2)/2))/(LN(2)/2)*DB194*DE194*VLOOKUP('Données projet'!$B$13,Paramètres!$A$1:$I$89,3,0)*0.475*44/12</f>
        <v>1.0961969373847422E-23</v>
      </c>
      <c r="DI194" s="22">
        <f t="shared" si="175"/>
        <v>0.22021074886156367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-1.0286385077051818E-13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237.22177246688199</v>
      </c>
      <c r="T195" s="59">
        <f t="shared" si="142"/>
        <v>149.27472147904302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</v>
      </c>
      <c r="AA195" s="21">
        <f>EXP(-LN(2)/25)*AA194+(1-EXP(-LN(2)/25))/(LN(2)/25)*Calculateur!V195*Calculateur!X195*VLOOKUP('Données projet'!$B$9,Paramètres!$A$1:$I$89,3,0)*0.475*44/12</f>
        <v>3.4795127675426599E-2</v>
      </c>
      <c r="AB195" s="21">
        <f>EXP(-LN(2)/2)*AB194+(1-EXP(-LN(2)/2))/(LN(2)/2)*V195*Y195*VLOOKUP('Données projet'!$B$9,Paramètres!$A$1:$I$89,3,0)*0.475*44/12</f>
        <v>2.559854274764937E-24</v>
      </c>
      <c r="AC195" s="22">
        <f t="shared" si="163"/>
        <v>3.4795127675426599E-2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243.38048563215585</v>
      </c>
      <c r="AO195" s="59">
        <f t="shared" si="144"/>
        <v>372.1604147006675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0.29546226451453805</v>
      </c>
      <c r="AV195" s="21">
        <f>EXP(-LN(2)/25)*AV194+(1-EXP(-LN(2)/25))/(LN(2)/25)*Calculateur!AQ195*Calculateur!AS195*VLOOKUP('Données projet'!$B$10,Paramètres!$A$1:$I$89,3,0)*0.475*44/12</f>
        <v>0.21691293758772476</v>
      </c>
      <c r="AW195" s="21">
        <f>EXP(-LN(2)/2)*AW194+(1-EXP(-LN(2)/2))/(LN(2)/2)*AQ195*AT195*VLOOKUP('Données projet'!$B$10,Paramètres!$A$1:$I$89,3,0)*0.475*44/12</f>
        <v>1.2124374687649124E-23</v>
      </c>
      <c r="AX195" s="21">
        <f t="shared" si="166"/>
        <v>0.51237520210226284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-5.6843418860808015E-13</v>
      </c>
      <c r="BE195" s="13">
        <f>BD195*VLOOKUP('Données projet'!$B$11,Paramètres!$A$1:$I$89,3,0)*VLOOKUP('Données projet'!$B$11,Paramètres!$A$1:$I$89,5,0)</f>
        <v>-3.177547114319168E-13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326.31232746914907</v>
      </c>
      <c r="BJ195" s="59">
        <f t="shared" si="146"/>
        <v>330.17137761430297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0.18466391532158627</v>
      </c>
      <c r="BQ195" s="21">
        <f>EXP(-LN(2)/25)*BQ194+(1-EXP(-LN(2)/25))/(LN(2)/25)*Calculateur!BL195*Calculateur!BN195*VLOOKUP('Données projet'!$B$11,Paramètres!$A$1:$I$89,3,0)*0.475*44/12</f>
        <v>0.33802076185763175</v>
      </c>
      <c r="BR195" s="21">
        <f>EXP(-LN(2)/2)*BR194+(1-EXP(-LN(2)/2))/(LN(2)/2)*BL195*BO195*VLOOKUP('Données projet'!$B$11,Paramètres!$A$1:$I$89,3,0)*0.475*44/12</f>
        <v>1.345082048988016E-23</v>
      </c>
      <c r="BS195" s="22">
        <f t="shared" si="169"/>
        <v>0.52268467717921796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-2.2737367544323206E-13</v>
      </c>
      <c r="BZ195" s="13">
        <f>BY195*VLOOKUP('Données projet'!$B$12,Paramètres!$A$1:$I$89,3,0)*VLOOKUP('Données projet'!$B$12,Paramètres!$A$1:$I$89,5,0)</f>
        <v>-1.8089849618263545E-13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314.94704727988847</v>
      </c>
      <c r="CE195" s="59">
        <f t="shared" si="148"/>
        <v>366.49199094166454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0.15829172191783752</v>
      </c>
      <c r="CL195" s="21">
        <f>EXP(-LN(2)/25)*CL194+(1-EXP(-LN(2)/25))/(LN(2)/25)*Calculateur!CG195*Calculateur!CI195*VLOOKUP('Données projet'!$B$12,Paramètres!$A$1:$I$89,3,0)*0.475*44/12</f>
        <v>0.28462771391744091</v>
      </c>
      <c r="CM195" s="21">
        <f>EXP(-LN(2)/2)*CM194+(1-EXP(-LN(2)/2))/(LN(2)/2)*CG195*CJ195*VLOOKUP('Données projet'!$B$12,Paramètres!$A$1:$I$89,3,0)*0.475*44/12</f>
        <v>1.1940036399403649E-23</v>
      </c>
      <c r="CN195" s="22">
        <f t="shared" si="172"/>
        <v>0.44291943583527843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-5.6843418860808015E-13</v>
      </c>
      <c r="CU195" s="17">
        <f>CT195*VLOOKUP('Données projet'!$B$13,Paramètres!$A$1:$I$89,3,0)*VLOOKUP('Données projet'!$B$13,Paramètres!$A$1:$I$89,5,0)</f>
        <v>-4.4337866711430256E-13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261.59434871103355</v>
      </c>
      <c r="CZ195" s="59">
        <f t="shared" si="150"/>
        <v>194.97518096665976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8.3938143327993694E-2</v>
      </c>
      <c r="DG195" s="21">
        <f>EXP(-LN(2)/25)*DG194+(1-EXP(-LN(2)/25))/(LN(2)/25)*Calculateur!DB195*Calculateur!DD195*VLOOKUP('Données projet'!$B$13,Paramètres!$A$1:$I$89,3,0)*0.475*44/12</f>
        <v>0.13091323556356399</v>
      </c>
      <c r="DH195" s="21">
        <f>EXP(-LN(2)/2)*DH194+(1-EXP(-LN(2)/2))/(LN(2)/2)*DB195*DE195*VLOOKUP('Données projet'!$B$13,Paramètres!$A$1:$I$89,3,0)*0.475*44/12</f>
        <v>7.7512828794067644E-24</v>
      </c>
      <c r="DI195" s="22">
        <f t="shared" si="175"/>
        <v>0.2148513788915577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-1.0286385077051818E-13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237.22177246688199</v>
      </c>
      <c r="T196" s="59">
        <f t="shared" si="142"/>
        <v>149.27472147904302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</v>
      </c>
      <c r="AA196" s="21">
        <f>EXP(-LN(2)/25)*AA195+(1-EXP(-LN(2)/25))/(LN(2)/25)*Calculateur!V196*Calculateur!X196*VLOOKUP('Données projet'!$B$9,Paramètres!$A$1:$I$89,3,0)*0.475*44/12</f>
        <v>3.3843653079345816E-2</v>
      </c>
      <c r="AB196" s="21">
        <f>EXP(-LN(2)/2)*AB195+(1-EXP(-LN(2)/2))/(LN(2)/2)*V196*Y196*VLOOKUP('Données projet'!$B$9,Paramètres!$A$1:$I$89,3,0)*0.475*44/12</f>
        <v>1.8100903165356586E-24</v>
      </c>
      <c r="AC196" s="22">
        <f t="shared" si="163"/>
        <v>3.3843653079345816E-2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243.38048563215585</v>
      </c>
      <c r="AO196" s="59">
        <f t="shared" si="144"/>
        <v>372.1604147006675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0.28966842972159462</v>
      </c>
      <c r="AV196" s="21">
        <f>EXP(-LN(2)/25)*AV195+(1-EXP(-LN(2)/25))/(LN(2)/25)*Calculateur!AQ196*Calculateur!AS196*VLOOKUP('Données projet'!$B$10,Paramètres!$A$1:$I$89,3,0)*0.475*44/12</f>
        <v>0.21098144190243279</v>
      </c>
      <c r="AW196" s="21">
        <f>EXP(-LN(2)/2)*AW195+(1-EXP(-LN(2)/2))/(LN(2)/2)*AQ196*AT196*VLOOKUP('Données projet'!$B$10,Paramètres!$A$1:$I$89,3,0)*0.475*44/12</f>
        <v>8.5732275592832248E-24</v>
      </c>
      <c r="AX196" s="21">
        <f t="shared" si="166"/>
        <v>0.50064987162402741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-5.6843418860808015E-13</v>
      </c>
      <c r="BE196" s="13">
        <f>BD196*VLOOKUP('Données projet'!$B$11,Paramètres!$A$1:$I$89,3,0)*VLOOKUP('Données projet'!$B$11,Paramètres!$A$1:$I$89,5,0)</f>
        <v>-3.177547114319168E-13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326.31232746914907</v>
      </c>
      <c r="BJ196" s="59">
        <f t="shared" si="146"/>
        <v>330.17137761430297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0.18104276857599663</v>
      </c>
      <c r="BQ196" s="21">
        <f>EXP(-LN(2)/25)*BQ195+(1-EXP(-LN(2)/25))/(LN(2)/25)*Calculateur!BL196*Calculateur!BN196*VLOOKUP('Données projet'!$B$11,Paramètres!$A$1:$I$89,3,0)*0.475*44/12</f>
        <v>0.32877756634889549</v>
      </c>
      <c r="BR196" s="21">
        <f>EXP(-LN(2)/2)*BR195+(1-EXP(-LN(2)/2))/(LN(2)/2)*BL196*BO196*VLOOKUP('Données projet'!$B$11,Paramètres!$A$1:$I$89,3,0)*0.475*44/12</f>
        <v>9.5111663809172205E-24</v>
      </c>
      <c r="BS196" s="22">
        <f t="shared" si="169"/>
        <v>0.50982033492489209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-2.2737367544323206E-13</v>
      </c>
      <c r="BZ196" s="13">
        <f>BY196*VLOOKUP('Données projet'!$B$12,Paramètres!$A$1:$I$89,3,0)*VLOOKUP('Données projet'!$B$12,Paramètres!$A$1:$I$89,5,0)</f>
        <v>-1.8089849618263545E-13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314.94704727988847</v>
      </c>
      <c r="CE196" s="59">
        <f t="shared" si="148"/>
        <v>366.49199094166454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0.15518771779944573</v>
      </c>
      <c r="CL196" s="21">
        <f>EXP(-LN(2)/25)*CL195+(1-EXP(-LN(2)/25))/(LN(2)/25)*Calculateur!CG196*Calculateur!CI196*VLOOKUP('Données projet'!$B$12,Paramètres!$A$1:$I$89,3,0)*0.475*44/12</f>
        <v>0.27684455411244752</v>
      </c>
      <c r="CM196" s="21">
        <f>EXP(-LN(2)/2)*CM195+(1-EXP(-LN(2)/2))/(LN(2)/2)*CG196*CJ196*VLOOKUP('Données projet'!$B$12,Paramètres!$A$1:$I$89,3,0)*0.475*44/12</f>
        <v>8.4428807056325288E-24</v>
      </c>
      <c r="CN196" s="22">
        <f t="shared" si="172"/>
        <v>0.43203227191189325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-5.6843418860808015E-13</v>
      </c>
      <c r="CU196" s="17">
        <f>CT196*VLOOKUP('Données projet'!$B$13,Paramètres!$A$1:$I$89,3,0)*VLOOKUP('Données projet'!$B$13,Paramètres!$A$1:$I$89,5,0)</f>
        <v>-4.4337866711430256E-13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261.59434871103355</v>
      </c>
      <c r="CZ196" s="59">
        <f t="shared" si="150"/>
        <v>194.97518096665976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8.2292167534543867E-2</v>
      </c>
      <c r="DG196" s="21">
        <f>EXP(-LN(2)/25)*DG195+(1-EXP(-LN(2)/25))/(LN(2)/25)*Calculateur!DB196*Calculateur!DD196*VLOOKUP('Données projet'!$B$13,Paramètres!$A$1:$I$89,3,0)*0.475*44/12</f>
        <v>0.12733340625265049</v>
      </c>
      <c r="DH196" s="21">
        <f>EXP(-LN(2)/2)*DH195+(1-EXP(-LN(2)/2))/(LN(2)/2)*DB196*DE196*VLOOKUP('Données projet'!$B$13,Paramètres!$A$1:$I$89,3,0)*0.475*44/12</f>
        <v>5.480984686923711E-24</v>
      </c>
      <c r="DI196" s="22">
        <f t="shared" si="175"/>
        <v>0.20962557378719437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-1.0286385077051818E-13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237.22177246688199</v>
      </c>
      <c r="T197" s="59">
        <f t="shared" ref="T197:T203" si="204">$T$3</f>
        <v>149.27472147904302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</v>
      </c>
      <c r="AA197" s="21">
        <f>EXP(-LN(2)/25)*AA196+(1-EXP(-LN(2)/25))/(LN(2)/25)*Calculateur!V197*Calculateur!X197*VLOOKUP('Données projet'!$B$9,Paramètres!$A$1:$I$89,3,0)*0.475*44/12</f>
        <v>3.291819660613074E-2</v>
      </c>
      <c r="AB197" s="21">
        <f>EXP(-LN(2)/2)*AB196+(1-EXP(-LN(2)/2))/(LN(2)/2)*V197*Y197*VLOOKUP('Données projet'!$B$9,Paramètres!$A$1:$I$89,3,0)*0.475*44/12</f>
        <v>1.2799271373824685E-24</v>
      </c>
      <c r="AC197" s="22">
        <f t="shared" si="163"/>
        <v>3.291819660613074E-2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243.38048563215585</v>
      </c>
      <c r="AO197" s="59">
        <f t="shared" ref="AO197:AO203" si="205">$AO$3</f>
        <v>372.1604147006675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0.28398820849505058</v>
      </c>
      <c r="AV197" s="21">
        <f>EXP(-LN(2)/25)*AV196+(1-EXP(-LN(2)/25))/(LN(2)/25)*Calculateur!AQ197*Calculateur!AS197*VLOOKUP('Données projet'!$B$10,Paramètres!$A$1:$I$89,3,0)*0.475*44/12</f>
        <v>0.20521214327857895</v>
      </c>
      <c r="AW197" s="21">
        <f>EXP(-LN(2)/2)*AW196+(1-EXP(-LN(2)/2))/(LN(2)/2)*AQ197*AT197*VLOOKUP('Données projet'!$B$10,Paramètres!$A$1:$I$89,3,0)*0.475*44/12</f>
        <v>6.0621873438245622E-24</v>
      </c>
      <c r="AX197" s="21">
        <f t="shared" si="166"/>
        <v>0.48920035177362953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-5.6843418860808015E-13</v>
      </c>
      <c r="BE197" s="13">
        <f>BD197*VLOOKUP('Données projet'!$B$11,Paramètres!$A$1:$I$89,3,0)*VLOOKUP('Données projet'!$B$11,Paramètres!$A$1:$I$89,5,0)</f>
        <v>-3.177547114319168E-13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326.31232746914907</v>
      </c>
      <c r="BJ197" s="59">
        <f t="shared" ref="BJ197:BJ203" si="206">$BJ$3</f>
        <v>330.17137761430297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0.1774926303094066</v>
      </c>
      <c r="BQ197" s="21">
        <f>EXP(-LN(2)/25)*BQ196+(1-EXP(-LN(2)/25))/(LN(2)/25)*Calculateur!BL197*Calculateur!BN197*VLOOKUP('Données projet'!$B$11,Paramètres!$A$1:$I$89,3,0)*0.475*44/12</f>
        <v>0.31978712650742414</v>
      </c>
      <c r="BR197" s="21">
        <f>EXP(-LN(2)/2)*BR196+(1-EXP(-LN(2)/2))/(LN(2)/2)*BL197*BO197*VLOOKUP('Données projet'!$B$11,Paramètres!$A$1:$I$89,3,0)*0.475*44/12</f>
        <v>6.7254102449400802E-24</v>
      </c>
      <c r="BS197" s="22">
        <f t="shared" si="169"/>
        <v>0.49727975681683073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-2.2737367544323206E-13</v>
      </c>
      <c r="BZ197" s="13">
        <f>BY197*VLOOKUP('Données projet'!$B$12,Paramètres!$A$1:$I$89,3,0)*VLOOKUP('Données projet'!$B$12,Paramètres!$A$1:$I$89,5,0)</f>
        <v>-1.8089849618263545E-13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314.94704727988847</v>
      </c>
      <c r="CE197" s="59">
        <f t="shared" ref="CE197:CE203" si="207">$CE$3</f>
        <v>366.49199094166454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0.15214458130856004</v>
      </c>
      <c r="CL197" s="21">
        <f>EXP(-LN(2)/25)*CL196+(1-EXP(-LN(2)/25))/(LN(2)/25)*Calculateur!CG197*Calculateur!CI197*VLOOKUP('Données projet'!$B$12,Paramètres!$A$1:$I$89,3,0)*0.475*44/12</f>
        <v>0.26927422522162026</v>
      </c>
      <c r="CM197" s="21">
        <f>EXP(-LN(2)/2)*CM196+(1-EXP(-LN(2)/2))/(LN(2)/2)*CG197*CJ197*VLOOKUP('Données projet'!$B$12,Paramètres!$A$1:$I$89,3,0)*0.475*44/12</f>
        <v>5.9700181997018246E-24</v>
      </c>
      <c r="CN197" s="22">
        <f t="shared" si="172"/>
        <v>0.42141880653018027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-5.6843418860808015E-13</v>
      </c>
      <c r="CU197" s="17">
        <f>CT197*VLOOKUP('Données projet'!$B$13,Paramètres!$A$1:$I$89,3,0)*VLOOKUP('Données projet'!$B$13,Paramètres!$A$1:$I$89,5,0)</f>
        <v>-4.4337866711430256E-13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261.59434871103355</v>
      </c>
      <c r="CZ197" s="59">
        <f t="shared" ref="CZ197:CZ203" si="208">$CZ$3</f>
        <v>194.97518096665976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8.0678468322457481E-2</v>
      </c>
      <c r="DG197" s="21">
        <f>EXP(-LN(2)/25)*DG196+(1-EXP(-LN(2)/25))/(LN(2)/25)*Calculateur!DB197*Calculateur!DD197*VLOOKUP('Données projet'!$B$13,Paramètres!$A$1:$I$89,3,0)*0.475*44/12</f>
        <v>0.12385146756249896</v>
      </c>
      <c r="DH197" s="21">
        <f>EXP(-LN(2)/2)*DH196+(1-EXP(-LN(2)/2))/(LN(2)/2)*DB197*DE197*VLOOKUP('Données projet'!$B$13,Paramètres!$A$1:$I$89,3,0)*0.475*44/12</f>
        <v>3.8756414397033822E-24</v>
      </c>
      <c r="DI197" s="22">
        <f t="shared" si="175"/>
        <v>0.20452993588495644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-1.0286385077051818E-13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237.22177246688199</v>
      </c>
      <c r="T198" s="59">
        <f t="shared" si="204"/>
        <v>149.27472147904302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</v>
      </c>
      <c r="AA198" s="21">
        <f>EXP(-LN(2)/25)*AA197+(1-EXP(-LN(2)/25))/(LN(2)/25)*Calculateur!V198*Calculateur!X198*VLOOKUP('Données projet'!$B$9,Paramètres!$A$1:$I$89,3,0)*0.475*44/12</f>
        <v>3.2018046788843374E-2</v>
      </c>
      <c r="AB198" s="21">
        <f>EXP(-LN(2)/2)*AB197+(1-EXP(-LN(2)/2))/(LN(2)/2)*V198*Y198*VLOOKUP('Données projet'!$B$9,Paramètres!$A$1:$I$89,3,0)*0.475*44/12</f>
        <v>9.050451582678293E-25</v>
      </c>
      <c r="AC198" s="22">
        <f t="shared" si="163"/>
        <v>3.2018046788843374E-2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243.38048563215585</v>
      </c>
      <c r="AO198" s="59">
        <f t="shared" si="205"/>
        <v>372.1604147006675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0.27841937294216618</v>
      </c>
      <c r="AV198" s="21">
        <f>EXP(-LN(2)/25)*AV197+(1-EXP(-LN(2)/25))/(LN(2)/25)*Calculateur!AQ198*Calculateur!AS198*VLOOKUP('Données projet'!$B$10,Paramètres!$A$1:$I$89,3,0)*0.475*44/12</f>
        <v>0.19960060642898861</v>
      </c>
      <c r="AW198" s="21">
        <f>EXP(-LN(2)/2)*AW197+(1-EXP(-LN(2)/2))/(LN(2)/2)*AQ198*AT198*VLOOKUP('Données projet'!$B$10,Paramètres!$A$1:$I$89,3,0)*0.475*44/12</f>
        <v>4.2866137796416124E-24</v>
      </c>
      <c r="AX198" s="21">
        <f t="shared" si="166"/>
        <v>0.47801997937115481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-5.6843418860808015E-13</v>
      </c>
      <c r="BE198" s="13">
        <f>BD198*VLOOKUP('Données projet'!$B$11,Paramètres!$A$1:$I$89,3,0)*VLOOKUP('Données projet'!$B$11,Paramètres!$A$1:$I$89,5,0)</f>
        <v>-3.177547114319168E-13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326.31232746914907</v>
      </c>
      <c r="BJ198" s="59">
        <f t="shared" si="206"/>
        <v>330.17137761430297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0.17401210808885384</v>
      </c>
      <c r="BQ198" s="21">
        <f>EXP(-LN(2)/25)*BQ197+(1-EXP(-LN(2)/25))/(LN(2)/25)*Calculateur!BL198*Calculateur!BN198*VLOOKUP('Données projet'!$B$11,Paramètres!$A$1:$I$89,3,0)*0.475*44/12</f>
        <v>0.31104253071620452</v>
      </c>
      <c r="BR198" s="21">
        <f>EXP(-LN(2)/2)*BR197+(1-EXP(-LN(2)/2))/(LN(2)/2)*BL198*BO198*VLOOKUP('Données projet'!$B$11,Paramètres!$A$1:$I$89,3,0)*0.475*44/12</f>
        <v>4.7555831904586103E-24</v>
      </c>
      <c r="BS198" s="22">
        <f t="shared" si="169"/>
        <v>0.48505463880505839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-2.2737367544323206E-13</v>
      </c>
      <c r="BZ198" s="13">
        <f>BY198*VLOOKUP('Données projet'!$B$12,Paramètres!$A$1:$I$89,3,0)*VLOOKUP('Données projet'!$B$12,Paramètres!$A$1:$I$89,5,0)</f>
        <v>-1.8089849618263545E-13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314.94704727988847</v>
      </c>
      <c r="CE198" s="59">
        <f t="shared" si="207"/>
        <v>366.49199094166454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0.14916111886813063</v>
      </c>
      <c r="CL198" s="21">
        <f>EXP(-LN(2)/25)*CL197+(1-EXP(-LN(2)/25))/(LN(2)/25)*Calculateur!CG198*Calculateur!CI198*VLOOKUP('Données projet'!$B$12,Paramètres!$A$1:$I$89,3,0)*0.475*44/12</f>
        <v>0.26191090737241896</v>
      </c>
      <c r="CM198" s="21">
        <f>EXP(-LN(2)/2)*CM197+(1-EXP(-LN(2)/2))/(LN(2)/2)*CG198*CJ198*VLOOKUP('Données projet'!$B$12,Paramètres!$A$1:$I$89,3,0)*0.475*44/12</f>
        <v>4.2214403528162644E-24</v>
      </c>
      <c r="CN198" s="22">
        <f t="shared" si="172"/>
        <v>0.41107202624054962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-5.6843418860808015E-13</v>
      </c>
      <c r="CU198" s="17">
        <f>CT198*VLOOKUP('Données projet'!$B$13,Paramètres!$A$1:$I$89,3,0)*VLOOKUP('Données projet'!$B$13,Paramètres!$A$1:$I$89,5,0)</f>
        <v>-4.4337866711430256E-13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261.59434871103355</v>
      </c>
      <c r="CZ198" s="59">
        <f t="shared" si="208"/>
        <v>194.97518096665976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7.9096412767660787E-2</v>
      </c>
      <c r="DG198" s="21">
        <f>EXP(-LN(2)/25)*DG197+(1-EXP(-LN(2)/25))/(LN(2)/25)*Calculateur!DB198*Calculateur!DD198*VLOOKUP('Données projet'!$B$13,Paramètres!$A$1:$I$89,3,0)*0.475*44/12</f>
        <v>0.12046474266893681</v>
      </c>
      <c r="DH198" s="21">
        <f>EXP(-LN(2)/2)*DH197+(1-EXP(-LN(2)/2))/(LN(2)/2)*DB198*DE198*VLOOKUP('Données projet'!$B$13,Paramètres!$A$1:$I$89,3,0)*0.475*44/12</f>
        <v>2.7404923434618555E-24</v>
      </c>
      <c r="DI198" s="22">
        <f t="shared" si="175"/>
        <v>0.19956115543659758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-1.0286385077051818E-13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237.22177246688199</v>
      </c>
      <c r="T199" s="59">
        <f t="shared" si="204"/>
        <v>149.27472147904302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</v>
      </c>
      <c r="AA199" s="21">
        <f>EXP(-LN(2)/25)*AA198+(1-EXP(-LN(2)/25))/(LN(2)/25)*Calculateur!V199*Calculateur!X199*VLOOKUP('Données projet'!$B$9,Paramètres!$A$1:$I$89,3,0)*0.475*44/12</f>
        <v>3.1142511615646549E-2</v>
      </c>
      <c r="AB199" s="21">
        <f>EXP(-LN(2)/2)*AB198+(1-EXP(-LN(2)/2))/(LN(2)/2)*V199*Y199*VLOOKUP('Données projet'!$B$9,Paramètres!$A$1:$I$89,3,0)*0.475*44/12</f>
        <v>6.3996356869123425E-25</v>
      </c>
      <c r="AC199" s="22">
        <f t="shared" si="163"/>
        <v>3.1142511615646549E-2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243.38048563215585</v>
      </c>
      <c r="AO199" s="59">
        <f t="shared" si="205"/>
        <v>372.1604147006675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0.27295973885781954</v>
      </c>
      <c r="AV199" s="21">
        <f>EXP(-LN(2)/25)*AV198+(1-EXP(-LN(2)/25))/(LN(2)/25)*Calculateur!AQ199*Calculateur!AS199*VLOOKUP('Données projet'!$B$10,Paramètres!$A$1:$I$89,3,0)*0.475*44/12</f>
        <v>0.19414251734964821</v>
      </c>
      <c r="AW199" s="21">
        <f>EXP(-LN(2)/2)*AW198+(1-EXP(-LN(2)/2))/(LN(2)/2)*AQ199*AT199*VLOOKUP('Données projet'!$B$10,Paramètres!$A$1:$I$89,3,0)*0.475*44/12</f>
        <v>3.0310936719122811E-24</v>
      </c>
      <c r="AX199" s="21">
        <f t="shared" si="166"/>
        <v>0.46710225620746776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-5.6843418860808015E-13</v>
      </c>
      <c r="BE199" s="13">
        <f>BD199*VLOOKUP('Données projet'!$B$11,Paramètres!$A$1:$I$89,3,0)*VLOOKUP('Données projet'!$B$11,Paramètres!$A$1:$I$89,5,0)</f>
        <v>-3.177547114319168E-13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326.31232746914907</v>
      </c>
      <c r="BJ199" s="59">
        <f t="shared" si="206"/>
        <v>330.17137761430297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0.17059983678613719</v>
      </c>
      <c r="BQ199" s="21">
        <f>EXP(-LN(2)/25)*BQ198+(1-EXP(-LN(2)/25))/(LN(2)/25)*Calculateur!BL199*Calculateur!BN199*VLOOKUP('Données projet'!$B$11,Paramètres!$A$1:$I$89,3,0)*0.475*44/12</f>
        <v>0.3025370563567541</v>
      </c>
      <c r="BR199" s="21">
        <f>EXP(-LN(2)/2)*BR198+(1-EXP(-LN(2)/2))/(LN(2)/2)*BL199*BO199*VLOOKUP('Données projet'!$B$11,Paramètres!$A$1:$I$89,3,0)*0.475*44/12</f>
        <v>3.3627051224700401E-24</v>
      </c>
      <c r="BS199" s="22">
        <f t="shared" si="169"/>
        <v>0.47313689314289131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-2.2737367544323206E-13</v>
      </c>
      <c r="BZ199" s="13">
        <f>BY199*VLOOKUP('Données projet'!$B$12,Paramètres!$A$1:$I$89,3,0)*VLOOKUP('Données projet'!$B$12,Paramètres!$A$1:$I$89,5,0)</f>
        <v>-1.8089849618263545E-13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314.94704727988847</v>
      </c>
      <c r="CE199" s="59">
        <f t="shared" si="207"/>
        <v>366.49199094166454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0.14623616030642564</v>
      </c>
      <c r="CL199" s="21">
        <f>EXP(-LN(2)/25)*CL198+(1-EXP(-LN(2)/25))/(LN(2)/25)*Calculateur!CG199*Calculateur!CI199*VLOOKUP('Données projet'!$B$12,Paramètres!$A$1:$I$89,3,0)*0.475*44/12</f>
        <v>0.25474893983702412</v>
      </c>
      <c r="CM199" s="21">
        <f>EXP(-LN(2)/2)*CM198+(1-EXP(-LN(2)/2))/(LN(2)/2)*CG199*CJ199*VLOOKUP('Données projet'!$B$12,Paramètres!$A$1:$I$89,3,0)*0.475*44/12</f>
        <v>2.9850090998509123E-24</v>
      </c>
      <c r="CN199" s="22">
        <f t="shared" si="172"/>
        <v>0.40098510014344979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-5.6843418860808015E-13</v>
      </c>
      <c r="CU199" s="17">
        <f>CT199*VLOOKUP('Données projet'!$B$13,Paramètres!$A$1:$I$89,3,0)*VLOOKUP('Données projet'!$B$13,Paramètres!$A$1:$I$89,5,0)</f>
        <v>-4.4337866711430256E-13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261.59434871103355</v>
      </c>
      <c r="CZ199" s="59">
        <f t="shared" si="208"/>
        <v>194.97518096665976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7.7545380357335048E-2</v>
      </c>
      <c r="DG199" s="21">
        <f>EXP(-LN(2)/25)*DG198+(1-EXP(-LN(2)/25))/(LN(2)/25)*Calculateur!DB199*Calculateur!DD199*VLOOKUP('Données projet'!$B$13,Paramètres!$A$1:$I$89,3,0)*0.475*44/12</f>
        <v>0.11717062794568923</v>
      </c>
      <c r="DH199" s="21">
        <f>EXP(-LN(2)/2)*DH198+(1-EXP(-LN(2)/2))/(LN(2)/2)*DB199*DE199*VLOOKUP('Données projet'!$B$13,Paramètres!$A$1:$I$89,3,0)*0.475*44/12</f>
        <v>1.9378207198516911E-24</v>
      </c>
      <c r="DI199" s="22">
        <f t="shared" si="175"/>
        <v>0.19471600830302427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-1.0286385077051818E-13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237.22177246688199</v>
      </c>
      <c r="T200" s="59">
        <f t="shared" si="204"/>
        <v>149.27472147904302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</v>
      </c>
      <c r="AA200" s="21">
        <f>EXP(-LN(2)/25)*AA199+(1-EXP(-LN(2)/25))/(LN(2)/25)*Calculateur!V200*Calculateur!X200*VLOOKUP('Données projet'!$B$9,Paramètres!$A$1:$I$89,3,0)*0.475*44/12</f>
        <v>3.0290917997803184E-2</v>
      </c>
      <c r="AB200" s="21">
        <f>EXP(-LN(2)/2)*AB199+(1-EXP(-LN(2)/2))/(LN(2)/2)*V200*Y200*VLOOKUP('Données projet'!$B$9,Paramètres!$A$1:$I$89,3,0)*0.475*44/12</f>
        <v>4.5252257913391465E-25</v>
      </c>
      <c r="AC200" s="22">
        <f t="shared" si="163"/>
        <v>3.0290917997803184E-2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243.38048563215585</v>
      </c>
      <c r="AO200" s="59">
        <f t="shared" si="205"/>
        <v>372.1604147006675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0.26760716486781899</v>
      </c>
      <c r="AV200" s="21">
        <f>EXP(-LN(2)/25)*AV199+(1-EXP(-LN(2)/25))/(LN(2)/25)*Calculateur!AQ200*Calculateur!AS200*VLOOKUP('Données projet'!$B$10,Paramètres!$A$1:$I$89,3,0)*0.475*44/12</f>
        <v>0.18883368000321082</v>
      </c>
      <c r="AW200" s="21">
        <f>EXP(-LN(2)/2)*AW199+(1-EXP(-LN(2)/2))/(LN(2)/2)*AQ200*AT200*VLOOKUP('Données projet'!$B$10,Paramètres!$A$1:$I$89,3,0)*0.475*44/12</f>
        <v>2.1433068898208062E-24</v>
      </c>
      <c r="AX200" s="21">
        <f t="shared" si="166"/>
        <v>0.45644084487102982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-5.6843418860808015E-13</v>
      </c>
      <c r="BE200" s="13">
        <f>BD200*VLOOKUP('Données projet'!$B$11,Paramètres!$A$1:$I$89,3,0)*VLOOKUP('Données projet'!$B$11,Paramètres!$A$1:$I$89,5,0)</f>
        <v>-3.177547114319168E-13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326.31232746914907</v>
      </c>
      <c r="BJ200" s="59">
        <f t="shared" si="206"/>
        <v>330.17137761430297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0.16725447804238683</v>
      </c>
      <c r="BQ200" s="21">
        <f>EXP(-LN(2)/25)*BQ199+(1-EXP(-LN(2)/25))/(LN(2)/25)*Calculateur!BL200*Calculateur!BN200*VLOOKUP('Données projet'!$B$11,Paramètres!$A$1:$I$89,3,0)*0.475*44/12</f>
        <v>0.29426416464094635</v>
      </c>
      <c r="BR200" s="21">
        <f>EXP(-LN(2)/2)*BR199+(1-EXP(-LN(2)/2))/(LN(2)/2)*BL200*BO200*VLOOKUP('Données projet'!$B$11,Paramètres!$A$1:$I$89,3,0)*0.475*44/12</f>
        <v>2.3777915952293051E-24</v>
      </c>
      <c r="BS200" s="22">
        <f t="shared" si="169"/>
        <v>0.4615186426833332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-2.2737367544323206E-13</v>
      </c>
      <c r="BZ200" s="13">
        <f>BY200*VLOOKUP('Données projet'!$B$12,Paramètres!$A$1:$I$89,3,0)*VLOOKUP('Données projet'!$B$12,Paramètres!$A$1:$I$89,5,0)</f>
        <v>-1.8089849618263545E-13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314.94704727988847</v>
      </c>
      <c r="CE200" s="59">
        <f t="shared" si="207"/>
        <v>366.49199094166454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0.14336855839806711</v>
      </c>
      <c r="CL200" s="21">
        <f>EXP(-LN(2)/25)*CL199+(1-EXP(-LN(2)/25))/(LN(2)/25)*Calculateur!CG200*Calculateur!CI200*VLOOKUP('Données projet'!$B$12,Paramètres!$A$1:$I$89,3,0)*0.475*44/12</f>
        <v>0.24778281668051619</v>
      </c>
      <c r="CM200" s="21">
        <f>EXP(-LN(2)/2)*CM199+(1-EXP(-LN(2)/2))/(LN(2)/2)*CG200*CJ200*VLOOKUP('Données projet'!$B$12,Paramètres!$A$1:$I$89,3,0)*0.475*44/12</f>
        <v>2.1107201764081322E-24</v>
      </c>
      <c r="CN200" s="22">
        <f t="shared" si="172"/>
        <v>0.39115137507858333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-5.6843418860808015E-13</v>
      </c>
      <c r="CU200" s="17">
        <f>CT200*VLOOKUP('Données projet'!$B$13,Paramètres!$A$1:$I$89,3,0)*VLOOKUP('Données projet'!$B$13,Paramètres!$A$1:$I$89,5,0)</f>
        <v>-4.4337866711430256E-13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261.59434871103355</v>
      </c>
      <c r="CZ200" s="59">
        <f t="shared" si="208"/>
        <v>194.97518096665976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7.6024762746539437E-2</v>
      </c>
      <c r="DG200" s="21">
        <f>EXP(-LN(2)/25)*DG199+(1-EXP(-LN(2)/25))/(LN(2)/25)*Calculateur!DB200*Calculateur!DD200*VLOOKUP('Données projet'!$B$13,Paramètres!$A$1:$I$89,3,0)*0.475*44/12</f>
        <v>0.11396659096277884</v>
      </c>
      <c r="DH200" s="21">
        <f>EXP(-LN(2)/2)*DH199+(1-EXP(-LN(2)/2))/(LN(2)/2)*DB200*DE200*VLOOKUP('Données projet'!$B$13,Paramètres!$A$1:$I$89,3,0)*0.475*44/12</f>
        <v>1.3702461717309277E-24</v>
      </c>
      <c r="DI200" s="22">
        <f t="shared" si="175"/>
        <v>0.18999135370931827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-1.0286385077051818E-13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237.22177246688199</v>
      </c>
      <c r="T201" s="59">
        <f t="shared" si="204"/>
        <v>149.27472147904302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</v>
      </c>
      <c r="AA201" s="21">
        <f>EXP(-LN(2)/25)*AA200+(1-EXP(-LN(2)/25))/(LN(2)/25)*Calculateur!V201*Calculateur!X201*VLOOKUP('Données projet'!$B$9,Paramètres!$A$1:$I$89,3,0)*0.475*44/12</f>
        <v>2.946261125222311E-2</v>
      </c>
      <c r="AB201" s="21">
        <f>EXP(-LN(2)/2)*AB200+(1-EXP(-LN(2)/2))/(LN(2)/2)*V201*Y201*VLOOKUP('Données projet'!$B$9,Paramètres!$A$1:$I$89,3,0)*0.475*44/12</f>
        <v>3.1998178434561713E-25</v>
      </c>
      <c r="AC201" s="22">
        <f t="shared" si="163"/>
        <v>2.946261125222311E-2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243.38048563215585</v>
      </c>
      <c r="AO201" s="59">
        <f t="shared" si="205"/>
        <v>372.1604147006675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0.26235955158901458</v>
      </c>
      <c r="AV201" s="21">
        <f>EXP(-LN(2)/25)*AV200+(1-EXP(-LN(2)/25))/(LN(2)/25)*Calculateur!AQ201*Calculateur!AS201*VLOOKUP('Données projet'!$B$10,Paramètres!$A$1:$I$89,3,0)*0.475*44/12</f>
        <v>0.18367001309319136</v>
      </c>
      <c r="AW201" s="21">
        <f>EXP(-LN(2)/2)*AW200+(1-EXP(-LN(2)/2))/(LN(2)/2)*AQ201*AT201*VLOOKUP('Données projet'!$B$10,Paramètres!$A$1:$I$89,3,0)*0.475*44/12</f>
        <v>1.5155468359561405E-24</v>
      </c>
      <c r="AX201" s="21">
        <f t="shared" si="166"/>
        <v>0.44602956468220595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-5.6843418860808015E-13</v>
      </c>
      <c r="BE201" s="13">
        <f>BD201*VLOOKUP('Données projet'!$B$11,Paramètres!$A$1:$I$89,3,0)*VLOOKUP('Données projet'!$B$11,Paramètres!$A$1:$I$89,5,0)</f>
        <v>-3.177547114319168E-13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326.31232746914907</v>
      </c>
      <c r="BJ201" s="59">
        <f t="shared" si="206"/>
        <v>330.17137761430297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0.16397471974313407</v>
      </c>
      <c r="BQ201" s="21">
        <f>EXP(-LN(2)/25)*BQ200+(1-EXP(-LN(2)/25))/(LN(2)/25)*Calculateur!BL201*Calculateur!BN201*VLOOKUP('Données projet'!$B$11,Paramètres!$A$1:$I$89,3,0)*0.475*44/12</f>
        <v>0.28621749558415982</v>
      </c>
      <c r="BR201" s="21">
        <f>EXP(-LN(2)/2)*BR200+(1-EXP(-LN(2)/2))/(LN(2)/2)*BL201*BO201*VLOOKUP('Données projet'!$B$11,Paramètres!$A$1:$I$89,3,0)*0.475*44/12</f>
        <v>1.6813525612350201E-24</v>
      </c>
      <c r="BS201" s="22">
        <f t="shared" si="169"/>
        <v>0.45019221532729392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-2.2737367544323206E-13</v>
      </c>
      <c r="BZ201" s="13">
        <f>BY201*VLOOKUP('Données projet'!$B$12,Paramètres!$A$1:$I$89,3,0)*VLOOKUP('Données projet'!$B$12,Paramètres!$A$1:$I$89,5,0)</f>
        <v>-1.8089849618263545E-13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314.94704727988847</v>
      </c>
      <c r="CE201" s="59">
        <f t="shared" si="207"/>
        <v>366.49199094166454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0.14055718841406706</v>
      </c>
      <c r="CL201" s="21">
        <f>EXP(-LN(2)/25)*CL200+(1-EXP(-LN(2)/25))/(LN(2)/25)*Calculateur!CG201*Calculateur!CI201*VLOOKUP('Données projet'!$B$12,Paramètres!$A$1:$I$89,3,0)*0.475*44/12</f>
        <v>0.24100718252805545</v>
      </c>
      <c r="CM201" s="21">
        <f>EXP(-LN(2)/2)*CM200+(1-EXP(-LN(2)/2))/(LN(2)/2)*CG201*CJ201*VLOOKUP('Données projet'!$B$12,Paramètres!$A$1:$I$89,3,0)*0.475*44/12</f>
        <v>1.4925045499254561E-24</v>
      </c>
      <c r="CN201" s="22">
        <f t="shared" si="172"/>
        <v>0.38156437094212248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-5.6843418860808015E-13</v>
      </c>
      <c r="CU201" s="17">
        <f>CT201*VLOOKUP('Données projet'!$B$13,Paramètres!$A$1:$I$89,3,0)*VLOOKUP('Données projet'!$B$13,Paramètres!$A$1:$I$89,5,0)</f>
        <v>-4.4337866711430256E-13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261.59434871103355</v>
      </c>
      <c r="CZ201" s="59">
        <f t="shared" si="208"/>
        <v>194.97518096665976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7.4533963519606367E-2</v>
      </c>
      <c r="DG201" s="21">
        <f>EXP(-LN(2)/25)*DG200+(1-EXP(-LN(2)/25))/(LN(2)/25)*Calculateur!DB201*Calculateur!DD201*VLOOKUP('Données projet'!$B$13,Paramètres!$A$1:$I$89,3,0)*0.475*44/12</f>
        <v>0.11085016853965911</v>
      </c>
      <c r="DH201" s="21">
        <f>EXP(-LN(2)/2)*DH200+(1-EXP(-LN(2)/2))/(LN(2)/2)*DB201*DE201*VLOOKUP('Données projet'!$B$13,Paramètres!$A$1:$I$89,3,0)*0.475*44/12</f>
        <v>9.6891035992584555E-25</v>
      </c>
      <c r="DI201" s="22">
        <f t="shared" si="175"/>
        <v>0.18538413205926546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-1.0286385077051818E-13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237.22177246688199</v>
      </c>
      <c r="T202" s="59">
        <f t="shared" si="204"/>
        <v>149.27472147904302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</v>
      </c>
      <c r="AA202" s="21">
        <f>EXP(-LN(2)/25)*AA201+(1-EXP(-LN(2)/25))/(LN(2)/25)*Calculateur!V202*Calculateur!X202*VLOOKUP('Données projet'!$B$9,Paramètres!$A$1:$I$89,3,0)*0.475*44/12</f>
        <v>2.865695459815968E-2</v>
      </c>
      <c r="AB202" s="21">
        <f>EXP(-LN(2)/2)*AB201+(1-EXP(-LN(2)/2))/(LN(2)/2)*V202*Y202*VLOOKUP('Données projet'!$B$9,Paramètres!$A$1:$I$89,3,0)*0.475*44/12</f>
        <v>2.2626128956695732E-25</v>
      </c>
      <c r="AC202" s="22">
        <f t="shared" si="163"/>
        <v>2.865695459815968E-2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243.38048563215585</v>
      </c>
      <c r="AO202" s="59">
        <f t="shared" si="205"/>
        <v>372.1604147006675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0.25721484080587947</v>
      </c>
      <c r="AV202" s="21">
        <f>EXP(-LN(2)/25)*AV201+(1-EXP(-LN(2)/25))/(LN(2)/25)*Calculateur!AQ202*Calculateur!AS202*VLOOKUP('Données projet'!$B$10,Paramètres!$A$1:$I$89,3,0)*0.475*44/12</f>
        <v>0.17864754692637183</v>
      </c>
      <c r="AW202" s="21">
        <f>EXP(-LN(2)/2)*AW201+(1-EXP(-LN(2)/2))/(LN(2)/2)*AQ202*AT202*VLOOKUP('Données projet'!$B$10,Paramètres!$A$1:$I$89,3,0)*0.475*44/12</f>
        <v>1.0716534449104031E-24</v>
      </c>
      <c r="AX202" s="21">
        <f t="shared" si="166"/>
        <v>0.43586238773225128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-5.6843418860808015E-13</v>
      </c>
      <c r="BE202" s="13">
        <f>BD202*VLOOKUP('Données projet'!$B$11,Paramètres!$A$1:$I$89,3,0)*VLOOKUP('Données projet'!$B$11,Paramètres!$A$1:$I$89,5,0)</f>
        <v>-3.177547114319168E-13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326.31232746914907</v>
      </c>
      <c r="BJ202" s="59">
        <f t="shared" si="206"/>
        <v>330.17137761430297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0.16075927550367464</v>
      </c>
      <c r="BQ202" s="21">
        <f>EXP(-LN(2)/25)*BQ201+(1-EXP(-LN(2)/25))/(LN(2)/25)*Calculateur!BL202*Calculateur!BN202*VLOOKUP('Données projet'!$B$11,Paramètres!$A$1:$I$89,3,0)*0.475*44/12</f>
        <v>0.27839086311588701</v>
      </c>
      <c r="BR202" s="21">
        <f>EXP(-LN(2)/2)*BR201+(1-EXP(-LN(2)/2))/(LN(2)/2)*BL202*BO202*VLOOKUP('Données projet'!$B$11,Paramètres!$A$1:$I$89,3,0)*0.475*44/12</f>
        <v>1.1888957976146526E-24</v>
      </c>
      <c r="BS202" s="22">
        <f t="shared" si="169"/>
        <v>0.43915013861956165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-2.2737367544323206E-13</v>
      </c>
      <c r="BZ202" s="13">
        <f>BY202*VLOOKUP('Données projet'!$B$12,Paramètres!$A$1:$I$89,3,0)*VLOOKUP('Données projet'!$B$12,Paramètres!$A$1:$I$89,5,0)</f>
        <v>-1.8089849618263545E-13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314.94704727988847</v>
      </c>
      <c r="CE202" s="59">
        <f t="shared" si="207"/>
        <v>366.49199094166454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0.13780094768068685</v>
      </c>
      <c r="CL202" s="21">
        <f>EXP(-LN(2)/25)*CL201+(1-EXP(-LN(2)/25))/(LN(2)/25)*Calculateur!CG202*Calculateur!CI202*VLOOKUP('Données projet'!$B$12,Paramètres!$A$1:$I$89,3,0)*0.475*44/12</f>
        <v>0.23441682844780887</v>
      </c>
      <c r="CM202" s="21">
        <f>EXP(-LN(2)/2)*CM201+(1-EXP(-LN(2)/2))/(LN(2)/2)*CG202*CJ202*VLOOKUP('Données projet'!$B$12,Paramètres!$A$1:$I$89,3,0)*0.475*44/12</f>
        <v>1.0553600882040661E-24</v>
      </c>
      <c r="CN202" s="22">
        <f t="shared" si="172"/>
        <v>0.37221777612849571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-5.6843418860808015E-13</v>
      </c>
      <c r="CU202" s="17">
        <f>CT202*VLOOKUP('Données projet'!$B$13,Paramètres!$A$1:$I$89,3,0)*VLOOKUP('Données projet'!$B$13,Paramètres!$A$1:$I$89,5,0)</f>
        <v>-4.4337866711430256E-13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261.59434871103355</v>
      </c>
      <c r="CZ202" s="59">
        <f t="shared" si="208"/>
        <v>194.97518096665976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7.3072397956215715E-2</v>
      </c>
      <c r="DG202" s="21">
        <f>EXP(-LN(2)/25)*DG201+(1-EXP(-LN(2)/25))/(LN(2)/25)*Calculateur!DB202*Calculateur!DD202*VLOOKUP('Données projet'!$B$13,Paramètres!$A$1:$I$89,3,0)*0.475*44/12</f>
        <v>0.10781896485158511</v>
      </c>
      <c r="DH202" s="21">
        <f>EXP(-LN(2)/2)*DH201+(1-EXP(-LN(2)/2))/(LN(2)/2)*DB202*DE202*VLOOKUP('Données projet'!$B$13,Paramètres!$A$1:$I$89,3,0)*0.475*44/12</f>
        <v>6.8512308586546387E-25</v>
      </c>
      <c r="DI202" s="22">
        <f t="shared" si="175"/>
        <v>0.18089136280780083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-1.0286385077051818E-13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237.22177246688199</v>
      </c>
      <c r="T203" s="59">
        <f t="shared" si="204"/>
        <v>149.27472147904302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</v>
      </c>
      <c r="AA203" s="21">
        <f>EXP(-LN(2)/25)*AA202+(1-EXP(-LN(2)/25))/(LN(2)/25)*Calculateur!V203*Calculateur!X203*VLOOKUP('Données projet'!$B$9,Paramètres!$A$1:$I$89,3,0)*0.475*44/12</f>
        <v>2.7873328667669256E-2</v>
      </c>
      <c r="AB203" s="21">
        <f>EXP(-LN(2)/2)*AB202+(1-EXP(-LN(2)/2))/(LN(2)/2)*V203*Y203*VLOOKUP('Données projet'!$B$9,Paramètres!$A$1:$I$89,3,0)*0.475*44/12</f>
        <v>1.5999089217280856E-25</v>
      </c>
      <c r="AC203" s="22">
        <f t="shared" si="163"/>
        <v>2.7873328667669256E-2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243.38048563215585</v>
      </c>
      <c r="AO203" s="59">
        <f t="shared" si="205"/>
        <v>372.1604147006675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0.25217101466323788</v>
      </c>
      <c r="AV203" s="21">
        <f>EXP(-LN(2)/25)*AV202+(1-EXP(-LN(2)/25))/(LN(2)/25)*Calculateur!AQ203*Calculateur!AS203*VLOOKUP('Données projet'!$B$10,Paramètres!$A$1:$I$89,3,0)*0.475*44/12</f>
        <v>0.17376242036100401</v>
      </c>
      <c r="AW203" s="21">
        <f>EXP(-LN(2)/2)*AW202+(1-EXP(-LN(2)/2))/(LN(2)/2)*AQ203*AT203*VLOOKUP('Données projet'!$B$10,Paramètres!$A$1:$I$89,3,0)*0.475*44/12</f>
        <v>7.5777341797807027E-25</v>
      </c>
      <c r="AX203" s="21">
        <f t="shared" si="166"/>
        <v>0.42593343502424186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-5.6843418860808015E-13</v>
      </c>
      <c r="BE203" s="13">
        <f>BD203*VLOOKUP('Données projet'!$B$11,Paramètres!$A$1:$I$89,3,0)*VLOOKUP('Données projet'!$B$11,Paramètres!$A$1:$I$89,5,0)</f>
        <v>-3.177547114319168E-13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326.31232746914907</v>
      </c>
      <c r="BJ203" s="59">
        <f t="shared" si="206"/>
        <v>330.17137761430297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0.15760688416452365</v>
      </c>
      <c r="BQ203" s="21">
        <f>EXP(-LN(2)/25)*BQ202+(1-EXP(-LN(2)/25))/(LN(2)/25)*Calculateur!BL203*Calculateur!BN203*VLOOKUP('Données projet'!$B$11,Paramètres!$A$1:$I$89,3,0)*0.475*44/12</f>
        <v>0.27077825032404385</v>
      </c>
      <c r="BR203" s="21">
        <f>EXP(-LN(2)/2)*BR202+(1-EXP(-LN(2)/2))/(LN(2)/2)*BL203*BO203*VLOOKUP('Données projet'!$B$11,Paramètres!$A$1:$I$89,3,0)*0.475*44/12</f>
        <v>8.4067628061751003E-25</v>
      </c>
      <c r="BS203" s="22">
        <f t="shared" si="169"/>
        <v>0.42838513448856752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-2.2737367544323206E-13</v>
      </c>
      <c r="BZ203" s="13">
        <f>BY203*VLOOKUP('Données projet'!$B$12,Paramètres!$A$1:$I$89,3,0)*VLOOKUP('Données projet'!$B$12,Paramètres!$A$1:$I$89,5,0)</f>
        <v>-1.8089849618263545E-13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314.94704727988847</v>
      </c>
      <c r="CE203" s="59">
        <f t="shared" si="207"/>
        <v>366.49199094166454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0.13509875514694739</v>
      </c>
      <c r="CL203" s="21">
        <f>EXP(-LN(2)/25)*CL202+(1-EXP(-LN(2)/25))/(LN(2)/25)*Calculateur!CG203*Calculateur!CI203*VLOOKUP('Données projet'!$B$12,Paramètres!$A$1:$I$89,3,0)*0.475*44/12</f>
        <v>0.22800668794645829</v>
      </c>
      <c r="CM203" s="21">
        <f>EXP(-LN(2)/2)*CM202+(1-EXP(-LN(2)/2))/(LN(2)/2)*CG203*CJ203*VLOOKUP('Données projet'!$B$12,Paramètres!$A$1:$I$89,3,0)*0.475*44/12</f>
        <v>7.4625227496272807E-25</v>
      </c>
      <c r="CN203" s="22">
        <f t="shared" si="172"/>
        <v>0.36310544309340564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-5.6843418860808015E-13</v>
      </c>
      <c r="CU203" s="17">
        <f>CT203*VLOOKUP('Données projet'!$B$13,Paramètres!$A$1:$I$89,3,0)*VLOOKUP('Données projet'!$B$13,Paramètres!$A$1:$I$89,5,0)</f>
        <v>-4.4337866711430256E-13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261.59434871103355</v>
      </c>
      <c r="CZ203" s="59">
        <f t="shared" si="208"/>
        <v>194.97518096665976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7.1639492802056184E-2</v>
      </c>
      <c r="DG203" s="21">
        <f>EXP(-LN(2)/25)*DG202+(1-EXP(-LN(2)/25))/(LN(2)/25)*Calculateur!DB203*Calculateur!DD203*VLOOKUP('Données projet'!$B$13,Paramètres!$A$1:$I$89,3,0)*0.475*44/12</f>
        <v>0.10487064958776558</v>
      </c>
      <c r="DH203" s="21">
        <f>EXP(-LN(2)/2)*DH202+(1-EXP(-LN(2)/2))/(LN(2)/2)*DB203*DE203*VLOOKUP('Données projet'!$B$13,Paramètres!$A$1:$I$89,3,0)*0.475*44/12</f>
        <v>4.8445517996292277E-25</v>
      </c>
      <c r="DI203" s="22">
        <f t="shared" si="175"/>
        <v>0.17651014238982177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1.2054868146447177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1.3467943429205997</v>
      </c>
      <c r="BA205" s="82">
        <f>EXP(LN('Données projet'!B88)/'Données projet'!A88)</f>
        <v>1.2820888539868154</v>
      </c>
      <c r="BV205" s="82">
        <f>EXP(LN('Données projet'!B114)/'Données projet'!A114)</f>
        <v>1.3423796509621049</v>
      </c>
      <c r="CQ205" s="82">
        <f>EXP(LN('Données projet'!B140)/'Données projet'!A140)</f>
        <v>1.2595519038446648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6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7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6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8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8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7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6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7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M16" sqref="M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7" t="s">
        <v>271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9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Chêne sessile</v>
      </c>
      <c r="B6" s="146">
        <f>'Données projet'!D9</f>
        <v>4.3858802047134651</v>
      </c>
      <c r="C6" s="147">
        <f ca="1">IF(OR('Données projet'!B9="",'Données projet'!C9="",'Données projet'!C9=0%),0,Calculateur!S3)</f>
        <v>237.22177246688199</v>
      </c>
      <c r="D6" s="147">
        <f>IF(OR('Données projet'!B9="",'Données projet'!C9="",'Données projet'!C9=0%),0,Calculateur!T3)</f>
        <v>149.27472147904302</v>
      </c>
      <c r="E6" s="147">
        <f ca="1">MIN(C6,D6)</f>
        <v>149.27472147904302</v>
      </c>
      <c r="F6" s="147">
        <f ca="1">E6*B6</f>
        <v>654.70104599905073</v>
      </c>
      <c r="G6" s="147">
        <f ca="1">F6*(100%-'Données projet'!$C$24)*(100%-'Données projet'!$C$25)*(100%-'Données projet'!$C$26)*(100%-'Données projet'!$C$27)</f>
        <v>589.23094139914565</v>
      </c>
      <c r="H6" s="148">
        <f>IF(OR('Données projet'!B9="",'Données projet'!C9="",'Données projet'!C9=0%),0,AVERAGE(Calculateur!$AC$3:$AC$33)*B6)</f>
        <v>1.3150971284713158</v>
      </c>
      <c r="I6" s="149">
        <f>H6*(100%-'Données projet'!$C$24)*(100%-'Données projet'!$C$25)*(100%-'Données projet'!$C$26)*(100%-'Données projet'!$C$27)</f>
        <v>1.1835874156241841</v>
      </c>
      <c r="J6" s="150">
        <f>IF(OR('Données projet'!B9="",'Données projet'!C9="",'Données projet'!C9=0%),0,SUM(Calculateur!$V$3:$V$33)*VLOOKUP('Données projet'!$B$9,Paramètres!$A$1:$I$89,9,0)*B6)</f>
        <v>31.797631484172623</v>
      </c>
      <c r="K6" s="151">
        <f>J6*(100%-'Données projet'!$C$24)*(100%-'Données projet'!$C$25)*(100%-'Données projet'!$C$26)*(100%-'Données projet'!$C$27)</f>
        <v>28.617868335755361</v>
      </c>
      <c r="L6" s="152">
        <f ca="1">G6+I6+K6</f>
        <v>619.03239715052518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Chêne rouge d'Amérique</v>
      </c>
      <c r="B7" s="154">
        <f>'Données projet'!D10</f>
        <v>2.4366001137297024</v>
      </c>
      <c r="C7" s="147">
        <f ca="1">IF(OR('Données projet'!B10="",'Données projet'!C10="",'Données projet'!C10=0%),0,Calculateur!AN3)</f>
        <v>243.38048563215585</v>
      </c>
      <c r="D7" s="147">
        <f>IF(OR('Données projet'!B10="",'Données projet'!C10="",'Données projet'!C10=0%),0,Calculateur!AO3)</f>
        <v>372.1604147006675</v>
      </c>
      <c r="E7" s="147">
        <f t="shared" ref="E7:E15" ca="1" si="0">MIN(C7,D7)</f>
        <v>243.38048563215585</v>
      </c>
      <c r="F7" s="147">
        <f t="shared" ref="F7:F15" ca="1" si="1">E7*B7</f>
        <v>593.02091897090111</v>
      </c>
      <c r="G7" s="147">
        <f ca="1">F7*(100%-'Données projet'!$C$24)*(100%-'Données projet'!$C$25)*(100%-'Données projet'!$C$26)*(100%-'Données projet'!$C$27)</f>
        <v>533.71882707381098</v>
      </c>
      <c r="H7" s="155">
        <f>IF(OR('Données projet'!B10="",'Données projet'!C10="",'Données projet'!C10=0%),0,AVERAGE(Calculateur!$AX$3:$AX$33)*B7)</f>
        <v>13.077558677241818</v>
      </c>
      <c r="I7" s="149">
        <f>H7*(100%-'Données projet'!$C$24)*(100%-'Données projet'!$C$25)*(100%-'Données projet'!$C$26)*(100%-'Données projet'!$C$27)</f>
        <v>11.769802809517637</v>
      </c>
      <c r="J7" s="150">
        <f>IF(OR('Données projet'!B10="",'Données projet'!C10="",'Données projet'!C10=0%),0,SUM(Calculateur!$AQ$3:$AQ$33)*VLOOKUP('Données projet'!$B$10,Paramètres!$A$1:$I$89,9,0)*B7)</f>
        <v>92.590804321728697</v>
      </c>
      <c r="K7" s="151">
        <f>J7*(100%-'Données projet'!$C$24)*(100%-'Données projet'!$C$25)*(100%-'Données projet'!$C$26)*(100%-'Données projet'!$C$27)</f>
        <v>83.331723889555832</v>
      </c>
      <c r="L7" s="152">
        <f t="shared" ref="L7:L15" ca="1" si="2">G7+I7+K7</f>
        <v>628.82035377288446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Douglas</v>
      </c>
      <c r="B8" s="154">
        <f>'Données projet'!D11</f>
        <v>0.24366001137297022</v>
      </c>
      <c r="C8" s="147">
        <f ca="1">IF(OR('Données projet'!B11="",'Données projet'!C11="",'Données projet'!C11=0%),0,Calculateur!BI3)</f>
        <v>326.31232746914907</v>
      </c>
      <c r="D8" s="147">
        <f>IF(OR('Données projet'!B11="",'Données projet'!C11="",'Données projet'!C11=0%),0,Calculateur!BJ3)</f>
        <v>330.17137761430297</v>
      </c>
      <c r="E8" s="147">
        <f t="shared" ca="1" si="0"/>
        <v>326.31232746914907</v>
      </c>
      <c r="F8" s="147">
        <f t="shared" ca="1" si="1"/>
        <v>79.509265422273245</v>
      </c>
      <c r="G8" s="147">
        <f ca="1">F8*(100%-'Données projet'!$C$24)*(100%-'Données projet'!$C$25)*(100%-'Données projet'!$C$26)*(100%-'Données projet'!$C$27)</f>
        <v>71.558338880045923</v>
      </c>
      <c r="H8" s="155">
        <f>IF(OR('Données projet'!B11="",'Données projet'!C11="",'Données projet'!C11=0%),0,AVERAGE(Calculateur!$BS$3:$BS$33)*B8)</f>
        <v>1.9376521594345744</v>
      </c>
      <c r="I8" s="149">
        <f>H8*(100%-'Données projet'!$C$24)*(100%-'Données projet'!$C$25)*(100%-'Données projet'!$C$26)*(100%-'Données projet'!$C$27)</f>
        <v>1.7438869434911171</v>
      </c>
      <c r="J8" s="150">
        <f>IF(OR('Données projet'!B11="",'Données projet'!C11="",'Données projet'!C11=0%),0,SUM(Calculateur!$BL$3:$BL$33)*VLOOKUP('Données projet'!$B$11,Paramètres!$A$1:$I$89,9,0)*B8)</f>
        <v>18.335415855816009</v>
      </c>
      <c r="K8" s="151">
        <f>J8*(100%-'Données projet'!$C$24)*(100%-'Données projet'!$C$25)*(100%-'Données projet'!$C$26)*(100%-'Données projet'!$C$27)</f>
        <v>16.50187427023441</v>
      </c>
      <c r="L8" s="152">
        <f t="shared" ca="1" si="2"/>
        <v>89.804100093771453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Erable sycomore</v>
      </c>
      <c r="B9" s="154">
        <f>'Données projet'!D12</f>
        <v>0.32488001516396031</v>
      </c>
      <c r="C9" s="147">
        <f ca="1">IF(OR('Données projet'!B12="",'Données projet'!C12="",'Données projet'!C12=0%),0,Calculateur!CD3)</f>
        <v>314.94704727988847</v>
      </c>
      <c r="D9" s="147">
        <f>IF(OR('Données projet'!B12="",'Données projet'!C12="",'Données projet'!C12=0%),0,Calculateur!CE3)</f>
        <v>366.49199094166454</v>
      </c>
      <c r="E9" s="147">
        <f t="shared" ca="1" si="0"/>
        <v>314.94704727988847</v>
      </c>
      <c r="F9" s="147">
        <f t="shared" ca="1" si="1"/>
        <v>102.32000149613469</v>
      </c>
      <c r="G9" s="147">
        <f ca="1">F9*(100%-'Données projet'!$C$24)*(100%-'Données projet'!$C$25)*(100%-'Données projet'!$C$26)*(100%-'Données projet'!$C$27)</f>
        <v>92.088001346521224</v>
      </c>
      <c r="H9" s="155">
        <f>IF(OR('Données projet'!B12="",'Données projet'!C12="",'Données projet'!C12=0%),0,AVERAGE(Calculateur!$CN$3:$CN$33)*B9)</f>
        <v>2.2406327496602474</v>
      </c>
      <c r="I9" s="149">
        <f>H9*(100%-'Données projet'!$C$24)*(100%-'Données projet'!$C$25)*(100%-'Données projet'!$C$26)*(100%-'Données projet'!$C$27)</f>
        <v>2.0165694746942227</v>
      </c>
      <c r="J9" s="150">
        <f>IF(OR('Données projet'!B12="",'Données projet'!C12="",'Données projet'!C12=0%),0,SUM(Calculateur!$CG$3:$CG$33)*VLOOKUP('Données projet'!$B$12,Paramètres!$A$1:$I$89,9,0)*B9)</f>
        <v>14.213500663423263</v>
      </c>
      <c r="K9" s="151">
        <f>J9*(100%-'Données projet'!$C$24)*(100%-'Données projet'!$C$25)*(100%-'Données projet'!$C$26)*(100%-'Données projet'!$C$27)</f>
        <v>12.792150597080937</v>
      </c>
      <c r="L9" s="152">
        <f t="shared" ca="1" si="2"/>
        <v>106.89672141829638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Merisier</v>
      </c>
      <c r="B10" s="154">
        <f>'Données projet'!D13</f>
        <v>0.73098003411891066</v>
      </c>
      <c r="C10" s="147">
        <f ca="1">IF(OR('Données projet'!B13="",'Données projet'!C13="",'Données projet'!C13=0%),0,Calculateur!CY3)</f>
        <v>261.59434871103355</v>
      </c>
      <c r="D10" s="147">
        <f>IF(OR('Données projet'!B13="",'Données projet'!C13="",'Données projet'!C13=0%),0,Calculateur!CZ3)</f>
        <v>194.97518096665976</v>
      </c>
      <c r="E10" s="147">
        <f t="shared" ca="1" si="0"/>
        <v>194.97518096665976</v>
      </c>
      <c r="F10" s="147">
        <f t="shared" ca="1" si="1"/>
        <v>142.52296443534973</v>
      </c>
      <c r="G10" s="147">
        <f ca="1">F10*(100%-'Données projet'!$C$24)*(100%-'Données projet'!$C$25)*(100%-'Données projet'!$C$26)*(100%-'Données projet'!$C$27)</f>
        <v>128.27066799181478</v>
      </c>
      <c r="H10" s="155">
        <f>IF(OR('Données projet'!B13="",'Données projet'!C13="",'Données projet'!C13=0%),0,AVERAGE(Calculateur!$DI$3:$DI$33)*B10)</f>
        <v>1.9097818928389472</v>
      </c>
      <c r="I10" s="149">
        <f>H10*(100%-'Données projet'!$C$24)*(100%-'Données projet'!$C$25)*(100%-'Données projet'!$C$26)*(100%-'Données projet'!$C$27)</f>
        <v>1.7188037035550525</v>
      </c>
      <c r="J10" s="150">
        <f>IF(OR('Données projet'!B13="",'Données projet'!C13="",'Données projet'!C13=0%),0,SUM(Calculateur!$DB$3:$DB$33)*VLOOKUP('Données projet'!$B$13,Paramètres!$A$1:$I$89,9,0)*B10)</f>
        <v>16.447050767675488</v>
      </c>
      <c r="K10" s="151">
        <f>J10*(100%-'Données projet'!$C$24)*(100%-'Données projet'!$C$25)*(100%-'Données projet'!$C$26)*(100%-'Données projet'!$C$27)</f>
        <v>14.80234569090794</v>
      </c>
      <c r="L10" s="152">
        <f t="shared" ca="1" si="2"/>
        <v>144.79181738627776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1572.0741963237094</v>
      </c>
      <c r="G16" s="166">
        <f t="shared" ca="1" si="3"/>
        <v>1414.8667766913386</v>
      </c>
      <c r="H16" s="167">
        <f t="shared" si="3"/>
        <v>20.4807226076469</v>
      </c>
      <c r="I16" s="167">
        <f t="shared" si="3"/>
        <v>18.432650346882212</v>
      </c>
      <c r="J16" s="168">
        <f t="shared" si="3"/>
        <v>173.38440309281609</v>
      </c>
      <c r="K16" s="168">
        <f t="shared" si="3"/>
        <v>156.04596278353449</v>
      </c>
      <c r="L16" s="169">
        <f t="shared" ca="1" si="3"/>
        <v>1589.3453898217551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9" t="s">
        <v>246</v>
      </c>
      <c r="G17" s="290"/>
      <c r="H17" s="290"/>
      <c r="I17" s="290"/>
      <c r="J17" s="290"/>
      <c r="K17" s="290"/>
      <c r="L17" s="290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6"/>
      <c r="G18" s="276"/>
      <c r="H18" s="276"/>
      <c r="I18" s="276"/>
      <c r="J18" s="276"/>
      <c r="K18" s="276"/>
      <c r="L18" s="276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Chêne rouge d'Amérique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Douglas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Erable sycomore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Merisier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Q1" zoomScaleNormal="100" workbookViewId="0">
      <selection activeCell="X31" sqref="X3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7" t="s">
        <v>272</v>
      </c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9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7" t="s">
        <v>315</v>
      </c>
      <c r="I4" s="267"/>
      <c r="K4" s="291" t="s">
        <v>253</v>
      </c>
      <c r="L4" s="292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-942.85329777212064</v>
      </c>
      <c r="U10" s="178">
        <f>'Données projet'!D9</f>
        <v>4.3858802047134651</v>
      </c>
      <c r="V10" s="177">
        <f>U10*T10</f>
        <v>-4135.2416146475543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rouge d'Amérique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320.54003571482804</v>
      </c>
      <c r="U11" s="178">
        <f>'Données projet'!D10</f>
        <v>2.4366001137297024</v>
      </c>
      <c r="V11" s="177">
        <f t="shared" ref="V11" si="0">U11*T11</f>
        <v>781.02788747767283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Douglas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3288.6098633910128</v>
      </c>
      <c r="U12" s="178">
        <f>'Données projet'!D11</f>
        <v>0.24366001137297022</v>
      </c>
      <c r="V12" s="177">
        <f t="shared" ref="V12:V19" si="1">U12*T12</f>
        <v>801.30271671511628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Erable sycomore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2390.0190043141492</v>
      </c>
      <c r="U13" s="178">
        <f>'Données projet'!D12</f>
        <v>0.32488001516396031</v>
      </c>
      <c r="V13" s="177">
        <f t="shared" si="1"/>
        <v>776.46941036373414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Merisier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-653.27911170860511</v>
      </c>
      <c r="U14" s="178">
        <f>'Données projet'!D13</f>
        <v>0.73098003411891066</v>
      </c>
      <c r="V14" s="177">
        <f t="shared" si="1"/>
        <v>-477.53398736592783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94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4"/>
      <c r="H16" s="190"/>
      <c r="I16" s="191"/>
      <c r="J16" s="202"/>
      <c r="K16" s="208"/>
      <c r="L16" s="291" t="s">
        <v>254</v>
      </c>
      <c r="M16" s="292"/>
      <c r="N16" s="2">
        <v>30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1532.7</v>
      </c>
      <c r="F17" s="230"/>
      <c r="G17" s="294"/>
      <c r="J17" s="202"/>
      <c r="K17" s="208"/>
      <c r="L17" s="264" t="s">
        <v>289</v>
      </c>
      <c r="M17" s="266"/>
      <c r="N17" s="175">
        <f>VLOOKUP(N16,Calculateur!$A$2:$H$153,3,0)/VLOOKUP('Scénario référence'!$G$15,Paramètres!A1:I89,3,0)/VLOOKUP('Scénario référence'!$G$15,Paramètres!A1:I89,5,0)</f>
        <v>29.999999999999993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94"/>
      <c r="J18" s="202"/>
      <c r="K18" s="208"/>
      <c r="L18" s="264" t="s">
        <v>255</v>
      </c>
      <c r="M18" s="266"/>
      <c r="N18" s="192">
        <v>20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94"/>
      <c r="H19" s="212" t="s">
        <v>178</v>
      </c>
      <c r="I19" s="212" t="s">
        <v>287</v>
      </c>
      <c r="J19" s="93"/>
      <c r="K19" s="173"/>
      <c r="L19" s="291" t="s">
        <v>288</v>
      </c>
      <c r="M19" s="292"/>
      <c r="N19" s="179">
        <f>N17*N18</f>
        <v>599.99999999999989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94"/>
      <c r="H20" s="190">
        <v>0</v>
      </c>
      <c r="I20" s="191">
        <v>959.56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0</v>
      </c>
      <c r="I21" s="191">
        <v>900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0</v>
      </c>
      <c r="I22" s="191">
        <v>245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20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0</v>
      </c>
      <c r="I23" s="191">
        <v>572.32000000000005</v>
      </c>
      <c r="K23" s="208"/>
      <c r="L23" s="293" t="s">
        <v>260</v>
      </c>
      <c r="M23" s="293"/>
      <c r="N23" s="293"/>
      <c r="O23" s="23"/>
      <c r="P23" s="23"/>
      <c r="Q23" s="234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-65083.617999511567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30</v>
      </c>
      <c r="B24" s="181">
        <f>'Données projet'!D37</f>
        <v>29</v>
      </c>
      <c r="C24" s="191">
        <v>8</v>
      </c>
      <c r="D24" s="182">
        <f t="shared" ref="D24:D42" si="2">B24*C24</f>
        <v>232</v>
      </c>
      <c r="E24" s="193"/>
      <c r="F24" s="233"/>
      <c r="H24" s="190">
        <v>0</v>
      </c>
      <c r="I24" s="191">
        <v>3453.5</v>
      </c>
      <c r="K24" s="208"/>
      <c r="O24" s="23"/>
      <c r="P24" s="23"/>
      <c r="Q24" s="234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1301.1445363003916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40</v>
      </c>
      <c r="B25" s="181">
        <f>'Données projet'!D38</f>
        <v>42</v>
      </c>
      <c r="C25" s="191">
        <v>12</v>
      </c>
      <c r="D25" s="182">
        <f t="shared" si="2"/>
        <v>504</v>
      </c>
      <c r="E25" s="193"/>
      <c r="F25" s="233"/>
      <c r="H25" s="190">
        <v>2</v>
      </c>
      <c r="I25" s="191">
        <v>725.63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8">
        <f ca="1">T23-T24</f>
        <v>-66384.762535811955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50</v>
      </c>
      <c r="B26" s="181">
        <f>'Données projet'!D39</f>
        <v>42</v>
      </c>
      <c r="C26" s="191">
        <v>15</v>
      </c>
      <c r="D26" s="182">
        <f t="shared" si="2"/>
        <v>630</v>
      </c>
      <c r="E26" s="193"/>
      <c r="F26" s="233"/>
      <c r="G26" s="229"/>
      <c r="H26" s="190">
        <v>4</v>
      </c>
      <c r="I26" s="191">
        <v>500</v>
      </c>
      <c r="K26" s="208"/>
      <c r="L26" s="295" t="s">
        <v>258</v>
      </c>
      <c r="M26" s="296"/>
      <c r="N26" s="296"/>
      <c r="O26" s="296"/>
      <c r="P26" s="297"/>
      <c r="Q26" s="234"/>
      <c r="R26" s="23"/>
      <c r="S26" s="186" t="s">
        <v>265</v>
      </c>
      <c r="T26" s="305" t="str">
        <f ca="1">IF(T25&lt;0,"Votre projet est additionnel","Votre projet n'est pas additionnel")</f>
        <v>Votre projet est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60</v>
      </c>
      <c r="B27" s="181">
        <f>'Données projet'!D40</f>
        <v>42</v>
      </c>
      <c r="C27" s="191">
        <v>20</v>
      </c>
      <c r="D27" s="182">
        <f t="shared" si="2"/>
        <v>840</v>
      </c>
      <c r="E27" s="193"/>
      <c r="F27" s="233"/>
      <c r="G27" s="229"/>
      <c r="H27" s="190">
        <v>5</v>
      </c>
      <c r="I27" s="191">
        <v>650</v>
      </c>
      <c r="K27" s="208"/>
      <c r="L27" s="298"/>
      <c r="M27" s="299"/>
      <c r="N27" s="299"/>
      <c r="O27" s="299"/>
      <c r="P27" s="300"/>
      <c r="Q27" s="234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70</v>
      </c>
      <c r="B28" s="181">
        <f>'Données projet'!D41</f>
        <v>42</v>
      </c>
      <c r="C28" s="191">
        <v>25</v>
      </c>
      <c r="D28" s="182">
        <f t="shared" si="2"/>
        <v>1050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80</v>
      </c>
      <c r="B29" s="181">
        <f>'Données projet'!D42</f>
        <v>42</v>
      </c>
      <c r="C29" s="191">
        <v>30</v>
      </c>
      <c r="D29" s="182">
        <f t="shared" si="2"/>
        <v>1260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90</v>
      </c>
      <c r="B30" s="181">
        <f>'Données projet'!D43</f>
        <v>42</v>
      </c>
      <c r="C30" s="191">
        <v>35</v>
      </c>
      <c r="D30" s="182">
        <f t="shared" si="2"/>
        <v>1470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100</v>
      </c>
      <c r="B31" s="181">
        <f>'Données projet'!D44</f>
        <v>42</v>
      </c>
      <c r="C31" s="191">
        <v>50</v>
      </c>
      <c r="D31" s="182">
        <f t="shared" si="2"/>
        <v>2100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110</v>
      </c>
      <c r="B32" s="181">
        <f>'Données projet'!D45</f>
        <v>39</v>
      </c>
      <c r="C32" s="191">
        <v>60</v>
      </c>
      <c r="D32" s="182">
        <f t="shared" si="2"/>
        <v>2340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120</v>
      </c>
      <c r="B33" s="181">
        <f>'Données projet'!D46</f>
        <v>303</v>
      </c>
      <c r="C33" s="191">
        <v>100</v>
      </c>
      <c r="D33" s="182">
        <f t="shared" si="2"/>
        <v>30300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Chêne rouge d'Amérique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731.46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15</v>
      </c>
      <c r="B54" s="181">
        <f>'Données projet'!D62</f>
        <v>21</v>
      </c>
      <c r="C54" s="191">
        <v>8</v>
      </c>
      <c r="D54" s="179">
        <f>B54*C54</f>
        <v>168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20</v>
      </c>
      <c r="B55" s="181">
        <f>'Données projet'!D63</f>
        <v>43</v>
      </c>
      <c r="C55" s="191">
        <v>8</v>
      </c>
      <c r="D55" s="179">
        <f t="shared" ref="D55:D73" si="4">B55*C55</f>
        <v>344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30</v>
      </c>
      <c r="B56" s="181">
        <f>'Données projet'!D64</f>
        <v>88</v>
      </c>
      <c r="C56" s="191">
        <v>8</v>
      </c>
      <c r="D56" s="179">
        <f t="shared" si="4"/>
        <v>704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40</v>
      </c>
      <c r="B57" s="181">
        <f>'Données projet'!D65</f>
        <v>81</v>
      </c>
      <c r="C57" s="191">
        <v>12</v>
      </c>
      <c r="D57" s="179">
        <f t="shared" si="4"/>
        <v>972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50</v>
      </c>
      <c r="B58" s="181">
        <f>'Données projet'!D66</f>
        <v>69</v>
      </c>
      <c r="C58" s="191">
        <v>18</v>
      </c>
      <c r="D58" s="179">
        <f t="shared" si="4"/>
        <v>1242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60</v>
      </c>
      <c r="B59" s="181">
        <f>'Données projet'!D67</f>
        <v>55</v>
      </c>
      <c r="C59" s="191">
        <v>25</v>
      </c>
      <c r="D59" s="179">
        <f t="shared" si="4"/>
        <v>1375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70</v>
      </c>
      <c r="B60" s="181">
        <f>'Données projet'!D68</f>
        <v>272</v>
      </c>
      <c r="C60" s="261">
        <v>30</v>
      </c>
      <c r="D60" s="179">
        <f t="shared" si="4"/>
        <v>8160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Douglas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881.94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>
        <v>332.81</v>
      </c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10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20</v>
      </c>
      <c r="B86" s="181">
        <f>'Données projet'!D89</f>
        <v>63</v>
      </c>
      <c r="C86" s="191">
        <v>12</v>
      </c>
      <c r="D86" s="179">
        <f t="shared" ref="D86:D104" si="6">B86*C86</f>
        <v>756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30</v>
      </c>
      <c r="B87" s="181">
        <f>'Données projet'!D90</f>
        <v>112</v>
      </c>
      <c r="C87" s="191">
        <v>35</v>
      </c>
      <c r="D87" s="179">
        <f t="shared" si="6"/>
        <v>3920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40</v>
      </c>
      <c r="B88" s="181">
        <f>'Données projet'!D91</f>
        <v>112</v>
      </c>
      <c r="C88" s="191">
        <v>45</v>
      </c>
      <c r="D88" s="179">
        <f t="shared" si="6"/>
        <v>5040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50</v>
      </c>
      <c r="B89" s="181">
        <f>'Données projet'!D92</f>
        <v>108</v>
      </c>
      <c r="C89" s="191">
        <v>50</v>
      </c>
      <c r="D89" s="179">
        <f t="shared" si="6"/>
        <v>5400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60</v>
      </c>
      <c r="B90" s="181">
        <f>'Données projet'!D93</f>
        <v>83</v>
      </c>
      <c r="C90" s="191">
        <v>55</v>
      </c>
      <c r="D90" s="179">
        <f t="shared" si="6"/>
        <v>4565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70</v>
      </c>
      <c r="B91" s="181">
        <f>'Données projet'!D94</f>
        <v>67</v>
      </c>
      <c r="C91" s="191">
        <v>60</v>
      </c>
      <c r="D91" s="179">
        <f t="shared" si="6"/>
        <v>4020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80</v>
      </c>
      <c r="B92" s="181">
        <f>'Données projet'!D95</f>
        <v>651</v>
      </c>
      <c r="C92" s="191">
        <v>60</v>
      </c>
      <c r="D92" s="179">
        <f t="shared" si="6"/>
        <v>39060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str">
        <f>IF(O103+1&lt;=MIN('Données projet'!$E$9:$E$18),O103+1,"STOP")</f>
        <v>STOP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Erable sycomore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1031.99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10</v>
      </c>
      <c r="B116" s="181">
        <f>'Données projet'!D114</f>
        <v>7</v>
      </c>
      <c r="C116" s="193">
        <v>10</v>
      </c>
      <c r="D116" s="179">
        <f>B116*C116</f>
        <v>70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20</v>
      </c>
      <c r="B117" s="181">
        <f>'Données projet'!D115</f>
        <v>84</v>
      </c>
      <c r="C117" s="193">
        <v>20</v>
      </c>
      <c r="D117" s="179">
        <f t="shared" ref="D117:D135" si="8">B117*C117</f>
        <v>1680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30</v>
      </c>
      <c r="B118" s="181">
        <f>'Données projet'!D116</f>
        <v>84</v>
      </c>
      <c r="C118" s="193">
        <v>30</v>
      </c>
      <c r="D118" s="179">
        <f t="shared" si="8"/>
        <v>2520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40</v>
      </c>
      <c r="B119" s="181">
        <f>'Données projet'!D117</f>
        <v>82</v>
      </c>
      <c r="C119" s="193">
        <v>40</v>
      </c>
      <c r="D119" s="179">
        <f t="shared" si="8"/>
        <v>3280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50</v>
      </c>
      <c r="B120" s="181">
        <f>'Données projet'!D118</f>
        <v>47</v>
      </c>
      <c r="C120" s="193">
        <v>50</v>
      </c>
      <c r="D120" s="179">
        <f t="shared" si="8"/>
        <v>2350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60</v>
      </c>
      <c r="B121" s="181">
        <f>'Données projet'!D119</f>
        <v>35</v>
      </c>
      <c r="C121" s="193">
        <v>60</v>
      </c>
      <c r="D121" s="179">
        <f t="shared" si="8"/>
        <v>2100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70</v>
      </c>
      <c r="B122" s="181">
        <f>'Données projet'!D120</f>
        <v>31</v>
      </c>
      <c r="C122" s="193">
        <v>70</v>
      </c>
      <c r="D122" s="179">
        <f t="shared" si="8"/>
        <v>2170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80</v>
      </c>
      <c r="B123" s="181">
        <f>'Données projet'!D121</f>
        <v>395</v>
      </c>
      <c r="C123" s="193">
        <v>80</v>
      </c>
      <c r="D123" s="179">
        <f t="shared" si="8"/>
        <v>31600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Merisier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1732.72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20</v>
      </c>
      <c r="B147" s="175">
        <f>'Données projet'!D140</f>
        <v>34</v>
      </c>
      <c r="C147" s="191">
        <v>8</v>
      </c>
      <c r="D147" s="182">
        <f>B147*C147</f>
        <v>272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30</v>
      </c>
      <c r="B148" s="175">
        <f>'Données projet'!D141</f>
        <v>56</v>
      </c>
      <c r="C148" s="191">
        <v>12</v>
      </c>
      <c r="D148" s="182">
        <f t="shared" ref="D148:D166" si="10">B148*C148</f>
        <v>672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40</v>
      </c>
      <c r="B149" s="175">
        <f>'Données projet'!D142</f>
        <v>56</v>
      </c>
      <c r="C149" s="191">
        <v>15</v>
      </c>
      <c r="D149" s="182">
        <f t="shared" si="10"/>
        <v>840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50</v>
      </c>
      <c r="B150" s="175">
        <f>'Données projet'!D143</f>
        <v>56</v>
      </c>
      <c r="C150" s="191">
        <v>20</v>
      </c>
      <c r="D150" s="182">
        <f t="shared" si="10"/>
        <v>1120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60</v>
      </c>
      <c r="B151" s="175">
        <f>'Données projet'!D144</f>
        <v>56</v>
      </c>
      <c r="C151" s="191">
        <v>25</v>
      </c>
      <c r="D151" s="182">
        <f t="shared" si="10"/>
        <v>1400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70</v>
      </c>
      <c r="B152" s="175">
        <f>'Données projet'!D145</f>
        <v>56</v>
      </c>
      <c r="C152" s="191">
        <v>30</v>
      </c>
      <c r="D152" s="182">
        <f t="shared" si="10"/>
        <v>1680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80</v>
      </c>
      <c r="B153" s="175">
        <f>'Données projet'!D146</f>
        <v>56</v>
      </c>
      <c r="C153" s="191">
        <v>35</v>
      </c>
      <c r="D153" s="182">
        <f t="shared" si="10"/>
        <v>1960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90</v>
      </c>
      <c r="B154" s="175">
        <f>'Données projet'!D147</f>
        <v>56</v>
      </c>
      <c r="C154" s="191">
        <v>40</v>
      </c>
      <c r="D154" s="182">
        <f t="shared" si="10"/>
        <v>2240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100</v>
      </c>
      <c r="B155" s="175">
        <f>'Données projet'!D148</f>
        <v>55</v>
      </c>
      <c r="C155" s="191">
        <v>50</v>
      </c>
      <c r="D155" s="182">
        <f t="shared" si="10"/>
        <v>2750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110</v>
      </c>
      <c r="B156" s="175">
        <f>'Données projet'!D149</f>
        <v>51</v>
      </c>
      <c r="C156" s="191">
        <v>60</v>
      </c>
      <c r="D156" s="182">
        <f t="shared" si="10"/>
        <v>3060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120</v>
      </c>
      <c r="B157" s="175">
        <f>'Données projet'!D150</f>
        <v>361</v>
      </c>
      <c r="C157" s="191">
        <v>100</v>
      </c>
      <c r="D157" s="182">
        <f t="shared" si="10"/>
        <v>36100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Thomas Robinet</cp:lastModifiedBy>
  <dcterms:created xsi:type="dcterms:W3CDTF">2021-02-01T08:22:39Z</dcterms:created>
  <dcterms:modified xsi:type="dcterms:W3CDTF">2023-02-03T13:38:48Z</dcterms:modified>
</cp:coreProperties>
</file>