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Auxerre\1 - Prunoy Morisois\DDP_Novembre 2022\"/>
    </mc:Choice>
  </mc:AlternateContent>
  <xr:revisionPtr revIDLastSave="0" documentId="13_ncr:1_{EA54B4BE-1E9D-476D-BE29-B82650EEE007}" xr6:coauthVersionLast="47" xr6:coauthVersionMax="47" xr10:uidLastSave="{00000000-0000-0000-0000-000000000000}"/>
  <bookViews>
    <workbookView xWindow="25080" yWindow="-510" windowWidth="23280" windowHeight="1320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0" i="6" l="1"/>
  <c r="E79" i="6"/>
  <c r="E48" i="6"/>
  <c r="E18" i="6"/>
  <c r="I21" i="6" l="1"/>
  <c r="I22" i="6"/>
  <c r="I23" i="6"/>
  <c r="I20" i="6"/>
  <c r="D98" i="1"/>
  <c r="B98" i="1"/>
  <c r="D97" i="1"/>
  <c r="D96" i="1"/>
  <c r="D95" i="1"/>
  <c r="D94" i="1"/>
  <c r="D93" i="1"/>
  <c r="D92" i="1"/>
  <c r="D91" i="1"/>
  <c r="D90" i="1"/>
  <c r="D89" i="1"/>
  <c r="D68" i="1"/>
  <c r="B147" i="1" l="1"/>
  <c r="D147" i="1" s="1"/>
  <c r="D146" i="1"/>
  <c r="D145" i="1"/>
  <c r="D144" i="1"/>
  <c r="D143" i="1"/>
  <c r="D142" i="1"/>
  <c r="D141" i="1"/>
  <c r="D173" i="1"/>
  <c r="B173" i="1"/>
  <c r="D172" i="1"/>
  <c r="D171" i="1"/>
  <c r="D170" i="1"/>
  <c r="D169" i="1"/>
  <c r="D168" i="1"/>
  <c r="D16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EX18" i="2"/>
  <c r="FS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HH33" i="2"/>
  <c r="HG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A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FQ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EX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B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DH156" i="2"/>
  <c r="AB156" i="2"/>
  <c r="HH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X157" i="2"/>
  <c r="HH157" i="2"/>
  <c r="HG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C160" i="2"/>
  <c r="H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A161" i="2"/>
  <c r="ED160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DI161" i="2"/>
  <c r="EC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EY163" i="2" s="1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H164" i="2" l="1"/>
  <c r="EA164" i="2"/>
  <c r="EX164" i="2"/>
  <c r="EV164" i="2"/>
  <c r="FR164" i="2"/>
  <c r="DI163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DG167" i="2"/>
  <c r="EA167" i="2"/>
  <c r="HH167" i="2"/>
  <c r="EB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HH168" i="2"/>
  <c r="EV168" i="2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B175" i="2"/>
  <c r="HI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EW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HG179" i="2"/>
  <c r="HI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EA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D185" i="2"/>
  <c r="HH186" i="2"/>
  <c r="FR186" i="2"/>
  <c r="EA186" i="2"/>
  <c r="HG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A192" i="2"/>
  <c r="EW192" i="2"/>
  <c r="HI192" i="2"/>
  <c r="EV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B193" i="2" l="1"/>
  <c r="HI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A195" i="2" l="1"/>
  <c r="ED194" i="2"/>
  <c r="DH195" i="2"/>
  <c r="EX195" i="2"/>
  <c r="HG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FS199" i="2"/>
  <c r="EW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EA201" i="2"/>
  <c r="EB201" i="2"/>
  <c r="HH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X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AH92" i="2" a="1"/>
  <c r="AH92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30" i="2" a="1"/>
  <c r="FY30" i="2" s="1"/>
  <c r="FD48" i="2" a="1"/>
  <c r="FD48" i="2" s="1"/>
  <c r="FD159" i="2" a="1"/>
  <c r="FD159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D107" i="2" l="1" a="1"/>
  <c r="FD107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D44" i="2" a="1"/>
  <c r="FD44" i="2" s="1"/>
  <c r="FD167" i="2" a="1"/>
  <c r="FD167" i="2" s="1"/>
  <c r="FD188" i="2" a="1"/>
  <c r="FD188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82" i="2" a="1"/>
  <c r="FD82" i="2" s="1"/>
  <c r="FD160" i="2" a="1"/>
  <c r="FD160" i="2" s="1"/>
  <c r="FD189" i="2" a="1"/>
  <c r="FD189" i="2" s="1"/>
  <c r="FY142" i="2" a="1"/>
  <c r="FY142" i="2" s="1"/>
  <c r="FY86" i="2" a="1"/>
  <c r="FY8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<sst xmlns="http://schemas.openxmlformats.org/spreadsheetml/2006/main" count="1176" uniqueCount="327">
  <si>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</si>
  <si>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</si>
  <si>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</si>
  <si>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</si>
  <si>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</si>
  <si>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</si>
  <si>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</si>
  <si>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</si>
  <si>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</si>
  <si>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</si>
  <si>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</si>
  <si>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</si>
  <si>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</si>
  <si>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</si>
  <si>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</si>
  <si>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</si>
  <si>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</si>
  <si>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</si>
  <si>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</si>
  <si>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</si>
  <si>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</si>
  <si>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</si>
  <si>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</si>
  <si>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</si>
  <si>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</si>
  <si>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</si>
  <si>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</si>
  <si>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</si>
  <si>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</si>
  <si>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</si>
  <si>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</si>
  <si>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</si>
  <si>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</si>
  <si>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</si>
  <si>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</si>
  <si>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</si>
  <si>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</si>
  <si>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</si>
  <si>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</si>
  <si>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</si>
  <si>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</si>
  <si>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</si>
  <si>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</si>
  <si>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</si>
  <si>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</si>
  <si>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</si>
  <si>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</si>
  <si>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</si>
  <si>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</si>
  <si>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</si>
  <si>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</si>
  <si>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</si>
  <si>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</si>
  <si>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</si>
  <si>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</si>
  <si>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</si>
  <si>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</si>
  <si>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</si>
  <si>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</si>
  <si>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</si>
  <si>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</si>
  <si>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</si>
  <si>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</si>
  <si>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</si>
  <si>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</si>
  <si>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</si>
  <si>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</si>
  <si>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</si>
  <si>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</si>
  <si>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</si>
  <si>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</si>
  <si>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</si>
  <si>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</si>
  <si>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</si>
  <si>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</si>
  <si>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</si>
  <si>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</si>
  <si>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</si>
  <si>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</si>
  <si>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</si>
  <si>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</si>
  <si>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</si>
  <si>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</si>
  <si>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</si>
  <si>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</si>
  <si>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</si>
  <si>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</si>
  <si>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</si>
  <si>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</si>
  <si>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</si>
  <si>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</si>
  <si>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</si>
  <si>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</si>
  <si>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</si>
  <si>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</si>
  <si>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</si>
  <si>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</si>
  <si>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</si>
  <si>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</si>
  <si>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</si>
  <si>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</si>
  <si>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</si>
  <si>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</si>
  <si>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</si>
  <si>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</si>
  <si>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</si>
  <si>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</si>
  <si>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</si>
  <si>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</si>
  <si>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</si>
  <si>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</si>
  <si>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</si>
  <si>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</si>
  <si>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</si>
  <si>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</si>
  <si>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</si>
  <si>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</si>
  <si>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</si>
  <si>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</si>
  <si>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</si>
  <si>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</si>
  <si>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</si>
  <si>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</si>
  <si>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</si>
  <si>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</si>
  <si>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</si>
  <si>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</si>
  <si>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</si>
  <si>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</si>
  <si>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</si>
  <si>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</si>
  <si>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</si>
  <si>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</si>
  <si>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</si>
  <si>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</si>
  <si>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</si>
  <si>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</si>
  <si>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</si>
  <si>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</si>
  <si>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</si>
  <si>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</si>
  <si>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</si>
  <si>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</si>
  <si>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</si>
  <si>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</si>
  <si>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</si>
  <si>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</si>
  <si>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</si>
  <si>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</si>
  <si>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</si>
  <si>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</si>
  <si>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</si>
  <si>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</si>
  <si>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</si>
  <si>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</si>
  <si>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</si>
  <si>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</si>
  <si>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</si>
  <si>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</si>
  <si>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</si>
  <si>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</si>
  <si>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</si>
  <si>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</si>
  <si>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</si>
  <si>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</si>
  <si>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</si>
  <si>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</si>
  <si>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</si>
  <si>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</si>
  <si>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</si>
  <si>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</si>
  <si>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</si>
  <si>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</si>
  <si>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</si>
  <si>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</si>
  <si>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</si>
  <si>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</si>
  <si>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</si>
  <si>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</si>
  <si>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</si>
  <si>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</si>
  <si>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</si>
  <si>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</si>
  <si>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</si>
  <si>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</si>
  <si>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</si>
  <si>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</si>
  <si>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</si>
  <si>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</si>
  <si>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</si>
  <si>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</si>
  <si>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</si>
  <si>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</si>
  <si>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</si>
  <si>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</si>
  <si>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</si>
  <si>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</si>
  <si>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</si>
  <si>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</si>
  <si>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</si>
  <si>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</si>
  <si>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</si>
  <si>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</si>
  <si>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</si>
  <si>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</si>
  <si>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</si>
  <si>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</si>
  <si>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</si>
  <si>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</si>
  <si>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</si>
  <si>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</si>
  <si>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</si>
  <si>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</si>
  <si>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</si>
  <si>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</si>
  <si>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</si>
  <si>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</si>
  <si>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</si>
  <si>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</si>
  <si>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</si>
  <si>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</si>
  <si>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</si>
  <si>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</si>
  <si>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</si>
  <si>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</si>
  <si>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</si>
  <si>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</si>
  <si>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</si>
  <si>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</si>
  <si>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</si>
  <si>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</si>
  <si>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</si>
  <si>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</si>
  <si>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</si>
  <si>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</si>
  <si>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</si>
  <si>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</si>
  <si>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</si>
  <si>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</si>
  <si>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</si>
  <si>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</si>
  <si>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</si>
  <si>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</si>
  <si>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</si>
  <si>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</si>
  <si>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</si>
  <si>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</si>
  <si>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</si>
  <si>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</si>
  <si>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</si>
  <si>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</si>
  <si>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</si>
  <si>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</si>
  <si>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</si>
  <si>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</si>
  <si>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</si>
  <si>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</si>
  <si>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</si>
  <si>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</si>
  <si>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</si>
  <si>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</si>
  <si>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</si>
  <si>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</si>
  <si>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</si>
  <si>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</si>
  <si>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</si>
  <si>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</si>
  <si>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</si>
  <si>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</si>
  <si>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</si>
  <si>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</si>
  <si>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</si>
  <si>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</si>
  <si>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</si>
  <si>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</si>
  <si>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</si>
  <si>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</si>
  <si>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</si>
  <si>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</si>
  <si>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</si>
  <si>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</si>
  <si>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</si>
  <si>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</si>
  <si>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</si>
  <si>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</si>
  <si>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</si>
  <si>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</si>
  <si>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</si>
  <si>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</si>
  <si>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</si>
  <si>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</si>
  <si>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</si>
  <si>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</si>
  <si>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</si>
  <si>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</si>
  <si>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</si>
  <si>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</si>
  <si>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</si>
  <si>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</si>
  <si>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</si>
  <si>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</si>
  <si>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</si>
  <si>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</si>
  <si>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</si>
  <si>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</si>
  <si>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</si>
  <si>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</si>
  <si>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</si>
  <si>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</si>
  <si>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</si>
  <si>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</si>
  <si>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</si>
  <si>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</si>
  <si>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</si>
  <si>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</si>
  <si>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</si>
  <si>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</si>
  <si>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</si>
  <si>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</si>
  <si>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</si>
  <si>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</si>
  <si>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</si>
  <si>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</si>
  <si>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</si>
  <si>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0 : Broyage + Potet</t>
  </si>
  <si>
    <t>1: Entretien + Frais fixes (assurances, impots, gestion)</t>
  </si>
  <si>
    <t>A partir de 3 : Frais fixes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</si>
</sst>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2.0674175365629677</c:v>
                </c:pt>
                <c:pt idx="2">
                  <c:v>2.7563386153172069</c:v>
                </c:pt>
                <c:pt idx="3">
                  <c:v>3.6757828754088084</c:v>
                </c:pt>
                <c:pt idx="4">
                  <c:v>4.9031880948975504</c:v>
                </c:pt>
                <c:pt idx="5">
                  <c:v>6.5420997187463925</c:v>
                </c:pt>
                <c:pt idx="6">
                  <c:v>8.7310024967746021</c:v>
                </c:pt>
                <c:pt idx="7">
                  <c:v>11.65514889235574</c:v>
                </c:pt>
                <c:pt idx="8">
                  <c:v>15.562403998555673</c:v>
                </c:pt>
                <c:pt idx="9">
                  <c:v>20.784474580403991</c:v>
                </c:pt>
                <c:pt idx="10">
                  <c:v>27.76535669760619</c:v>
                </c:pt>
                <c:pt idx="11">
                  <c:v>37.09946291026079</c:v>
                </c:pt>
                <c:pt idx="12">
                  <c:v>49.582731081946882</c:v>
                </c:pt>
                <c:pt idx="13">
                  <c:v>64.583001936057926</c:v>
                </c:pt>
                <c:pt idx="14">
                  <c:v>79.492623892016056</c:v>
                </c:pt>
                <c:pt idx="15">
                  <c:v>94.331112571633255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319.4873172181201</c:v>
                </c:pt>
                <c:pt idx="42">
                  <c:v>332.05861703935699</c:v>
                </c:pt>
                <c:pt idx="43">
                  <c:v>344.61942555879472</c:v>
                </c:pt>
                <c:pt idx="44">
                  <c:v>357.17017912307307</c:v>
                </c:pt>
                <c:pt idx="45">
                  <c:v>369.7112809035753</c:v>
                </c:pt>
                <c:pt idx="46">
                  <c:v>382.24310448239459</c:v>
                </c:pt>
                <c:pt idx="47">
                  <c:v>352.75726329182407</c:v>
                </c:pt>
                <c:pt idx="48">
                  <c:v>360.25319399788003</c:v>
                </c:pt>
                <c:pt idx="49">
                  <c:v>367.74571370177881</c:v>
                </c:pt>
                <c:pt idx="50">
                  <c:v>375.23490175863367</c:v>
                </c:pt>
                <c:pt idx="51">
                  <c:v>382.72083409495696</c:v>
                </c:pt>
                <c:pt idx="52">
                  <c:v>390.20358342243782</c:v>
                </c:pt>
                <c:pt idx="53">
                  <c:v>397.68321943446034</c:v>
                </c:pt>
                <c:pt idx="54">
                  <c:v>405.15980898705612</c:v>
                </c:pt>
                <c:pt idx="55">
                  <c:v>388.13420118594587</c:v>
                </c:pt>
                <c:pt idx="56">
                  <c:v>391.47693094284676</c:v>
                </c:pt>
                <c:pt idx="57">
                  <c:v>394.81904151240332</c:v>
                </c:pt>
                <c:pt idx="58">
                  <c:v>398.16053888286166</c:v>
                </c:pt>
                <c:pt idx="59">
                  <c:v>401.50142893362187</c:v>
                </c:pt>
                <c:pt idx="60">
                  <c:v>404.84171743812561</c:v>
                </c:pt>
                <c:pt idx="61">
                  <c:v>408.18141006664501</c:v>
                </c:pt>
                <c:pt idx="62">
                  <c:v>411.52051238897451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1.9269808993010022</c:v>
                </c:pt>
                <c:pt idx="2">
                  <c:v>2.3943193448539568</c:v>
                </c:pt>
                <c:pt idx="3">
                  <c:v>2.9754424279740825</c:v>
                </c:pt>
                <c:pt idx="4">
                  <c:v>3.6981558707830531</c:v>
                </c:pt>
                <c:pt idx="5">
                  <c:v>4.59708373101288</c:v>
                </c:pt>
                <c:pt idx="6">
                  <c:v>5.7153456942709857</c:v>
                </c:pt>
                <c:pt idx="7">
                  <c:v>7.1066481919139983</c:v>
                </c:pt>
                <c:pt idx="8">
                  <c:v>8.8378917204428529</c:v>
                </c:pt>
                <c:pt idx="9">
                  <c:v>10.992422127393413</c:v>
                </c:pt>
                <c:pt idx="10">
                  <c:v>13.674085328275192</c:v>
                </c:pt>
                <c:pt idx="11">
                  <c:v>17.012284500866695</c:v>
                </c:pt>
                <c:pt idx="12">
                  <c:v>21.168288230909493</c:v>
                </c:pt>
                <c:pt idx="13">
                  <c:v>26.343099810894525</c:v>
                </c:pt>
                <c:pt idx="14">
                  <c:v>32.787274987810981</c:v>
                </c:pt>
                <c:pt idx="15">
                  <c:v>40.81317174890625</c:v>
                </c:pt>
                <c:pt idx="16">
                  <c:v>50.810236016593741</c:v>
                </c:pt>
                <c:pt idx="17">
                  <c:v>63.264077381527663</c:v>
                </c:pt>
                <c:pt idx="18">
                  <c:v>78.780276719955808</c:v>
                </c:pt>
                <c:pt idx="19">
                  <c:v>98.114102072330027</c:v>
                </c:pt>
                <c:pt idx="20">
                  <c:v>122.20760219903367</c:v>
                </c:pt>
                <c:pt idx="21">
                  <c:v>135.26977619819337</c:v>
                </c:pt>
                <c:pt idx="22">
                  <c:v>152.20565029747607</c:v>
                </c:pt>
                <c:pt idx="23">
                  <c:v>169.09664015835338</c:v>
                </c:pt>
                <c:pt idx="24">
                  <c:v>185.9478634358592</c:v>
                </c:pt>
                <c:pt idx="25">
                  <c:v>202.76343275622813</c:v>
                </c:pt>
                <c:pt idx="26">
                  <c:v>219.54672196983498</c:v>
                </c:pt>
                <c:pt idx="27">
                  <c:v>236.30054645178791</c:v>
                </c:pt>
                <c:pt idx="28">
                  <c:v>253.02728945651543</c:v>
                </c:pt>
                <c:pt idx="29">
                  <c:v>269.72899324208106</c:v>
                </c:pt>
                <c:pt idx="30">
                  <c:v>286.40742640610694</c:v>
                </c:pt>
                <c:pt idx="31">
                  <c:v>213.99871582167268</c:v>
                </c:pt>
                <c:pt idx="32">
                  <c:v>231.66383182460808</c:v>
                </c:pt>
                <c:pt idx="33">
                  <c:v>249.29817636143676</c:v>
                </c:pt>
                <c:pt idx="34">
                  <c:v>266.90423231001677</c:v>
                </c:pt>
                <c:pt idx="35">
                  <c:v>284.48412810707845</c:v>
                </c:pt>
                <c:pt idx="36">
                  <c:v>302.03970758948918</c:v>
                </c:pt>
                <c:pt idx="37">
                  <c:v>319.57258272913612</c:v>
                </c:pt>
                <c:pt idx="38">
                  <c:v>337.08417417914399</c:v>
                </c:pt>
                <c:pt idx="39">
                  <c:v>354.57574294829556</c:v>
                </c:pt>
                <c:pt idx="40">
                  <c:v>372.04841549557983</c:v>
                </c:pt>
                <c:pt idx="41">
                  <c:v>298.96596087242057</c:v>
                </c:pt>
                <c:pt idx="42">
                  <c:v>315.35133220295853</c:v>
                </c:pt>
                <c:pt idx="43">
                  <c:v>331.71784088337864</c:v>
                </c:pt>
                <c:pt idx="44">
                  <c:v>348.06654843397018</c:v>
                </c:pt>
                <c:pt idx="45">
                  <c:v>364.39840852244924</c:v>
                </c:pt>
                <c:pt idx="46">
                  <c:v>380.71428236559865</c:v>
                </c:pt>
                <c:pt idx="47">
                  <c:v>397.01495135221603</c:v>
                </c:pt>
                <c:pt idx="48">
                  <c:v>413.30112748447704</c:v>
                </c:pt>
                <c:pt idx="49">
                  <c:v>429.57346208757502</c:v>
                </c:pt>
                <c:pt idx="50">
                  <c:v>445.83255313087483</c:v>
                </c:pt>
                <c:pt idx="51">
                  <c:v>371.2835704357048</c:v>
                </c:pt>
                <c:pt idx="52">
                  <c:v>385.80984000660828</c:v>
                </c:pt>
                <c:pt idx="53">
                  <c:v>400.32423184951267</c:v>
                </c:pt>
                <c:pt idx="54">
                  <c:v>414.82723721388476</c:v>
                </c:pt>
                <c:pt idx="55">
                  <c:v>429.31931020102019</c:v>
                </c:pt>
                <c:pt idx="56">
                  <c:v>443.80087175854425</c:v>
                </c:pt>
                <c:pt idx="57">
                  <c:v>458.27231312639037</c:v>
                </c:pt>
                <c:pt idx="58">
                  <c:v>472.73399882486751</c:v>
                </c:pt>
                <c:pt idx="59">
                  <c:v>487.1862692580944</c:v>
                </c:pt>
                <c:pt idx="60">
                  <c:v>501.62944299248062</c:v>
                </c:pt>
                <c:pt idx="61">
                  <c:v>441.00698422491922</c:v>
                </c:pt>
                <c:pt idx="62">
                  <c:v>452.68801995257218</c:v>
                </c:pt>
                <c:pt idx="63">
                  <c:v>464.36261282739719</c:v>
                </c:pt>
                <c:pt idx="64">
                  <c:v>476.03094766353843</c:v>
                </c:pt>
                <c:pt idx="65">
                  <c:v>487.69319947584319</c:v>
                </c:pt>
                <c:pt idx="66">
                  <c:v>499.34953422631708</c:v>
                </c:pt>
                <c:pt idx="67">
                  <c:v>511.0001094972597</c:v>
                </c:pt>
                <c:pt idx="68">
                  <c:v>522.64507509982207</c:v>
                </c:pt>
                <c:pt idx="69">
                  <c:v>534.28457362551364</c:v>
                </c:pt>
                <c:pt idx="70">
                  <c:v>545.9187409471557</c:v>
                </c:pt>
                <c:pt idx="71">
                  <c:v>499.34953422631702</c:v>
                </c:pt>
                <c:pt idx="72">
                  <c:v>508.46785799243179</c:v>
                </c:pt>
                <c:pt idx="73">
                  <c:v>517.58272655457984</c:v>
                </c:pt>
                <c:pt idx="74">
                  <c:v>526.69420935002211</c:v>
                </c:pt>
                <c:pt idx="75">
                  <c:v>535.80237321728055</c:v>
                </c:pt>
                <c:pt idx="76">
                  <c:v>544.90728253687291</c:v>
                </c:pt>
                <c:pt idx="77">
                  <c:v>554.00899936214978</c:v>
                </c:pt>
                <c:pt idx="78">
                  <c:v>563.107583541086</c:v>
                </c:pt>
                <c:pt idx="79">
                  <c:v>572.2030928297944</c:v>
                </c:pt>
                <c:pt idx="80">
                  <c:v>581.29558299844382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98.711655844836244</c:v>
                </c:pt>
                <c:pt idx="22">
                  <c:v>111.22512582797835</c:v>
                </c:pt>
                <c:pt idx="23">
                  <c:v>123.70402111473783</c:v>
                </c:pt>
                <c:pt idx="24">
                  <c:v>136.15232577620694</c:v>
                </c:pt>
                <c:pt idx="25">
                  <c:v>148.57323391466869</c:v>
                </c:pt>
                <c:pt idx="26">
                  <c:v>160.96936079546251</c:v>
                </c:pt>
                <c:pt idx="27">
                  <c:v>173.342885263987</c:v>
                </c:pt>
                <c:pt idx="28">
                  <c:v>185.69564922944687</c:v>
                </c:pt>
                <c:pt idx="29">
                  <c:v>198.02922921541202</c:v>
                </c:pt>
                <c:pt idx="30">
                  <c:v>210.34498910896289</c:v>
                </c:pt>
                <c:pt idx="31">
                  <c:v>169.61345228889294</c:v>
                </c:pt>
                <c:pt idx="32">
                  <c:v>185.69564922944687</c:v>
                </c:pt>
                <c:pt idx="33">
                  <c:v>201.74532528316695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249.72650127853672</c:v>
                </c:pt>
                <c:pt idx="37">
                  <c:v>265.67139861401193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247.97507238738748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296.33489822464168</c:v>
                </c:pt>
                <c:pt idx="45">
                  <c:v>312.41407218540223</c:v>
                </c:pt>
                <c:pt idx="46">
                  <c:v>328.47489405645246</c:v>
                </c:pt>
                <c:pt idx="47">
                  <c:v>344.51838738035781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392.55366990377729</c:v>
                </c:pt>
                <c:pt idx="51">
                  <c:v>326.54079262774445</c:v>
                </c:pt>
                <c:pt idx="52">
                  <c:v>341.62020115511154</c:v>
                </c:pt>
                <c:pt idx="53">
                  <c:v>356.68497890922026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401.79827552592519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407.95878231757462</c:v>
                </c:pt>
                <c:pt idx="63">
                  <c:v>421.42793186976132</c:v>
                </c:pt>
                <c:pt idx="64">
                  <c:v>434.88781420496679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502.0589664351258</c:v>
                </c:pt>
                <c:pt idx="70">
                  <c:v>515.46943786668055</c:v>
                </c:pt>
                <c:pt idx="71">
                  <c:v>446.6098395921727</c:v>
                </c:pt>
                <c:pt idx="72">
                  <c:v>458.32527966923953</c:v>
                </c:pt>
                <c:pt idx="73">
                  <c:v>470.03432649602973</c:v>
                </c:pt>
                <c:pt idx="74">
                  <c:v>481.7371617829092</c:v>
                </c:pt>
                <c:pt idx="75">
                  <c:v>493.43395769164982</c:v>
                </c:pt>
                <c:pt idx="76">
                  <c:v>505.12487755644264</c:v>
                </c:pt>
                <c:pt idx="77">
                  <c:v>516.81007653469237</c:v>
                </c:pt>
                <c:pt idx="78">
                  <c:v>528.48970219589739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482.12075813367898</c:v>
                </c:pt>
                <c:pt idx="82">
                  <c:v>492.85884412246696</c:v>
                </c:pt>
                <c:pt idx="83">
                  <c:v>503.59197136026728</c:v>
                </c:pt>
                <c:pt idx="84">
                  <c:v>514.32026043494284</c:v>
                </c:pt>
                <c:pt idx="85">
                  <c:v>525.04382649327442</c:v>
                </c:pt>
                <c:pt idx="86">
                  <c:v>535.76277959494962</c:v>
                </c:pt>
                <c:pt idx="87">
                  <c:v>546.47722503675448</c:v>
                </c:pt>
                <c:pt idx="88">
                  <c:v>557.18726365001623</c:v>
                </c:pt>
                <c:pt idx="89">
                  <c:v>567.89299207399495</c:v>
                </c:pt>
                <c:pt idx="90">
                  <c:v>578.59450300758874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526.38394569812317</c:v>
                </c:pt>
                <c:pt idx="94">
                  <c:v>535.76277959494962</c:v>
                </c:pt>
                <c:pt idx="95">
                  <c:v>545.13816238142374</c:v>
                </c:pt>
                <c:pt idx="96">
                  <c:v>554.51016178271334</c:v>
                </c:pt>
                <c:pt idx="97">
                  <c:v>563.87884304786633</c:v>
                </c:pt>
                <c:pt idx="98">
                  <c:v>573.24426908085661</c:v>
                </c:pt>
                <c:pt idx="99">
                  <c:v>582.60650056262477</c:v>
                </c:pt>
                <c:pt idx="100">
                  <c:v>591.96559606486528</c:v>
                </c:pt>
                <c:pt idx="101">
                  <c:v>520.06560820994321</c:v>
                </c:pt>
                <c:pt idx="102">
                  <c:v>528.48970219589739</c:v>
                </c:pt>
                <c:pt idx="103">
                  <c:v>536.91096968482714</c:v>
                </c:pt>
                <c:pt idx="104">
                  <c:v>545.32946126917022</c:v>
                </c:pt>
                <c:pt idx="105">
                  <c:v>553.74522585166358</c:v>
                </c:pt>
                <c:pt idx="106">
                  <c:v>562.15831072715355</c:v>
                </c:pt>
                <c:pt idx="107">
                  <c:v>570.56876165925394</c:v>
                </c:pt>
                <c:pt idx="108">
                  <c:v>578.97662295224825</c:v>
                </c:pt>
                <c:pt idx="109">
                  <c:v>587.38193751859933</c:v>
                </c:pt>
                <c:pt idx="110">
                  <c:v>595.7847469423931</c:v>
                </c:pt>
                <c:pt idx="111">
                  <c:v>528.29827709857148</c:v>
                </c:pt>
                <c:pt idx="112">
                  <c:v>535.38003807305324</c:v>
                </c:pt>
                <c:pt idx="113">
                  <c:v>542.45982974284027</c:v>
                </c:pt>
                <c:pt idx="114">
                  <c:v>549.53768144295748</c:v>
                </c:pt>
                <c:pt idx="115">
                  <c:v>556.61362169091831</c:v>
                </c:pt>
                <c:pt idx="116">
                  <c:v>563.68767821983886</c:v>
                </c:pt>
                <c:pt idx="117">
                  <c:v>570.75987800979954</c:v>
                </c:pt>
                <c:pt idx="118">
                  <c:v>577.83024731757359</c:v>
                </c:pt>
                <c:pt idx="119">
                  <c:v>584.89881170482352</c:v>
                </c:pt>
                <c:pt idx="120">
                  <c:v>591.96559606486471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182.10072116599244</c:v>
                </c:pt>
                <c:pt idx="22">
                  <c:v>204.40159586063615</c:v>
                </c:pt>
                <c:pt idx="23">
                  <c:v>226.64617327952342</c:v>
                </c:pt>
                <c:pt idx="24">
                  <c:v>248.84075611692765</c:v>
                </c:pt>
                <c:pt idx="25">
                  <c:v>270.99042974399362</c:v>
                </c:pt>
                <c:pt idx="26">
                  <c:v>293.09937981445825</c:v>
                </c:pt>
                <c:pt idx="27">
                  <c:v>315.17110877697831</c:v>
                </c:pt>
                <c:pt idx="28">
                  <c:v>337.20858844808726</c:v>
                </c:pt>
                <c:pt idx="29">
                  <c:v>359.21437055941556</c:v>
                </c:pt>
                <c:pt idx="30">
                  <c:v>381.1906687730571</c:v>
                </c:pt>
                <c:pt idx="31">
                  <c:v>261.79785034899129</c:v>
                </c:pt>
                <c:pt idx="32">
                  <c:v>280.73815459645317</c:v>
                </c:pt>
                <c:pt idx="33">
                  <c:v>299.64981878720499</c:v>
                </c:pt>
                <c:pt idx="34">
                  <c:v>318.53490425391584</c:v>
                </c:pt>
                <c:pt idx="35">
                  <c:v>337.39520795625043</c:v>
                </c:pt>
                <c:pt idx="36">
                  <c:v>356.23230957994474</c:v>
                </c:pt>
                <c:pt idx="37">
                  <c:v>375.04760814704065</c:v>
                </c:pt>
                <c:pt idx="38">
                  <c:v>393.84235089269197</c:v>
                </c:pt>
                <c:pt idx="39">
                  <c:v>412.61765634058537</c:v>
                </c:pt>
                <c:pt idx="40">
                  <c:v>431.37453295867743</c:v>
                </c:pt>
                <c:pt idx="41">
                  <c:v>318.16118821698825</c:v>
                </c:pt>
                <c:pt idx="42">
                  <c:v>333.47571872180367</c:v>
                </c:pt>
                <c:pt idx="43">
                  <c:v>348.77475306916625</c:v>
                </c:pt>
                <c:pt idx="44">
                  <c:v>364.05906664989811</c:v>
                </c:pt>
                <c:pt idx="45">
                  <c:v>379.32936443758246</c:v>
                </c:pt>
                <c:pt idx="46">
                  <c:v>394.58629002009144</c:v>
                </c:pt>
                <c:pt idx="47">
                  <c:v>409.83043316117727</c:v>
                </c:pt>
                <c:pt idx="48">
                  <c:v>425.06233617824199</c:v>
                </c:pt>
                <c:pt idx="49">
                  <c:v>440.28249935825096</c:v>
                </c:pt>
                <c:pt idx="50">
                  <c:v>455.49138558575515</c:v>
                </c:pt>
                <c:pt idx="51">
                  <c:v>357.72340809979374</c:v>
                </c:pt>
                <c:pt idx="52">
                  <c:v>369.64735159591163</c:v>
                </c:pt>
                <c:pt idx="53">
                  <c:v>381.56290588111841</c:v>
                </c:pt>
                <c:pt idx="54">
                  <c:v>393.47036990588686</c:v>
                </c:pt>
                <c:pt idx="55">
                  <c:v>405.37002304691237</c:v>
                </c:pt>
                <c:pt idx="56">
                  <c:v>417.26212693788676</c:v>
                </c:pt>
                <c:pt idx="57">
                  <c:v>429.14692708065195</c:v>
                </c:pt>
                <c:pt idx="58">
                  <c:v>441.02465426855321</c:v>
                </c:pt>
                <c:pt idx="59">
                  <c:v>452.89552584845791</c:v>
                </c:pt>
                <c:pt idx="60">
                  <c:v>464.75974684355998</c:v>
                </c:pt>
                <c:pt idx="61">
                  <c:v>386.58733728708853</c:v>
                </c:pt>
                <c:pt idx="62">
                  <c:v>395.70214171866638</c:v>
                </c:pt>
                <c:pt idx="63">
                  <c:v>404.81239742338335</c:v>
                </c:pt>
                <c:pt idx="64">
                  <c:v>413.91822125259881</c:v>
                </c:pt>
                <c:pt idx="65">
                  <c:v>423.01972449465944</c:v>
                </c:pt>
                <c:pt idx="66">
                  <c:v>432.11701325632816</c:v>
                </c:pt>
                <c:pt idx="67">
                  <c:v>441.21018881041033</c:v>
                </c:pt>
                <c:pt idx="68">
                  <c:v>450.29934791321972</c:v>
                </c:pt>
                <c:pt idx="69">
                  <c:v>459.38458309507399</c:v>
                </c:pt>
                <c:pt idx="70">
                  <c:v>468.46598292660593</c:v>
                </c:pt>
                <c:pt idx="71">
                  <c:v>406.67108505050049</c:v>
                </c:pt>
                <c:pt idx="72">
                  <c:v>413.54664028818587</c:v>
                </c:pt>
                <c:pt idx="73">
                  <c:v>420.41972959273056</c:v>
                </c:pt>
                <c:pt idx="74">
                  <c:v>427.29039899318792</c:v>
                </c:pt>
                <c:pt idx="75">
                  <c:v>434.1586929165548</c:v>
                </c:pt>
                <c:pt idx="76">
                  <c:v>441.02465426855321</c:v>
                </c:pt>
                <c:pt idx="77">
                  <c:v>447.88832450911667</c:v>
                </c:pt>
                <c:pt idx="78">
                  <c:v>454.74974372300727</c:v>
                </c:pt>
                <c:pt idx="79">
                  <c:v>461.60895068594567</c:v>
                </c:pt>
                <c:pt idx="80">
                  <c:v>468.4659829266057</c:v>
                </c:pt>
                <c:pt idx="81">
                  <c:v>421.90548322992339</c:v>
                </c:pt>
                <c:pt idx="82">
                  <c:v>427.29039899318786</c:v>
                </c:pt>
                <c:pt idx="83">
                  <c:v>432.67385549047032</c:v>
                </c:pt>
                <c:pt idx="84">
                  <c:v>438.05587345614805</c:v>
                </c:pt>
                <c:pt idx="85">
                  <c:v>443.43647307310084</c:v>
                </c:pt>
                <c:pt idx="86">
                  <c:v>448.81567399404236</c:v>
                </c:pt>
                <c:pt idx="87">
                  <c:v>454.19349536177742</c:v>
                </c:pt>
                <c:pt idx="88">
                  <c:v>459.56995582844655</c:v>
                </c:pt>
                <c:pt idx="89">
                  <c:v>464.94507357382491</c:v>
                </c:pt>
                <c:pt idx="90">
                  <c:v>470.31886632272813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E23" sqref="E23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5.87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36</v>
      </c>
      <c r="C9" s="32">
        <v>0.30898998693948626</v>
      </c>
      <c r="D9" s="33">
        <f t="shared" ref="D9:D18" si="0">C9*$C$5</f>
        <v>1.8137712233347845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35</v>
      </c>
      <c r="C10" s="32">
        <v>0.30082716586852415</v>
      </c>
      <c r="D10" s="33">
        <f t="shared" si="0"/>
        <v>1.7658554636482369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14</v>
      </c>
      <c r="C11" s="32">
        <v>0.29810622551153676</v>
      </c>
      <c r="D11" s="33">
        <f t="shared" si="0"/>
        <v>1.7498835437527207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13</v>
      </c>
      <c r="C12" s="32">
        <v>9.2076621680452761E-2</v>
      </c>
      <c r="D12" s="33">
        <f t="shared" si="0"/>
        <v>0.54048976926425774</v>
      </c>
      <c r="E12" s="34">
        <v>90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0.99999999999999989</v>
      </c>
      <c r="D19" s="38">
        <f>SUM(D9:D18)</f>
        <v>5.87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12</v>
      </c>
      <c r="B36" s="60">
        <v>36</v>
      </c>
      <c r="C36" s="60"/>
      <c r="D36" s="60">
        <v>0</v>
      </c>
      <c r="E36" s="51"/>
      <c r="F36" s="51"/>
      <c r="G36" s="51"/>
      <c r="H36" s="51"/>
      <c r="I36" s="49">
        <f>IFERROR(B36/A36,"")</f>
        <v>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16</v>
      </c>
      <c r="B37" s="60">
        <v>81</v>
      </c>
      <c r="C37" s="60">
        <v>1</v>
      </c>
      <c r="D37" s="60">
        <v>15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11.25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20</v>
      </c>
      <c r="B38" s="60">
        <v>119</v>
      </c>
      <c r="C38" s="60">
        <v>2</v>
      </c>
      <c r="D38" s="60">
        <v>22</v>
      </c>
      <c r="E38" s="51">
        <v>0.1</v>
      </c>
      <c r="F38" s="51">
        <v>0.45</v>
      </c>
      <c r="G38" s="51">
        <v>0.45</v>
      </c>
      <c r="H38" s="51"/>
      <c r="I38" s="53">
        <f t="shared" si="1"/>
        <v>13.25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24</v>
      </c>
      <c r="B39" s="60">
        <v>157</v>
      </c>
      <c r="C39" s="60">
        <v>3</v>
      </c>
      <c r="D39" s="60">
        <v>31</v>
      </c>
      <c r="E39" s="51">
        <v>0.2</v>
      </c>
      <c r="F39" s="51">
        <v>0.4</v>
      </c>
      <c r="G39" s="51">
        <v>0.4</v>
      </c>
      <c r="H39" s="51"/>
      <c r="I39" s="49">
        <f t="shared" si="1"/>
        <v>15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28</v>
      </c>
      <c r="B40" s="60">
        <v>190</v>
      </c>
      <c r="C40" s="60">
        <v>4</v>
      </c>
      <c r="D40" s="60">
        <v>35</v>
      </c>
      <c r="E40" s="51">
        <v>0.3</v>
      </c>
      <c r="F40" s="51">
        <v>0.35</v>
      </c>
      <c r="G40" s="51">
        <v>0.35</v>
      </c>
      <c r="H40" s="51"/>
      <c r="I40" s="49">
        <f t="shared" si="1"/>
        <v>16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34</v>
      </c>
      <c r="B41" s="60">
        <v>244</v>
      </c>
      <c r="C41" s="60">
        <v>5</v>
      </c>
      <c r="D41" s="60">
        <v>46</v>
      </c>
      <c r="E41" s="51"/>
      <c r="F41" s="51"/>
      <c r="G41" s="51"/>
      <c r="H41" s="51"/>
      <c r="I41" s="53">
        <f t="shared" si="1"/>
        <v>14.833333333333334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40</v>
      </c>
      <c r="B42" s="60">
        <v>275</v>
      </c>
      <c r="C42" s="60">
        <v>6</v>
      </c>
      <c r="D42" s="60">
        <v>41</v>
      </c>
      <c r="E42" s="51"/>
      <c r="F42" s="51"/>
      <c r="G42" s="51"/>
      <c r="H42" s="51"/>
      <c r="I42" s="53">
        <f t="shared" si="1"/>
        <v>12.833333333333334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46</v>
      </c>
      <c r="B43" s="60">
        <v>293</v>
      </c>
      <c r="C43" s="60">
        <v>7</v>
      </c>
      <c r="D43" s="60">
        <v>29</v>
      </c>
      <c r="E43" s="51"/>
      <c r="F43" s="51"/>
      <c r="G43" s="51"/>
      <c r="H43" s="51"/>
      <c r="I43" s="49">
        <f t="shared" si="1"/>
        <v>9.8333333333333339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54</v>
      </c>
      <c r="B44" s="60">
        <v>311</v>
      </c>
      <c r="C44" s="60">
        <v>8</v>
      </c>
      <c r="D44" s="60">
        <v>16</v>
      </c>
      <c r="E44" s="51"/>
      <c r="F44" s="51"/>
      <c r="G44" s="51"/>
      <c r="H44" s="51"/>
      <c r="I44" s="49">
        <f t="shared" si="1"/>
        <v>5.875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62</v>
      </c>
      <c r="B45" s="60">
        <v>316</v>
      </c>
      <c r="C45" s="60">
        <v>9</v>
      </c>
      <c r="D45" s="60">
        <v>316</v>
      </c>
      <c r="E45" s="51"/>
      <c r="F45" s="51"/>
      <c r="G45" s="51"/>
      <c r="H45" s="51"/>
      <c r="I45" s="49">
        <f t="shared" si="1"/>
        <v>2.625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91</v>
      </c>
      <c r="C62" s="60">
        <v>1</v>
      </c>
      <c r="D62" s="60">
        <v>3</v>
      </c>
      <c r="E62" s="51"/>
      <c r="F62" s="51">
        <v>0.5</v>
      </c>
      <c r="G62" s="51">
        <v>0.5</v>
      </c>
      <c r="H62" s="51"/>
      <c r="I62" s="53">
        <f>IFERROR(B62/A62,"")</f>
        <v>4.55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218</v>
      </c>
      <c r="C63" s="60">
        <v>2</v>
      </c>
      <c r="D63" s="60">
        <v>70</v>
      </c>
      <c r="E63" s="51"/>
      <c r="F63" s="51">
        <v>0.5</v>
      </c>
      <c r="G63" s="51">
        <v>0.5</v>
      </c>
      <c r="H63" s="51"/>
      <c r="I63" s="49">
        <f>IF(A63&lt;&gt;0,(B63-(B62-D62))/(A63-A62),"")</f>
        <v>13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285</v>
      </c>
      <c r="C64" s="60">
        <v>3</v>
      </c>
      <c r="D64" s="60">
        <v>70</v>
      </c>
      <c r="E64" s="51"/>
      <c r="F64" s="51"/>
      <c r="G64" s="51"/>
      <c r="H64" s="51"/>
      <c r="I64" s="49">
        <f>IF(A64&lt;&gt;0,(B64-(B63-D63))/(A64-A63),"")</f>
        <v>13.7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343</v>
      </c>
      <c r="C65" s="60">
        <v>4</v>
      </c>
      <c r="D65" s="60">
        <v>70</v>
      </c>
      <c r="E65" s="51"/>
      <c r="F65" s="51"/>
      <c r="G65" s="51"/>
      <c r="H65" s="51"/>
      <c r="I65" s="49">
        <f>IF(A65&lt;&gt;0,(B65-(B64-D64))/(A65-A64),"")</f>
        <v>12.8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387</v>
      </c>
      <c r="C66" s="60">
        <v>5</v>
      </c>
      <c r="D66" s="60">
        <v>57</v>
      </c>
      <c r="E66" s="51"/>
      <c r="F66" s="51"/>
      <c r="G66" s="51"/>
      <c r="H66" s="51"/>
      <c r="I66" s="49">
        <f t="shared" ref="I66:I81" si="2">IF(A66&lt;&gt;0,(B66-(B65-D65))/(A66-A65),"")</f>
        <v>11.4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422</v>
      </c>
      <c r="C67" s="60">
        <v>6</v>
      </c>
      <c r="D67" s="60">
        <v>44</v>
      </c>
      <c r="E67" s="51"/>
      <c r="F67" s="51"/>
      <c r="G67" s="51"/>
      <c r="H67" s="51"/>
      <c r="I67" s="49">
        <f t="shared" si="2"/>
        <v>9.1999999999999993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v>450</v>
      </c>
      <c r="C68" s="60">
        <v>7</v>
      </c>
      <c r="D68" s="60">
        <f>B68</f>
        <v>450</v>
      </c>
      <c r="E68" s="51"/>
      <c r="F68" s="51"/>
      <c r="G68" s="51"/>
      <c r="H68" s="51"/>
      <c r="I68" s="49">
        <f t="shared" si="2"/>
        <v>7.2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42</v>
      </c>
      <c r="C88" s="60"/>
      <c r="D88" s="60"/>
      <c r="E88" s="51"/>
      <c r="F88" s="51"/>
      <c r="G88" s="51"/>
      <c r="H88" s="87"/>
      <c r="I88" s="53">
        <f>IFERROR(B88/A88,"")</f>
        <v>2.1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105</v>
      </c>
      <c r="C89" s="60">
        <v>1</v>
      </c>
      <c r="D89" s="60">
        <f>21+8</f>
        <v>29</v>
      </c>
      <c r="E89" s="51"/>
      <c r="F89" s="51">
        <v>0.25</v>
      </c>
      <c r="G89" s="51">
        <v>0.25</v>
      </c>
      <c r="H89" s="87">
        <v>0.5</v>
      </c>
      <c r="I89" s="53">
        <f t="shared" ref="I89:I107" si="3">IF(A89&lt;&gt;0,(B89-(B88-D88))/(A89-A88),"")</f>
        <v>6.3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v>158</v>
      </c>
      <c r="C90" s="60">
        <v>2</v>
      </c>
      <c r="D90" s="60">
        <f>21+21</f>
        <v>42</v>
      </c>
      <c r="E90" s="87"/>
      <c r="F90" s="87"/>
      <c r="G90" s="87"/>
      <c r="H90" s="87"/>
      <c r="I90" s="53">
        <f t="shared" si="3"/>
        <v>8.1999999999999993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v>199</v>
      </c>
      <c r="C91" s="60">
        <v>3</v>
      </c>
      <c r="D91" s="60">
        <f t="shared" ref="D91:D96" si="4">21+21</f>
        <v>42</v>
      </c>
      <c r="E91" s="87"/>
      <c r="F91" s="87"/>
      <c r="G91" s="87"/>
      <c r="H91" s="87"/>
      <c r="I91" s="53">
        <f t="shared" si="3"/>
        <v>8.3000000000000007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v>235</v>
      </c>
      <c r="C92" s="60">
        <v>4</v>
      </c>
      <c r="D92" s="60">
        <f t="shared" si="4"/>
        <v>42</v>
      </c>
      <c r="E92" s="87"/>
      <c r="F92" s="87"/>
      <c r="G92" s="87"/>
      <c r="H92" s="87"/>
      <c r="I92" s="53">
        <f t="shared" si="3"/>
        <v>7.8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v>263</v>
      </c>
      <c r="C93" s="60">
        <v>5</v>
      </c>
      <c r="D93" s="60">
        <f t="shared" si="4"/>
        <v>42</v>
      </c>
      <c r="E93" s="87"/>
      <c r="F93" s="87"/>
      <c r="G93" s="87"/>
      <c r="H93" s="87"/>
      <c r="I93" s="53">
        <f t="shared" si="3"/>
        <v>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v>282</v>
      </c>
      <c r="C94" s="60">
        <v>6</v>
      </c>
      <c r="D94" s="60">
        <f t="shared" si="4"/>
        <v>42</v>
      </c>
      <c r="E94" s="87"/>
      <c r="F94" s="87"/>
      <c r="G94" s="87"/>
      <c r="H94" s="87"/>
      <c r="I94" s="53">
        <f t="shared" si="3"/>
        <v>6.1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90</v>
      </c>
      <c r="B95" s="60">
        <v>296</v>
      </c>
      <c r="C95" s="60">
        <v>7</v>
      </c>
      <c r="D95" s="60">
        <f t="shared" si="4"/>
        <v>42</v>
      </c>
      <c r="E95" s="87"/>
      <c r="F95" s="87"/>
      <c r="G95" s="87"/>
      <c r="H95" s="87"/>
      <c r="I95" s="53">
        <f t="shared" si="3"/>
        <v>5.6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100</v>
      </c>
      <c r="B96" s="60">
        <v>303</v>
      </c>
      <c r="C96" s="60">
        <v>8</v>
      </c>
      <c r="D96" s="60">
        <f t="shared" si="4"/>
        <v>42</v>
      </c>
      <c r="E96" s="87"/>
      <c r="F96" s="87"/>
      <c r="G96" s="87"/>
      <c r="H96" s="87"/>
      <c r="I96" s="53">
        <f t="shared" si="3"/>
        <v>4.9000000000000004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110</v>
      </c>
      <c r="B97" s="60">
        <v>305</v>
      </c>
      <c r="C97" s="60">
        <v>9</v>
      </c>
      <c r="D97" s="60">
        <f>20+19</f>
        <v>39</v>
      </c>
      <c r="E97" s="87"/>
      <c r="F97" s="87"/>
      <c r="G97" s="87"/>
      <c r="H97" s="87"/>
      <c r="I97" s="53">
        <f t="shared" si="3"/>
        <v>4.4000000000000004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120</v>
      </c>
      <c r="B98" s="60">
        <f>268+17+18</f>
        <v>303</v>
      </c>
      <c r="C98" s="60">
        <v>10</v>
      </c>
      <c r="D98" s="60">
        <f>B98</f>
        <v>303</v>
      </c>
      <c r="E98" s="87"/>
      <c r="F98" s="87"/>
      <c r="G98" s="87"/>
      <c r="H98" s="87"/>
      <c r="I98" s="53">
        <f t="shared" si="3"/>
        <v>3.7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Chêne rouge d'Amérique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132</v>
      </c>
      <c r="C114" s="50">
        <v>1</v>
      </c>
      <c r="D114" s="60">
        <v>50</v>
      </c>
      <c r="E114" s="51"/>
      <c r="F114" s="51">
        <v>0.25</v>
      </c>
      <c r="G114" s="51">
        <v>0.25</v>
      </c>
      <c r="H114" s="51">
        <v>0.5</v>
      </c>
      <c r="I114" s="53">
        <f>IFERROR(B114/A114,"")</f>
        <v>6.6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v>200</v>
      </c>
      <c r="C115" s="50">
        <v>2</v>
      </c>
      <c r="D115" s="60">
        <v>74</v>
      </c>
      <c r="E115" s="51">
        <v>0.1</v>
      </c>
      <c r="F115" s="51">
        <v>0.45</v>
      </c>
      <c r="G115" s="51">
        <v>0.45</v>
      </c>
      <c r="H115" s="51"/>
      <c r="I115" s="53">
        <f t="shared" ref="I115:I133" si="5">IF(A115&lt;&gt;0,(B115-(B114-D114))/(A115-A114),"")</f>
        <v>11.8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v>227</v>
      </c>
      <c r="C116" s="50">
        <v>3</v>
      </c>
      <c r="D116" s="60">
        <v>69</v>
      </c>
      <c r="E116" s="51"/>
      <c r="F116" s="51"/>
      <c r="G116" s="51"/>
      <c r="H116" s="51"/>
      <c r="I116" s="53">
        <f t="shared" si="5"/>
        <v>10.1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v>240</v>
      </c>
      <c r="C117" s="50">
        <v>4</v>
      </c>
      <c r="D117" s="60">
        <v>59</v>
      </c>
      <c r="E117" s="51"/>
      <c r="F117" s="51"/>
      <c r="G117" s="51"/>
      <c r="H117" s="51"/>
      <c r="I117" s="53">
        <f t="shared" si="5"/>
        <v>8.1999999999999993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v>245</v>
      </c>
      <c r="C118" s="50">
        <v>5</v>
      </c>
      <c r="D118" s="60">
        <v>47</v>
      </c>
      <c r="E118" s="51"/>
      <c r="F118" s="51"/>
      <c r="G118" s="51"/>
      <c r="H118" s="51"/>
      <c r="I118" s="53">
        <f t="shared" si="5"/>
        <v>6.4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v>247</v>
      </c>
      <c r="C119" s="50">
        <v>6</v>
      </c>
      <c r="D119" s="60">
        <v>37</v>
      </c>
      <c r="E119" s="51"/>
      <c r="F119" s="51"/>
      <c r="G119" s="51"/>
      <c r="H119" s="51"/>
      <c r="I119" s="53">
        <f t="shared" si="5"/>
        <v>4.9000000000000004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v>247</v>
      </c>
      <c r="C120" s="60">
        <v>7</v>
      </c>
      <c r="D120" s="60">
        <v>28</v>
      </c>
      <c r="E120" s="87"/>
      <c r="F120" s="87"/>
      <c r="G120" s="87"/>
      <c r="H120" s="87"/>
      <c r="I120" s="53">
        <f t="shared" si="5"/>
        <v>3.7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90</v>
      </c>
      <c r="B121" s="60">
        <v>248</v>
      </c>
      <c r="C121" s="60">
        <v>8</v>
      </c>
      <c r="D121" s="60">
        <v>248</v>
      </c>
      <c r="E121" s="87"/>
      <c r="F121" s="87"/>
      <c r="G121" s="87"/>
      <c r="H121" s="87"/>
      <c r="I121" s="53">
        <f t="shared" si="5"/>
        <v>2.9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10</v>
      </c>
      <c r="B140" s="60">
        <v>36</v>
      </c>
      <c r="C140" s="50"/>
      <c r="D140" s="60">
        <v>0</v>
      </c>
      <c r="E140" s="51"/>
      <c r="F140" s="51"/>
      <c r="G140" s="51"/>
      <c r="H140" s="51"/>
      <c r="I140" s="57">
        <f>IFERROR(B140/A140,"")</f>
        <v>3.6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20</v>
      </c>
      <c r="B141" s="60">
        <v>177</v>
      </c>
      <c r="C141" s="50">
        <v>1</v>
      </c>
      <c r="D141" s="60">
        <f>39+42</f>
        <v>81</v>
      </c>
      <c r="E141" s="51"/>
      <c r="F141" s="51">
        <v>0.5</v>
      </c>
      <c r="G141" s="51">
        <v>0.5</v>
      </c>
      <c r="H141" s="51"/>
      <c r="I141" s="57">
        <f t="shared" ref="I141:I159" si="6">IF(A141&lt;&gt;0,(B141-(B140-D140))/(A141-A140),"")</f>
        <v>14.1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30</v>
      </c>
      <c r="B142" s="60">
        <v>260</v>
      </c>
      <c r="C142" s="50">
        <v>2</v>
      </c>
      <c r="D142" s="60">
        <f>42+42</f>
        <v>84</v>
      </c>
      <c r="E142" s="51">
        <v>0.2</v>
      </c>
      <c r="F142" s="51">
        <v>0.4</v>
      </c>
      <c r="G142" s="51">
        <v>0.4</v>
      </c>
      <c r="H142" s="51"/>
      <c r="I142" s="57">
        <f t="shared" si="6"/>
        <v>16.399999999999999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40</v>
      </c>
      <c r="B143" s="60">
        <v>314</v>
      </c>
      <c r="C143" s="50">
        <v>3</v>
      </c>
      <c r="D143" s="60">
        <f>42+38</f>
        <v>80</v>
      </c>
      <c r="E143" s="51"/>
      <c r="F143" s="51"/>
      <c r="G143" s="51"/>
      <c r="H143" s="51"/>
      <c r="I143" s="57">
        <f t="shared" si="6"/>
        <v>13.8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50</v>
      </c>
      <c r="B144" s="60">
        <v>349</v>
      </c>
      <c r="C144" s="50">
        <v>4</v>
      </c>
      <c r="D144" s="60">
        <f>34+31</f>
        <v>65</v>
      </c>
      <c r="E144" s="51"/>
      <c r="F144" s="51"/>
      <c r="G144" s="51"/>
      <c r="H144" s="51"/>
      <c r="I144" s="57">
        <f t="shared" si="6"/>
        <v>11.5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60</v>
      </c>
      <c r="B145" s="60">
        <v>382</v>
      </c>
      <c r="C145" s="50">
        <v>5</v>
      </c>
      <c r="D145" s="60">
        <f>29+27</f>
        <v>56</v>
      </c>
      <c r="E145" s="51"/>
      <c r="F145" s="51"/>
      <c r="G145" s="51"/>
      <c r="H145" s="51"/>
      <c r="I145" s="57">
        <f t="shared" si="6"/>
        <v>9.8000000000000007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70</v>
      </c>
      <c r="B146" s="60">
        <v>411</v>
      </c>
      <c r="C146" s="50">
        <v>6</v>
      </c>
      <c r="D146" s="60">
        <f>26+26</f>
        <v>52</v>
      </c>
      <c r="E146" s="51"/>
      <c r="F146" s="51"/>
      <c r="G146" s="51"/>
      <c r="H146" s="51"/>
      <c r="I146" s="57">
        <f t="shared" si="6"/>
        <v>8.5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80</v>
      </c>
      <c r="B147" s="60">
        <f>381+26+26</f>
        <v>433</v>
      </c>
      <c r="C147" s="50">
        <v>7</v>
      </c>
      <c r="D147" s="60">
        <f>B147</f>
        <v>433</v>
      </c>
      <c r="E147" s="51"/>
      <c r="F147" s="51"/>
      <c r="G147" s="51"/>
      <c r="H147" s="51"/>
      <c r="I147" s="57">
        <f>IF(A147&lt;&gt;0,(B147-(B146-D146))/(A147-A146),"")</f>
        <v>7.4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10</v>
      </c>
      <c r="B166" s="60">
        <v>11</v>
      </c>
      <c r="C166" s="60">
        <v>1</v>
      </c>
      <c r="D166" s="60">
        <v>0</v>
      </c>
      <c r="E166" s="51"/>
      <c r="F166" s="51">
        <v>0.25</v>
      </c>
      <c r="G166" s="51">
        <v>0.25</v>
      </c>
      <c r="H166" s="51">
        <v>0.5</v>
      </c>
      <c r="I166" s="49">
        <f>IFERROR(B166/A166,"")</f>
        <v>1.1000000000000001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20</v>
      </c>
      <c r="B167" s="60">
        <v>134</v>
      </c>
      <c r="C167" s="60">
        <v>2</v>
      </c>
      <c r="D167" s="60">
        <f>32+35</f>
        <v>67</v>
      </c>
      <c r="E167" s="51"/>
      <c r="F167" s="51">
        <v>0.25</v>
      </c>
      <c r="G167" s="51">
        <v>0.25</v>
      </c>
      <c r="H167" s="51">
        <v>0.5</v>
      </c>
      <c r="I167" s="49">
        <f t="shared" ref="I167:I185" si="7">IF(A167&lt;&gt;0,(B167-(B166-D166))/(A167-A166),"")</f>
        <v>12.3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30</v>
      </c>
      <c r="B168" s="60">
        <v>212</v>
      </c>
      <c r="C168" s="60">
        <v>3</v>
      </c>
      <c r="D168" s="60">
        <f>35+35</f>
        <v>70</v>
      </c>
      <c r="E168" s="51">
        <v>0.1</v>
      </c>
      <c r="F168" s="51">
        <v>0.45</v>
      </c>
      <c r="G168" s="51">
        <v>0.45</v>
      </c>
      <c r="H168" s="51"/>
      <c r="I168" s="49">
        <f t="shared" si="7"/>
        <v>14.5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40</v>
      </c>
      <c r="B169" s="60">
        <v>263</v>
      </c>
      <c r="C169" s="60">
        <v>4</v>
      </c>
      <c r="D169" s="60">
        <f>35+35</f>
        <v>70</v>
      </c>
      <c r="E169" s="51"/>
      <c r="F169" s="51"/>
      <c r="G169" s="51"/>
      <c r="H169" s="51"/>
      <c r="I169" s="49">
        <f t="shared" si="7"/>
        <v>12.1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50</v>
      </c>
      <c r="B170" s="60">
        <v>285</v>
      </c>
      <c r="C170" s="60">
        <v>5</v>
      </c>
      <c r="D170" s="60">
        <f>24+19</f>
        <v>43</v>
      </c>
      <c r="E170" s="51"/>
      <c r="F170" s="51"/>
      <c r="G170" s="51"/>
      <c r="H170" s="51"/>
      <c r="I170" s="49">
        <f t="shared" si="7"/>
        <v>9.1999999999999993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60</v>
      </c>
      <c r="B171" s="60">
        <v>310</v>
      </c>
      <c r="C171" s="60">
        <v>6</v>
      </c>
      <c r="D171" s="60">
        <f>16+14</f>
        <v>30</v>
      </c>
      <c r="E171" s="51"/>
      <c r="F171" s="51"/>
      <c r="G171" s="51"/>
      <c r="H171" s="51"/>
      <c r="I171" s="49">
        <f t="shared" si="7"/>
        <v>6.8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70</v>
      </c>
      <c r="B172" s="60">
        <v>329</v>
      </c>
      <c r="C172" s="60">
        <v>7</v>
      </c>
      <c r="D172" s="60">
        <f>13+13</f>
        <v>26</v>
      </c>
      <c r="E172" s="51"/>
      <c r="F172" s="51"/>
      <c r="G172" s="51"/>
      <c r="H172" s="51"/>
      <c r="I172" s="49">
        <f t="shared" si="7"/>
        <v>4.9000000000000004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80</v>
      </c>
      <c r="B173" s="50">
        <f>319+12+11</f>
        <v>342</v>
      </c>
      <c r="C173" s="50">
        <v>8</v>
      </c>
      <c r="D173" s="50">
        <f>B173</f>
        <v>342</v>
      </c>
      <c r="E173" s="51"/>
      <c r="F173" s="51"/>
      <c r="G173" s="51"/>
      <c r="H173" s="51"/>
      <c r="I173" s="49">
        <f t="shared" si="7"/>
        <v>3.9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J8" sqref="J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sessile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rouge d'Amérique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168.08890945052406</v>
      </c>
      <c r="T3" s="59">
        <f>IF('Données projet'!E9&gt;30,$R$33-$H$33,LOOKUP('Données projet'!$E$9,$A$3:$A$203,R3:R203)-LOOKUP('Données projet'!$E$9,$A$3:$A$203,$H$3:$H$203))</f>
        <v>182.52462557642343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216.94426559495264</v>
      </c>
      <c r="AO3" s="59">
        <f>IF('Données projet'!E10&gt;30,$AM$33-$H$33,LOOKUP('Données projet'!$E$10,$A$3:$A$203,AM3:AM203)-LOOKUP('Données projet'!$E$10,$A$3:$A$203,$H$3:$H$203))</f>
        <v>225.33715877618704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237.22177246688199</v>
      </c>
      <c r="BJ3" s="59">
        <f>IF('Données projet'!E11&gt;30,$BH$33-$H$33,LOOKUP('Données projet'!$E$11,$A$3:$A$203,BH3:BH203)-LOOKUP('Données projet'!$E$11,$A$3:$A$203,$H$3:$H$203))</f>
        <v>149.27472147904302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223.81948236065614</v>
      </c>
      <c r="CE3" s="59">
        <f>IF('Données projet'!E12&gt;30,$CC$33-$H$33,LOOKUP('Données projet'!$E$12,$A$3:$A$203,CC3:CC203)-LOOKUP('Données projet'!$E$12,$A$3:$A$203,$H$3:$H$203))</f>
        <v>320.1204011431372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</v>
      </c>
      <c r="N4" s="13">
        <f>IF('Données projet'!$A$36&gt;35,N3+M4-V3,IF(A4&lt;'Données projet'!$A$36,$K$205^A4,IF(A4='Données projet'!$A$36,'Données projet'!$B$36,N3+M4-V3)))</f>
        <v>1.3480061545972777</v>
      </c>
      <c r="O4" s="13">
        <f>N4*VLOOKUP('Données projet'!$B$9,Paramètres!$A$1:$I$89,3,0)*VLOOKUP('Données projet'!$B$9,Paramètres!$A$1:$I$89,5,0)</f>
        <v>0.80610768044917203</v>
      </c>
      <c r="P4" s="13">
        <f>EXP(-1.0587+0.8836*LN(O4)+0.284)</f>
        <v>0.38092631183578585</v>
      </c>
      <c r="Q4" s="20">
        <f t="shared" ref="Q4:Q34" si="2">(O4+P4)*0.475*44/12</f>
        <v>2.0674175365629677</v>
      </c>
      <c r="R4" s="59">
        <f t="shared" si="0"/>
        <v>295.40075086989629</v>
      </c>
      <c r="S4" s="59">
        <f ca="1">AVERAGE(OFFSET($R$3,0,0,'Données projet'!$E$9+1,1))-AVERAGE(OFFSET($H$3,0,0,'Données projet'!$E$9+1,1))</f>
        <v>168.08890945052406</v>
      </c>
      <c r="T4" s="59">
        <f>$T$3</f>
        <v>182.52462557642343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4.55</v>
      </c>
      <c r="AI4" s="13">
        <f>IF('Données projet'!$A$62&gt;35,AI3+AH4-AQ3,IF(A4&lt;'Données projet'!$A$62,$AF$205^A4,IF(A4='Données projet'!$A$62,'Données projet'!$B$62,AI3+AH4-AQ3)))</f>
        <v>1.2530028811664373</v>
      </c>
      <c r="AJ4" s="13">
        <f>AI4*VLOOKUP('Données projet'!$B$10,Paramètres!$A$1:$I$89,3,0)*VLOOKUP('Données projet'!$B$10,Paramètres!$A$1:$I$89,5,0)</f>
        <v>0.74929572293752955</v>
      </c>
      <c r="AK4" s="13">
        <f>EXP(-1.0587+0.8836*LN(AJ4)+0.284)</f>
        <v>0.35710479340754359</v>
      </c>
      <c r="AL4" s="20">
        <f t="shared" ref="AL4:AL67" si="4">(AJ4+AK4)*0.475*44/12</f>
        <v>1.9269808993010022</v>
      </c>
      <c r="AM4" s="59">
        <f t="shared" ref="AM4:AM67" si="5">AL4+(AD4+AE4)*44/12</f>
        <v>295.2603142326343</v>
      </c>
      <c r="AN4" s="59">
        <f ca="1">AVERAGE(OFFSET($AM$3,0,0,'Données projet'!$E$10+1,1))-AVERAGE(OFFSET($H$3,0,0,'Données projet'!$E$10+1,1))</f>
        <v>216.94426559495264</v>
      </c>
      <c r="AO4" s="59">
        <f>$AO$3</f>
        <v>225.33715877618704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2.1</v>
      </c>
      <c r="BD4" s="12">
        <f>IF('Données projet'!$A$88&gt;35,BD3+BC4-BL3,IF(A4&lt;'Données projet'!$A$88,$BA$205^A4,IF(A4='Données projet'!$A$88,'Données projet'!$B$88,BD3+BC4-BL3)))</f>
        <v>1.2054868146447177</v>
      </c>
      <c r="BE4" s="13">
        <f>BD4*VLOOKUP('Données projet'!$B$11,Paramètres!$A$1:$I$89,3,0)*VLOOKUP('Données projet'!$B$11,Paramètres!$A$1:$I$89,5,0)</f>
        <v>1.0907244698905405</v>
      </c>
      <c r="BF4" s="13">
        <f>EXP(-1.0587+0.8836*LN(BE4)+0.284)</f>
        <v>0.49759623852608204</v>
      </c>
      <c r="BG4" s="20">
        <f t="shared" ref="BG4:BG67" si="7">(BE4+BF4)*0.475*44/12</f>
        <v>2.7663252338256172</v>
      </c>
      <c r="BH4" s="59">
        <f t="shared" ref="BH4:BH67" si="8">BG4+(AY4+AZ4)*44/12</f>
        <v>296.09965856715894</v>
      </c>
      <c r="BI4" s="59">
        <f ca="1">AVERAGE(OFFSET($BH$3,0,0,'Données projet'!$E$11+1,1))-AVERAGE(OFFSET($H$3,0,0,'Données projet'!$E$11+1,1))</f>
        <v>237.22177246688199</v>
      </c>
      <c r="BJ4" s="59">
        <f>$BJ$3</f>
        <v>149.27472147904302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6.6</v>
      </c>
      <c r="BY4" s="12">
        <f>IF('Données projet'!$A$114&gt;35,BY3+BX4-CG3,IF(A4&lt;'Données projet'!$A$114,$BV$205^A4,IF(A4='Données projet'!$A$114,'Données projet'!$B$114,BY3+BX4-CG3)))</f>
        <v>1.2765231539157764</v>
      </c>
      <c r="BZ4" s="13">
        <f>BY4*VLOOKUP('Données projet'!$B$12,Paramètres!$A$1:$I$89,3,0)*VLOOKUP('Données projet'!$B$12,Paramètres!$A$1:$I$89,5,0)</f>
        <v>1.1151706272608224</v>
      </c>
      <c r="CA4" s="13">
        <f>EXP(-1.0587+0.8836*LN(BZ4)+0.284)</f>
        <v>0.50743784838663863</v>
      </c>
      <c r="CB4" s="20">
        <f t="shared" ref="CB4:CB67" si="10">(BZ4+CA4)*0.475*44/12</f>
        <v>2.8260430950859945</v>
      </c>
      <c r="CC4" s="59">
        <f t="shared" ref="CC4:CC67" si="11">CB4+(BT4+BU4)*44/12</f>
        <v>296.15937642841931</v>
      </c>
      <c r="CD4" s="59">
        <f ca="1">AVERAGE(OFFSET($CC$3,0,0,'Données projet'!$E$12+1,1))-AVERAGE(OFFSET($H$3,0,0,'Données projet'!$E$12+1,1))</f>
        <v>223.81948236065614</v>
      </c>
      <c r="CE4" s="59">
        <f>$CE$3</f>
        <v>320.1204011431372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3.6</v>
      </c>
      <c r="CT4" s="12">
        <f>IF('Données projet'!$A$140&gt;35,CT3+CS4-DB3,IF(A4&lt;'Données projet'!$A$140,$CQ$205^A4,IF(A4='Données projet'!$A$140,'Données projet'!$B$140,CT3+CS4-DB3)))</f>
        <v>1.4309690811052556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1.1000000000000001</v>
      </c>
      <c r="DO4" s="12">
        <f>IF('Données projet'!$A$166&gt;35,DO3+DN4-DW3,IF(A4&lt;'Données projet'!$A$166,$DL$205^A4,IF(A4='Données projet'!$A$166,'Données projet'!$B$166,DO3+DN4-DW3)))</f>
        <v>1.2709816152101407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</v>
      </c>
      <c r="N5" s="13">
        <f>IF('Données projet'!$A$36&gt;35,N4+M5-V4,IF(A5&lt;'Données projet'!$A$36,$K$205^A5,IF(A5='Données projet'!$A$36,'Données projet'!$B$36,N4+M5-V4)))</f>
        <v>1.8171205928321397</v>
      </c>
      <c r="O5" s="13">
        <f>N5*VLOOKUP('Données projet'!$B$9,Paramètres!$A$1:$I$89,3,0)*VLOOKUP('Données projet'!$B$9,Paramètres!$A$1:$I$89,5,0)</f>
        <v>1.0866381145136197</v>
      </c>
      <c r="P5" s="13">
        <f t="shared" ref="P5:P68" si="33">EXP(-1.0587+0.8836*LN(O5)+0.284)</f>
        <v>0.49594865026181029</v>
      </c>
      <c r="Q5" s="20">
        <f t="shared" si="2"/>
        <v>2.7563386153172069</v>
      </c>
      <c r="R5" s="59">
        <f t="shared" si="0"/>
        <v>296.0896719486505</v>
      </c>
      <c r="S5" s="59">
        <f ca="1">AVERAGE(OFFSET($R$3,0,0,'Données projet'!$E$9+1,1))-AVERAGE(OFFSET($H$3,0,0,'Données projet'!$E$9+1,1))</f>
        <v>168.08890945052406</v>
      </c>
      <c r="T5" s="59">
        <f t="shared" ref="T5:T68" si="34">$T$3</f>
        <v>182.52462557642343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4.55</v>
      </c>
      <c r="AI5" s="13">
        <f>IF('Données projet'!$A$62&gt;35,AI4+AH5-AQ4,IF(A5&lt;'Données projet'!$A$62,$AF$205^A5,IF(A5='Données projet'!$A$62,'Données projet'!$B$62,AI4+AH5-AQ4)))</f>
        <v>1.570016220211393</v>
      </c>
      <c r="AJ5" s="13">
        <f>AI5*VLOOKUP('Données projet'!$B$10,Paramètres!$A$1:$I$89,3,0)*VLOOKUP('Données projet'!$B$10,Paramètres!$A$1:$I$89,5,0)</f>
        <v>0.9388696996864131</v>
      </c>
      <c r="AK5" s="13">
        <f t="shared" ref="AK5:AK68" si="35">EXP(-1.0587+0.8836*LN(AJ5)+0.284)</f>
        <v>0.43585911075604999</v>
      </c>
      <c r="AL5" s="20">
        <f t="shared" si="4"/>
        <v>2.3943193448539568</v>
      </c>
      <c r="AM5" s="59">
        <f t="shared" si="5"/>
        <v>295.72765267818727</v>
      </c>
      <c r="AN5" s="59">
        <f ca="1">AVERAGE(OFFSET($AM$3,0,0,'Données projet'!$E$10+1,1))-AVERAGE(OFFSET($H$3,0,0,'Données projet'!$E$10+1,1))</f>
        <v>216.94426559495264</v>
      </c>
      <c r="AO5" s="59">
        <f t="shared" ref="AO5:AO68" si="36">$AO$3</f>
        <v>225.33715877618704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2.1</v>
      </c>
      <c r="BD5" s="12">
        <f>IF('Données projet'!$A$88&gt;35,BD4+BC5-BL4,IF(A5&lt;'Données projet'!$A$88,$BA$205^A5,IF(A5='Données projet'!$A$88,'Données projet'!$B$88,BD4+BC5-BL4)))</f>
        <v>1.4531984602822681</v>
      </c>
      <c r="BE5" s="13">
        <f>BD5*VLOOKUP('Données projet'!$B$11,Paramètres!$A$1:$I$89,3,0)*VLOOKUP('Données projet'!$B$11,Paramètres!$A$1:$I$89,5,0)</f>
        <v>1.3148539668633961</v>
      </c>
      <c r="BF5" s="13">
        <f t="shared" ref="BF5:BF68" si="37">EXP(-1.0587+0.8836*LN(BE5)+0.284)</f>
        <v>0.58693801963664449</v>
      </c>
      <c r="BG5" s="20">
        <f t="shared" si="7"/>
        <v>3.3122877098209038</v>
      </c>
      <c r="BH5" s="59">
        <f t="shared" si="8"/>
        <v>296.64562104315422</v>
      </c>
      <c r="BI5" s="59">
        <f ca="1">AVERAGE(OFFSET($BH$3,0,0,'Données projet'!$E$11+1,1))-AVERAGE(OFFSET($H$3,0,0,'Données projet'!$E$11+1,1))</f>
        <v>237.22177246688199</v>
      </c>
      <c r="BJ5" s="59">
        <f t="shared" ref="BJ5:BJ68" si="38">$BJ$3</f>
        <v>149.27472147904302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6.6</v>
      </c>
      <c r="BY5" s="12">
        <f>IF('Données projet'!$A$114&gt;35,BY4+BX5-CG4,IF(A5&lt;'Données projet'!$A$114,$BV$205^A5,IF(A5='Données projet'!$A$114,'Données projet'!$B$114,BY4+BX5-CG4)))</f>
        <v>1.629511362483081</v>
      </c>
      <c r="BZ5" s="13">
        <f>BY5*VLOOKUP('Données projet'!$B$12,Paramètres!$A$1:$I$89,3,0)*VLOOKUP('Données projet'!$B$12,Paramètres!$A$1:$I$89,5,0)</f>
        <v>1.4235411262652198</v>
      </c>
      <c r="CA5" s="13">
        <f t="shared" ref="CA5:CA68" si="39">EXP(-1.0587+0.8836*LN(BZ5)+0.284)</f>
        <v>0.62960738463416654</v>
      </c>
      <c r="CB5" s="20">
        <f t="shared" si="10"/>
        <v>3.5759003231497637</v>
      </c>
      <c r="CC5" s="59">
        <f t="shared" si="11"/>
        <v>296.90923365648308</v>
      </c>
      <c r="CD5" s="59">
        <f ca="1">AVERAGE(OFFSET($CC$3,0,0,'Données projet'!$E$12+1,1))-AVERAGE(OFFSET($H$3,0,0,'Données projet'!$E$12+1,1))</f>
        <v>223.81948236065614</v>
      </c>
      <c r="CE5" s="59">
        <f t="shared" ref="CE5:CE68" si="40">$CE$3</f>
        <v>320.1204011431372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3.6</v>
      </c>
      <c r="CT5" s="12">
        <f>IF('Données projet'!$A$140&gt;35,CT4+CS5-DB4,IF(A5&lt;'Données projet'!$A$140,$CQ$205^A5,IF(A5='Données projet'!$A$140,'Données projet'!$B$140,CT4+CS5-DB4)))</f>
        <v>2.0476725110792193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1.1000000000000001</v>
      </c>
      <c r="DO5" s="12">
        <f>IF('Données projet'!$A$166&gt;35,DO4+DN5-DW4,IF(A5&lt;'Données projet'!$A$166,$DL$205^A5,IF(A5='Données projet'!$A$166,'Données projet'!$B$166,DO4+DN5-DW4)))</f>
        <v>1.6153942662021783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</v>
      </c>
      <c r="N6" s="13">
        <f>IF('Données projet'!$A$36&gt;35,N5+M6-V5,IF(A6&lt;'Données projet'!$A$36,$K$205^A6,IF(A6='Données projet'!$A$36,'Données projet'!$B$36,N5+M6-V5)))</f>
        <v>2.4494897427831783</v>
      </c>
      <c r="O6" s="13">
        <f>N6*VLOOKUP('Données projet'!$B$9,Paramètres!$A$1:$I$89,3,0)*VLOOKUP('Données projet'!$B$9,Paramètres!$A$1:$I$89,5,0)</f>
        <v>1.4647948661843406</v>
      </c>
      <c r="P6" s="13">
        <f t="shared" si="33"/>
        <v>0.64570247854798968</v>
      </c>
      <c r="Q6" s="20">
        <f t="shared" si="2"/>
        <v>3.6757828754088084</v>
      </c>
      <c r="R6" s="59">
        <f t="shared" si="0"/>
        <v>297.00911620874211</v>
      </c>
      <c r="S6" s="59">
        <f ca="1">AVERAGE(OFFSET($R$3,0,0,'Données projet'!$E$9+1,1))-AVERAGE(OFFSET($H$3,0,0,'Données projet'!$E$9+1,1))</f>
        <v>168.08890945052406</v>
      </c>
      <c r="T6" s="59">
        <f t="shared" si="34"/>
        <v>182.52462557642343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4.55</v>
      </c>
      <c r="AI6" s="13">
        <f>IF('Données projet'!$A$62&gt;35,AI5+AH6-AQ5,IF(A6&lt;'Données projet'!$A$62,$AF$205^A6,IF(A6='Données projet'!$A$62,'Données projet'!$B$62,AI5+AH6-AQ5)))</f>
        <v>1.9672348474029151</v>
      </c>
      <c r="AJ6" s="13">
        <f>AI6*VLOOKUP('Données projet'!$B$10,Paramètres!$A$1:$I$89,3,0)*VLOOKUP('Données projet'!$B$10,Paramètres!$A$1:$I$89,5,0)</f>
        <v>1.1764064387469433</v>
      </c>
      <c r="AK6" s="13">
        <f t="shared" si="35"/>
        <v>0.53198155817597481</v>
      </c>
      <c r="AL6" s="20">
        <f t="shared" si="4"/>
        <v>2.9754424279740825</v>
      </c>
      <c r="AM6" s="59">
        <f t="shared" si="5"/>
        <v>296.3087757613074</v>
      </c>
      <c r="AN6" s="59">
        <f ca="1">AVERAGE(OFFSET($AM$3,0,0,'Données projet'!$E$10+1,1))-AVERAGE(OFFSET($H$3,0,0,'Données projet'!$E$10+1,1))</f>
        <v>216.94426559495264</v>
      </c>
      <c r="AO6" s="59">
        <f t="shared" si="36"/>
        <v>225.33715877618704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2.1</v>
      </c>
      <c r="BD6" s="12">
        <f>IF('Données projet'!$A$88&gt;35,BD5+BC6-BL5,IF(A6&lt;'Données projet'!$A$88,$BA$205^A6,IF(A6='Données projet'!$A$88,'Données projet'!$B$88,BD5+BC6-BL5)))</f>
        <v>1.7518115829322798</v>
      </c>
      <c r="BE6" s="13">
        <f>BD6*VLOOKUP('Données projet'!$B$11,Paramètres!$A$1:$I$89,3,0)*VLOOKUP('Données projet'!$B$11,Paramètres!$A$1:$I$89,5,0)</f>
        <v>1.5850391202371266</v>
      </c>
      <c r="BF6" s="13">
        <f t="shared" si="37"/>
        <v>0.69232082604846479</v>
      </c>
      <c r="BG6" s="20">
        <f t="shared" si="7"/>
        <v>3.966401906447405</v>
      </c>
      <c r="BH6" s="59">
        <f t="shared" si="8"/>
        <v>297.29973523978072</v>
      </c>
      <c r="BI6" s="59">
        <f ca="1">AVERAGE(OFFSET($BH$3,0,0,'Données projet'!$E$11+1,1))-AVERAGE(OFFSET($H$3,0,0,'Données projet'!$E$11+1,1))</f>
        <v>237.22177246688199</v>
      </c>
      <c r="BJ6" s="59">
        <f t="shared" si="38"/>
        <v>149.27472147904302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6.6</v>
      </c>
      <c r="BY6" s="12">
        <f>IF('Données projet'!$A$114&gt;35,BY5+BX6-CG5,IF(A6&lt;'Données projet'!$A$114,$BV$205^A6,IF(A6='Données projet'!$A$114,'Données projet'!$B$114,BY5+BX6-CG5)))</f>
        <v>2.0801089837784965</v>
      </c>
      <c r="BZ6" s="13">
        <f>BY6*VLOOKUP('Données projet'!$B$12,Paramètres!$A$1:$I$89,3,0)*VLOOKUP('Données projet'!$B$12,Paramètres!$A$1:$I$89,5,0)</f>
        <v>1.8171832082288948</v>
      </c>
      <c r="CA6" s="13">
        <f t="shared" si="39"/>
        <v>0.7811901694881791</v>
      </c>
      <c r="CB6" s="20">
        <f t="shared" si="10"/>
        <v>4.5255002995239044</v>
      </c>
      <c r="CC6" s="59">
        <f t="shared" si="11"/>
        <v>297.85883363285723</v>
      </c>
      <c r="CD6" s="59">
        <f ca="1">AVERAGE(OFFSET($CC$3,0,0,'Données projet'!$E$12+1,1))-AVERAGE(OFFSET($H$3,0,0,'Données projet'!$E$12+1,1))</f>
        <v>223.81948236065614</v>
      </c>
      <c r="CE6" s="59">
        <f t="shared" si="40"/>
        <v>320.1204011431372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3.6</v>
      </c>
      <c r="CT6" s="12">
        <f>IF('Données projet'!$A$140&gt;35,CT5+CS6-DB5,IF(A6&lt;'Données projet'!$A$140,$CQ$205^A6,IF(A6='Données projet'!$A$140,'Données projet'!$B$140,CT5+CS6-DB5)))</f>
        <v>2.9301560515835217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1.1000000000000001</v>
      </c>
      <c r="DO6" s="12">
        <f>IF('Données projet'!$A$166&gt;35,DO5+DN6-DW5,IF(A6&lt;'Données projet'!$A$166,$DL$205^A6,IF(A6='Données projet'!$A$166,'Données projet'!$B$166,DO5+DN6-DW5)))</f>
        <v>2.0531364136588448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</v>
      </c>
      <c r="N7" s="13">
        <f>IF('Données projet'!$A$36&gt;35,N6+M7-V6,IF(A7&lt;'Données projet'!$A$36,$K$205^A7,IF(A7='Données projet'!$A$36,'Données projet'!$B$36,N6+M7-V6)))</f>
        <v>3.3019272488946267</v>
      </c>
      <c r="O7" s="13">
        <f>N7*VLOOKUP('Données projet'!$B$9,Paramètres!$A$1:$I$89,3,0)*VLOOKUP('Données projet'!$B$9,Paramètres!$A$1:$I$89,5,0)</f>
        <v>1.974552494838987</v>
      </c>
      <c r="P7" s="13">
        <f t="shared" si="33"/>
        <v>0.84067511945625772</v>
      </c>
      <c r="Q7" s="20">
        <f t="shared" si="2"/>
        <v>4.9031880948975504</v>
      </c>
      <c r="R7" s="59">
        <f t="shared" si="0"/>
        <v>298.23652142823084</v>
      </c>
      <c r="S7" s="59">
        <f ca="1">AVERAGE(OFFSET($R$3,0,0,'Données projet'!$E$9+1,1))-AVERAGE(OFFSET($H$3,0,0,'Données projet'!$E$9+1,1))</f>
        <v>168.08890945052406</v>
      </c>
      <c r="T7" s="59">
        <f t="shared" si="34"/>
        <v>182.52462557642343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4.55</v>
      </c>
      <c r="AI7" s="13">
        <f>IF('Données projet'!$A$62&gt;35,AI6+AH7-AQ6,IF(A7&lt;'Données projet'!$A$62,$AF$205^A7,IF(A7='Données projet'!$A$62,'Données projet'!$B$62,AI6+AH7-AQ6)))</f>
        <v>2.4649509317268694</v>
      </c>
      <c r="AJ7" s="13">
        <f>AI7*VLOOKUP('Données projet'!$B$10,Paramètres!$A$1:$I$89,3,0)*VLOOKUP('Données projet'!$B$10,Paramètres!$A$1:$I$89,5,0)</f>
        <v>1.4740406571726681</v>
      </c>
      <c r="AK7" s="13">
        <f t="shared" si="35"/>
        <v>0.64930242653052039</v>
      </c>
      <c r="AL7" s="20">
        <f t="shared" si="4"/>
        <v>3.6981558707830531</v>
      </c>
      <c r="AM7" s="59">
        <f t="shared" si="5"/>
        <v>297.03148920411638</v>
      </c>
      <c r="AN7" s="59">
        <f ca="1">AVERAGE(OFFSET($AM$3,0,0,'Données projet'!$E$10+1,1))-AVERAGE(OFFSET($H$3,0,0,'Données projet'!$E$10+1,1))</f>
        <v>216.94426559495264</v>
      </c>
      <c r="AO7" s="59">
        <f t="shared" si="36"/>
        <v>225.33715877618704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2.1</v>
      </c>
      <c r="BD7" s="12">
        <f>IF('Données projet'!$A$88&gt;35,BD6+BC7-BL6,IF(A7&lt;'Données projet'!$A$88,$BA$205^A7,IF(A7='Données projet'!$A$88,'Données projet'!$B$88,BD6+BC7-BL6)))</f>
        <v>2.1117857649667546</v>
      </c>
      <c r="BE7" s="13">
        <f>BD7*VLOOKUP('Données projet'!$B$11,Paramètres!$A$1:$I$89,3,0)*VLOOKUP('Données projet'!$B$11,Paramètres!$A$1:$I$89,5,0)</f>
        <v>1.9107437601419195</v>
      </c>
      <c r="BF7" s="13">
        <f t="shared" si="37"/>
        <v>0.81662477151702284</v>
      </c>
      <c r="BG7" s="20">
        <f t="shared" si="7"/>
        <v>4.7501668593059909</v>
      </c>
      <c r="BH7" s="59">
        <f t="shared" si="8"/>
        <v>298.08350019263929</v>
      </c>
      <c r="BI7" s="59">
        <f ca="1">AVERAGE(OFFSET($BH$3,0,0,'Données projet'!$E$11+1,1))-AVERAGE(OFFSET($H$3,0,0,'Données projet'!$E$11+1,1))</f>
        <v>237.22177246688199</v>
      </c>
      <c r="BJ7" s="59">
        <f t="shared" si="38"/>
        <v>149.27472147904302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6.6</v>
      </c>
      <c r="BY7" s="12">
        <f>IF('Données projet'!$A$114&gt;35,BY6+BX7-CG6,IF(A7&lt;'Données projet'!$A$114,$BV$205^A7,IF(A7='Données projet'!$A$114,'Données projet'!$B$114,BY6+BX7-CG6)))</f>
        <v>2.655307280461467</v>
      </c>
      <c r="BZ7" s="13">
        <f>BY7*VLOOKUP('Données projet'!$B$12,Paramètres!$A$1:$I$89,3,0)*VLOOKUP('Données projet'!$B$12,Paramètres!$A$1:$I$89,5,0)</f>
        <v>2.3196764402111376</v>
      </c>
      <c r="CA7" s="13">
        <f t="shared" si="39"/>
        <v>0.96926766711854973</v>
      </c>
      <c r="CB7" s="20">
        <f t="shared" si="10"/>
        <v>5.7282443202658717</v>
      </c>
      <c r="CC7" s="59">
        <f t="shared" si="11"/>
        <v>299.06157765359916</v>
      </c>
      <c r="CD7" s="59">
        <f ca="1">AVERAGE(OFFSET($CC$3,0,0,'Données projet'!$E$12+1,1))-AVERAGE(OFFSET($H$3,0,0,'Données projet'!$E$12+1,1))</f>
        <v>223.81948236065614</v>
      </c>
      <c r="CE7" s="59">
        <f t="shared" si="40"/>
        <v>320.1204011431372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3.6</v>
      </c>
      <c r="CT7" s="12">
        <f>IF('Données projet'!$A$140&gt;35,CT6+CS7-DB6,IF(A7&lt;'Données projet'!$A$140,$CQ$205^A7,IF(A7='Données projet'!$A$140,'Données projet'!$B$140,CT6+CS7-DB6)))</f>
        <v>4.192962712629476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1.1000000000000001</v>
      </c>
      <c r="DO7" s="12">
        <f>IF('Données projet'!$A$166&gt;35,DO6+DN7-DW6,IF(A7&lt;'Données projet'!$A$166,$DL$205^A7,IF(A7='Données projet'!$A$166,'Données projet'!$B$166,DO6+DN7-DW6)))</f>
        <v>2.6094986352788743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</v>
      </c>
      <c r="N8" s="13">
        <f>IF('Données projet'!$A$36&gt;35,N7+M8-V7,IF(A8&lt;'Données projet'!$A$36,$K$205^A8,IF(A8='Données projet'!$A$36,'Données projet'!$B$36,N7+M8-V7)))</f>
        <v>4.4510182535424141</v>
      </c>
      <c r="O8" s="13">
        <f>N8*VLOOKUP('Données projet'!$B$9,Paramètres!$A$1:$I$89,3,0)*VLOOKUP('Données projet'!$B$9,Paramètres!$A$1:$I$89,5,0)</f>
        <v>2.6617089156183638</v>
      </c>
      <c r="P8" s="13">
        <f t="shared" si="33"/>
        <v>1.0945205879680817</v>
      </c>
      <c r="Q8" s="20">
        <f t="shared" si="2"/>
        <v>6.5420997187463925</v>
      </c>
      <c r="R8" s="59">
        <f t="shared" si="0"/>
        <v>299.8754330520797</v>
      </c>
      <c r="S8" s="59">
        <f ca="1">AVERAGE(OFFSET($R$3,0,0,'Données projet'!$E$9+1,1))-AVERAGE(OFFSET($H$3,0,0,'Données projet'!$E$9+1,1))</f>
        <v>168.08890945052406</v>
      </c>
      <c r="T8" s="59">
        <f t="shared" si="34"/>
        <v>182.52462557642343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4.55</v>
      </c>
      <c r="AI8" s="13">
        <f>IF('Données projet'!$A$62&gt;35,AI7+AH8-AQ7,IF(A8&lt;'Données projet'!$A$62,$AF$205^A8,IF(A8='Données projet'!$A$62,'Données projet'!$B$62,AI7+AH8-AQ7)))</f>
        <v>3.0885906193876616</v>
      </c>
      <c r="AJ8" s="13">
        <f>AI8*VLOOKUP('Données projet'!$B$10,Paramètres!$A$1:$I$89,3,0)*VLOOKUP('Données projet'!$B$10,Paramètres!$A$1:$I$89,5,0)</f>
        <v>1.8469771903938217</v>
      </c>
      <c r="AK8" s="13">
        <f t="shared" si="35"/>
        <v>0.79249672214945899</v>
      </c>
      <c r="AL8" s="20">
        <f t="shared" si="4"/>
        <v>4.59708373101288</v>
      </c>
      <c r="AM8" s="59">
        <f t="shared" si="5"/>
        <v>297.93041706434622</v>
      </c>
      <c r="AN8" s="59">
        <f ca="1">AVERAGE(OFFSET($AM$3,0,0,'Données projet'!$E$10+1,1))-AVERAGE(OFFSET($H$3,0,0,'Données projet'!$E$10+1,1))</f>
        <v>216.94426559495264</v>
      </c>
      <c r="AO8" s="59">
        <f t="shared" si="36"/>
        <v>225.33715877618704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2.1</v>
      </c>
      <c r="BD8" s="12">
        <f>IF('Données projet'!$A$88&gt;35,BD7+BC8-BL7,IF(A8&lt;'Données projet'!$A$88,$BA$205^A8,IF(A8='Données projet'!$A$88,'Données projet'!$B$88,BD7+BC8-BL7)))</f>
        <v>2.5457298950218314</v>
      </c>
      <c r="BE8" s="13">
        <f>BD8*VLOOKUP('Données projet'!$B$11,Paramètres!$A$1:$I$89,3,0)*VLOOKUP('Données projet'!$B$11,Paramètres!$A$1:$I$89,5,0)</f>
        <v>2.3033764090157529</v>
      </c>
      <c r="BF8" s="13">
        <f t="shared" si="37"/>
        <v>0.96324708482559218</v>
      </c>
      <c r="BG8" s="20">
        <f t="shared" si="7"/>
        <v>5.6893692517736758</v>
      </c>
      <c r="BH8" s="59">
        <f t="shared" si="8"/>
        <v>299.02270258510697</v>
      </c>
      <c r="BI8" s="59">
        <f ca="1">AVERAGE(OFFSET($BH$3,0,0,'Données projet'!$E$11+1,1))-AVERAGE(OFFSET($H$3,0,0,'Données projet'!$E$11+1,1))</f>
        <v>237.22177246688199</v>
      </c>
      <c r="BJ8" s="59">
        <f t="shared" si="38"/>
        <v>149.27472147904302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6.6</v>
      </c>
      <c r="BY8" s="12">
        <f>IF('Données projet'!$A$114&gt;35,BY7+BX8-CG7,IF(A8&lt;'Données projet'!$A$114,$BV$205^A8,IF(A8='Données projet'!$A$114,'Données projet'!$B$114,BY7+BX8-CG7)))</f>
        <v>3.3895612242701949</v>
      </c>
      <c r="BZ8" s="13">
        <f>BY8*VLOOKUP('Données projet'!$B$12,Paramètres!$A$1:$I$89,3,0)*VLOOKUP('Données projet'!$B$12,Paramètres!$A$1:$I$89,5,0)</f>
        <v>2.9611206855224426</v>
      </c>
      <c r="CA8" s="13">
        <f t="shared" si="39"/>
        <v>1.2026262582604759</v>
      </c>
      <c r="CB8" s="20">
        <f t="shared" si="10"/>
        <v>7.2518592604219156</v>
      </c>
      <c r="CC8" s="59">
        <f t="shared" si="11"/>
        <v>300.58519259375521</v>
      </c>
      <c r="CD8" s="59">
        <f ca="1">AVERAGE(OFFSET($CC$3,0,0,'Données projet'!$E$12+1,1))-AVERAGE(OFFSET($H$3,0,0,'Données projet'!$E$12+1,1))</f>
        <v>223.81948236065614</v>
      </c>
      <c r="CE8" s="59">
        <f t="shared" si="40"/>
        <v>320.1204011431372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3.6</v>
      </c>
      <c r="CT8" s="12">
        <f>IF('Données projet'!$A$140&gt;35,CT7+CS8-DB7,IF(A8&lt;'Données projet'!$A$140,$CQ$205^A8,IF(A8='Données projet'!$A$140,'Données projet'!$B$140,CT7+CS8-DB7)))</f>
        <v>6.0000000000000009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1.1000000000000001</v>
      </c>
      <c r="DO8" s="12">
        <f>IF('Données projet'!$A$166&gt;35,DO7+DN8-DW7,IF(A8&lt;'Données projet'!$A$166,$DL$205^A8,IF(A8='Données projet'!$A$166,'Données projet'!$B$166,DO7+DN8-DW7)))</f>
        <v>3.3166247903554016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</v>
      </c>
      <c r="N9" s="13">
        <f>IF('Données projet'!$A$36&gt;35,N8+M9-V8,IF(A9&lt;'Données projet'!$A$36,$K$205^A9,IF(A9='Données projet'!$A$36,'Données projet'!$B$36,N8+M9-V8)))</f>
        <v>6</v>
      </c>
      <c r="O9" s="13">
        <f>N9*VLOOKUP('Données projet'!$B$9,Paramètres!$A$1:$I$89,3,0)*VLOOKUP('Données projet'!$B$9,Paramètres!$A$1:$I$89,5,0)</f>
        <v>3.5880000000000005</v>
      </c>
      <c r="P9" s="13">
        <f t="shared" si="33"/>
        <v>1.4250157876217819</v>
      </c>
      <c r="Q9" s="20">
        <f t="shared" si="2"/>
        <v>8.7310024967746021</v>
      </c>
      <c r="R9" s="59">
        <f t="shared" si="0"/>
        <v>302.06433583010789</v>
      </c>
      <c r="S9" s="59">
        <f ca="1">AVERAGE(OFFSET($R$3,0,0,'Données projet'!$E$9+1,1))-AVERAGE(OFFSET($H$3,0,0,'Données projet'!$E$9+1,1))</f>
        <v>168.08890945052406</v>
      </c>
      <c r="T9" s="59">
        <f t="shared" si="34"/>
        <v>182.52462557642343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4.55</v>
      </c>
      <c r="AI9" s="13">
        <f>IF('Données projet'!$A$62&gt;35,AI8+AH9-AQ8,IF(A9&lt;'Données projet'!$A$62,$AF$205^A9,IF(A9='Données projet'!$A$62,'Données projet'!$B$62,AI8+AH9-AQ8)))</f>
        <v>3.8700129448363709</v>
      </c>
      <c r="AJ9" s="13">
        <f>AI9*VLOOKUP('Données projet'!$B$10,Paramètres!$A$1:$I$89,3,0)*VLOOKUP('Données projet'!$B$10,Paramètres!$A$1:$I$89,5,0)</f>
        <v>2.3142677410121499</v>
      </c>
      <c r="AK9" s="13">
        <f t="shared" si="35"/>
        <v>0.96727045665540168</v>
      </c>
      <c r="AL9" s="20">
        <f t="shared" si="4"/>
        <v>5.7153456942709857</v>
      </c>
      <c r="AM9" s="59">
        <f t="shared" si="5"/>
        <v>299.04867902760429</v>
      </c>
      <c r="AN9" s="59">
        <f ca="1">AVERAGE(OFFSET($AM$3,0,0,'Données projet'!$E$10+1,1))-AVERAGE(OFFSET($H$3,0,0,'Données projet'!$E$10+1,1))</f>
        <v>216.94426559495264</v>
      </c>
      <c r="AO9" s="59">
        <f t="shared" si="36"/>
        <v>225.33715877618704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2.1</v>
      </c>
      <c r="BD9" s="12">
        <f>IF('Données projet'!$A$88&gt;35,BD8+BC9-BL8,IF(A9&lt;'Données projet'!$A$88,$BA$205^A9,IF(A9='Données projet'!$A$88,'Données projet'!$B$88,BD8+BC9-BL8)))</f>
        <v>3.0688438220956993</v>
      </c>
      <c r="BE9" s="13">
        <f>BD9*VLOOKUP('Données projet'!$B$11,Paramètres!$A$1:$I$89,3,0)*VLOOKUP('Données projet'!$B$11,Paramètres!$A$1:$I$89,5,0)</f>
        <v>2.7766898902321886</v>
      </c>
      <c r="BF9" s="13">
        <f t="shared" si="37"/>
        <v>1.1361949561012803</v>
      </c>
      <c r="BG9" s="20">
        <f t="shared" si="7"/>
        <v>6.8149411073641248</v>
      </c>
      <c r="BH9" s="59">
        <f t="shared" si="8"/>
        <v>300.14827444069743</v>
      </c>
      <c r="BI9" s="59">
        <f ca="1">AVERAGE(OFFSET($BH$3,0,0,'Données projet'!$E$11+1,1))-AVERAGE(OFFSET($H$3,0,0,'Données projet'!$E$11+1,1))</f>
        <v>237.22177246688199</v>
      </c>
      <c r="BJ9" s="59">
        <f t="shared" si="38"/>
        <v>149.27472147904302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6.6</v>
      </c>
      <c r="BY9" s="12">
        <f>IF('Données projet'!$A$114&gt;35,BY8+BX9-CG8,IF(A9&lt;'Données projet'!$A$114,$BV$205^A9,IF(A9='Données projet'!$A$114,'Données projet'!$B$114,BY8+BX9-CG8)))</f>
        <v>4.32685338439601</v>
      </c>
      <c r="BZ9" s="13">
        <f>BY9*VLOOKUP('Données projet'!$B$12,Paramètres!$A$1:$I$89,3,0)*VLOOKUP('Données projet'!$B$12,Paramètres!$A$1:$I$89,5,0)</f>
        <v>3.7799391166083551</v>
      </c>
      <c r="CA9" s="13">
        <f t="shared" si="39"/>
        <v>1.4921677118944865</v>
      </c>
      <c r="CB9" s="20">
        <f t="shared" si="10"/>
        <v>9.1822527263091143</v>
      </c>
      <c r="CC9" s="59">
        <f t="shared" si="11"/>
        <v>302.51558605964243</v>
      </c>
      <c r="CD9" s="59">
        <f ca="1">AVERAGE(OFFSET($CC$3,0,0,'Données projet'!$E$12+1,1))-AVERAGE(OFFSET($H$3,0,0,'Données projet'!$E$12+1,1))</f>
        <v>223.81948236065614</v>
      </c>
      <c r="CE9" s="59">
        <f t="shared" si="40"/>
        <v>320.1204011431372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3.6</v>
      </c>
      <c r="CT9" s="12">
        <f>IF('Données projet'!$A$140&gt;35,CT8+CS9-DB8,IF(A9&lt;'Données projet'!$A$140,$CQ$205^A9,IF(A9='Données projet'!$A$140,'Données projet'!$B$140,CT8+CS9-DB8)))</f>
        <v>8.5858144866315342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1.1000000000000001</v>
      </c>
      <c r="DO9" s="12">
        <f>IF('Données projet'!$A$166&gt;35,DO8+DN9-DW8,IF(A9&lt;'Données projet'!$A$166,$DL$205^A9,IF(A9='Données projet'!$A$166,'Données projet'!$B$166,DO8+DN9-DW8)))</f>
        <v>4.2153691330919028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</v>
      </c>
      <c r="N10" s="13">
        <f>IF('Données projet'!$A$36&gt;35,N9+M10-V9,IF(A10&lt;'Données projet'!$A$36,$K$205^A10,IF(A10='Données projet'!$A$36,'Données projet'!$B$36,N9+M10-V9)))</f>
        <v>8.0880369275836674</v>
      </c>
      <c r="O10" s="13">
        <f>N10*VLOOKUP('Données projet'!$B$9,Paramètres!$A$1:$I$89,3,0)*VLOOKUP('Données projet'!$B$9,Paramètres!$A$1:$I$89,5,0)</f>
        <v>4.836646082695033</v>
      </c>
      <c r="P10" s="13">
        <f t="shared" si="33"/>
        <v>1.8553054344470195</v>
      </c>
      <c r="Q10" s="20">
        <f t="shared" si="2"/>
        <v>11.65514889235574</v>
      </c>
      <c r="R10" s="59">
        <f t="shared" si="0"/>
        <v>304.98848222568904</v>
      </c>
      <c r="S10" s="59">
        <f ca="1">AVERAGE(OFFSET($R$3,0,0,'Données projet'!$E$9+1,1))-AVERAGE(OFFSET($H$3,0,0,'Données projet'!$E$9+1,1))</f>
        <v>168.08890945052406</v>
      </c>
      <c r="T10" s="59">
        <f t="shared" si="34"/>
        <v>182.52462557642343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4.55</v>
      </c>
      <c r="AI10" s="13">
        <f>IF('Données projet'!$A$62&gt;35,AI9+AH10-AQ9,IF(A10&lt;'Données projet'!$A$62,$AF$205^A10,IF(A10='Données projet'!$A$62,'Données projet'!$B$62,AI9+AH10-AQ9)))</f>
        <v>4.8491373700313813</v>
      </c>
      <c r="AJ10" s="13">
        <f>AI10*VLOOKUP('Données projet'!$B$10,Paramètres!$A$1:$I$89,3,0)*VLOOKUP('Données projet'!$B$10,Paramètres!$A$1:$I$89,5,0)</f>
        <v>2.8997841472787664</v>
      </c>
      <c r="AK10" s="13">
        <f t="shared" si="35"/>
        <v>1.1805880203273573</v>
      </c>
      <c r="AL10" s="20">
        <f t="shared" si="4"/>
        <v>7.1066481919139983</v>
      </c>
      <c r="AM10" s="59">
        <f t="shared" si="5"/>
        <v>300.43998152524733</v>
      </c>
      <c r="AN10" s="59">
        <f ca="1">AVERAGE(OFFSET($AM$3,0,0,'Données projet'!$E$10+1,1))-AVERAGE(OFFSET($H$3,0,0,'Données projet'!$E$10+1,1))</f>
        <v>216.94426559495264</v>
      </c>
      <c r="AO10" s="59">
        <f t="shared" si="36"/>
        <v>225.33715877618704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2.1</v>
      </c>
      <c r="BD10" s="12">
        <f>IF('Données projet'!$A$88&gt;35,BD9+BC10-BL9,IF(A10&lt;'Données projet'!$A$88,$BA$205^A10,IF(A10='Données projet'!$A$88,'Données projet'!$B$88,BD9+BC10-BL9)))</f>
        <v>3.6994507637402658</v>
      </c>
      <c r="BE10" s="13">
        <f>BD10*VLOOKUP('Données projet'!$B$11,Paramètres!$A$1:$I$89,3,0)*VLOOKUP('Données projet'!$B$11,Paramètres!$A$1:$I$89,5,0)</f>
        <v>3.3472630510321921</v>
      </c>
      <c r="BF10" s="13">
        <f t="shared" si="37"/>
        <v>1.34019505338418</v>
      </c>
      <c r="BG10" s="20">
        <f t="shared" si="7"/>
        <v>8.1639895318585136</v>
      </c>
      <c r="BH10" s="59">
        <f t="shared" si="8"/>
        <v>301.49732286519185</v>
      </c>
      <c r="BI10" s="59">
        <f ca="1">AVERAGE(OFFSET($BH$3,0,0,'Données projet'!$E$11+1,1))-AVERAGE(OFFSET($H$3,0,0,'Données projet'!$E$11+1,1))</f>
        <v>237.22177246688199</v>
      </c>
      <c r="BJ10" s="59">
        <f t="shared" si="38"/>
        <v>149.27472147904302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6.6</v>
      </c>
      <c r="BY10" s="12">
        <f>IF('Données projet'!$A$114&gt;35,BY9+BX10-CG9,IF(A10&lt;'Données projet'!$A$114,$BV$205^A10,IF(A10='Données projet'!$A$114,'Données projet'!$B$114,BY9+BX10-CG9)))</f>
        <v>5.5233285287803451</v>
      </c>
      <c r="BZ10" s="13">
        <f>BY10*VLOOKUP('Données projet'!$B$12,Paramètres!$A$1:$I$89,3,0)*VLOOKUP('Données projet'!$B$12,Paramètres!$A$1:$I$89,5,0)</f>
        <v>4.8251798027425101</v>
      </c>
      <c r="CA10" s="13">
        <f t="shared" si="39"/>
        <v>1.8514184811173284</v>
      </c>
      <c r="CB10" s="20">
        <f t="shared" si="10"/>
        <v>11.628408677722552</v>
      </c>
      <c r="CC10" s="59">
        <f t="shared" si="11"/>
        <v>304.96174201105589</v>
      </c>
      <c r="CD10" s="59">
        <f ca="1">AVERAGE(OFFSET($CC$3,0,0,'Données projet'!$E$12+1,1))-AVERAGE(OFFSET($H$3,0,0,'Données projet'!$E$12+1,1))</f>
        <v>223.81948236065614</v>
      </c>
      <c r="CE10" s="59">
        <f t="shared" si="40"/>
        <v>320.1204011431372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3.6</v>
      </c>
      <c r="CT10" s="12">
        <f>IF('Données projet'!$A$140&gt;35,CT9+CS10-DB9,IF(A10&lt;'Données projet'!$A$140,$CQ$205^A10,IF(A10='Données projet'!$A$140,'Données projet'!$B$140,CT9+CS10-DB9)))</f>
        <v>12.286035066475318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1.1000000000000001</v>
      </c>
      <c r="DO10" s="12">
        <f>IF('Données projet'!$A$166&gt;35,DO9+DN10-DW9,IF(A10&lt;'Données projet'!$A$166,$DL$205^A10,IF(A10='Données projet'!$A$166,'Données projet'!$B$166,DO9+DN10-DW9)))</f>
        <v>5.3576566694841175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</v>
      </c>
      <c r="N11" s="13">
        <f>IF('Données projet'!$A$36&gt;35,N10+M11-V10,IF(A11&lt;'Données projet'!$A$36,$K$205^A11,IF(A11='Données projet'!$A$36,'Données projet'!$B$36,N10+M11-V10)))</f>
        <v>10.902723556992838</v>
      </c>
      <c r="O11" s="13">
        <f>N11*VLOOKUP('Données projet'!$B$9,Paramètres!$A$1:$I$89,3,0)*VLOOKUP('Données projet'!$B$9,Paramètres!$A$1:$I$89,5,0)</f>
        <v>6.5198286870817181</v>
      </c>
      <c r="P11" s="13">
        <f t="shared" si="33"/>
        <v>2.4155228910363733</v>
      </c>
      <c r="Q11" s="20">
        <f t="shared" si="2"/>
        <v>15.562403998555673</v>
      </c>
      <c r="R11" s="59">
        <f t="shared" si="0"/>
        <v>308.89573733188899</v>
      </c>
      <c r="S11" s="59">
        <f ca="1">AVERAGE(OFFSET($R$3,0,0,'Données projet'!$E$9+1,1))-AVERAGE(OFFSET($H$3,0,0,'Données projet'!$E$9+1,1))</f>
        <v>168.08890945052406</v>
      </c>
      <c r="T11" s="59">
        <f t="shared" si="34"/>
        <v>182.52462557642343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4.55</v>
      </c>
      <c r="AI11" s="13">
        <f>IF('Données projet'!$A$62&gt;35,AI10+AH11-AQ10,IF(A11&lt;'Données projet'!$A$62,$AF$205^A11,IF(A11='Données projet'!$A$62,'Données projet'!$B$62,AI10+AH11-AQ10)))</f>
        <v>6.0759830958211616</v>
      </c>
      <c r="AJ11" s="13">
        <f>AI11*VLOOKUP('Données projet'!$B$10,Paramètres!$A$1:$I$89,3,0)*VLOOKUP('Données projet'!$B$10,Paramètres!$A$1:$I$89,5,0)</f>
        <v>3.633437891301055</v>
      </c>
      <c r="AK11" s="13">
        <f t="shared" si="35"/>
        <v>1.4409496993838373</v>
      </c>
      <c r="AL11" s="20">
        <f t="shared" si="4"/>
        <v>8.8378917204428529</v>
      </c>
      <c r="AM11" s="59">
        <f t="shared" si="5"/>
        <v>302.17122505377614</v>
      </c>
      <c r="AN11" s="59">
        <f ca="1">AVERAGE(OFFSET($AM$3,0,0,'Données projet'!$E$10+1,1))-AVERAGE(OFFSET($H$3,0,0,'Données projet'!$E$10+1,1))</f>
        <v>216.94426559495264</v>
      </c>
      <c r="AO11" s="59">
        <f t="shared" si="36"/>
        <v>225.33715877618704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2.1</v>
      </c>
      <c r="BD11" s="12">
        <f>IF('Données projet'!$A$88&gt;35,BD10+BC11-BL10,IF(A11&lt;'Données projet'!$A$88,$BA$205^A11,IF(A11='Données projet'!$A$88,'Données projet'!$B$88,BD10+BC11-BL10)))</f>
        <v>4.4596391171162209</v>
      </c>
      <c r="BE11" s="13">
        <f>BD11*VLOOKUP('Données projet'!$B$11,Paramètres!$A$1:$I$89,3,0)*VLOOKUP('Données projet'!$B$11,Paramètres!$A$1:$I$89,5,0)</f>
        <v>4.0350814731667564</v>
      </c>
      <c r="BF11" s="13">
        <f t="shared" si="37"/>
        <v>1.5808227025391921</v>
      </c>
      <c r="BG11" s="20">
        <f t="shared" si="7"/>
        <v>9.7810331060211926</v>
      </c>
      <c r="BH11" s="59">
        <f t="shared" si="8"/>
        <v>303.11436643935451</v>
      </c>
      <c r="BI11" s="59">
        <f ca="1">AVERAGE(OFFSET($BH$3,0,0,'Données projet'!$E$11+1,1))-AVERAGE(OFFSET($H$3,0,0,'Données projet'!$E$11+1,1))</f>
        <v>237.22177246688199</v>
      </c>
      <c r="BJ11" s="59">
        <f t="shared" si="38"/>
        <v>149.27472147904302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6.6</v>
      </c>
      <c r="BY11" s="12">
        <f>IF('Données projet'!$A$114&gt;35,BY10+BX11-CG10,IF(A11&lt;'Données projet'!$A$114,$BV$205^A11,IF(A11='Données projet'!$A$114,'Données projet'!$B$114,BY10+BX11-CG10)))</f>
        <v>7.0506567536716718</v>
      </c>
      <c r="BZ11" s="13">
        <f>BY11*VLOOKUP('Données projet'!$B$12,Paramètres!$A$1:$I$89,3,0)*VLOOKUP('Données projet'!$B$12,Paramètres!$A$1:$I$89,5,0)</f>
        <v>6.1594537400075735</v>
      </c>
      <c r="CA11" s="13">
        <f t="shared" si="39"/>
        <v>2.2971616158822084</v>
      </c>
      <c r="CB11" s="20">
        <f t="shared" si="10"/>
        <v>14.728605078174702</v>
      </c>
      <c r="CC11" s="59">
        <f t="shared" si="11"/>
        <v>308.06193841150804</v>
      </c>
      <c r="CD11" s="59">
        <f ca="1">AVERAGE(OFFSET($CC$3,0,0,'Données projet'!$E$12+1,1))-AVERAGE(OFFSET($H$3,0,0,'Données projet'!$E$12+1,1))</f>
        <v>223.81948236065614</v>
      </c>
      <c r="CE11" s="59">
        <f t="shared" si="40"/>
        <v>320.1204011431372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3.6</v>
      </c>
      <c r="CT11" s="12">
        <f>IF('Données projet'!$A$140&gt;35,CT10+CS11-DB10,IF(A11&lt;'Données projet'!$A$140,$CQ$205^A11,IF(A11='Données projet'!$A$140,'Données projet'!$B$140,CT10+CS11-DB10)))</f>
        <v>17.580936309501134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1.1000000000000001</v>
      </c>
      <c r="DO11" s="12">
        <f>IF('Données projet'!$A$166&gt;35,DO10+DN11-DW10,IF(A11&lt;'Données projet'!$A$166,$DL$205^A11,IF(A11='Données projet'!$A$166,'Données projet'!$B$166,DO10+DN11-DW10)))</f>
        <v>6.8094831275223076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</v>
      </c>
      <c r="N12" s="13">
        <f>IF('Données projet'!$A$36&gt;35,N11+M12-V11,IF(A12&lt;'Données projet'!$A$36,$K$205^A12,IF(A12='Données projet'!$A$36,'Données projet'!$B$36,N11+M12-V11)))</f>
        <v>14.696938456699069</v>
      </c>
      <c r="O12" s="13">
        <f>N12*VLOOKUP('Données projet'!$B$9,Paramètres!$A$1:$I$89,3,0)*VLOOKUP('Données projet'!$B$9,Paramètres!$A$1:$I$89,5,0)</f>
        <v>8.7887691971060438</v>
      </c>
      <c r="P12" s="13">
        <f t="shared" si="33"/>
        <v>3.1449004184369191</v>
      </c>
      <c r="Q12" s="20">
        <f t="shared" si="2"/>
        <v>20.784474580403991</v>
      </c>
      <c r="R12" s="59">
        <f t="shared" si="0"/>
        <v>314.11780791373729</v>
      </c>
      <c r="S12" s="59">
        <f ca="1">AVERAGE(OFFSET($R$3,0,0,'Données projet'!$E$9+1,1))-AVERAGE(OFFSET($H$3,0,0,'Données projet'!$E$9+1,1))</f>
        <v>168.08890945052406</v>
      </c>
      <c r="T12" s="59">
        <f t="shared" si="34"/>
        <v>182.52462557642343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4.55</v>
      </c>
      <c r="AI12" s="13">
        <f>IF('Données projet'!$A$62&gt;35,AI11+AH12-AQ11,IF(A12&lt;'Données projet'!$A$62,$AF$205^A12,IF(A12='Données projet'!$A$62,'Données projet'!$B$62,AI11+AH12-AQ11)))</f>
        <v>7.6132243249824851</v>
      </c>
      <c r="AJ12" s="13">
        <f>AI12*VLOOKUP('Données projet'!$B$10,Paramètres!$A$1:$I$89,3,0)*VLOOKUP('Données projet'!$B$10,Paramètres!$A$1:$I$89,5,0)</f>
        <v>4.5527081463395263</v>
      </c>
      <c r="AK12" s="13">
        <f t="shared" si="35"/>
        <v>1.758730395704539</v>
      </c>
      <c r="AL12" s="20">
        <f t="shared" si="4"/>
        <v>10.992422127393413</v>
      </c>
      <c r="AM12" s="59">
        <f t="shared" si="5"/>
        <v>304.32575546072673</v>
      </c>
      <c r="AN12" s="59">
        <f ca="1">AVERAGE(OFFSET($AM$3,0,0,'Données projet'!$E$10+1,1))-AVERAGE(OFFSET($H$3,0,0,'Données projet'!$E$10+1,1))</f>
        <v>216.94426559495264</v>
      </c>
      <c r="AO12" s="59">
        <f t="shared" si="36"/>
        <v>225.33715877618704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2.1</v>
      </c>
      <c r="BD12" s="12">
        <f>IF('Données projet'!$A$88&gt;35,BD11+BC12-BL11,IF(A12&lt;'Données projet'!$A$88,$BA$205^A12,IF(A12='Données projet'!$A$88,'Données projet'!$B$88,BD11+BC12-BL11)))</f>
        <v>5.3760361537574148</v>
      </c>
      <c r="BE12" s="13">
        <f>BD12*VLOOKUP('Données projet'!$B$11,Paramètres!$A$1:$I$89,3,0)*VLOOKUP('Données projet'!$B$11,Paramètres!$A$1:$I$89,5,0)</f>
        <v>4.8642375119197085</v>
      </c>
      <c r="BF12" s="13">
        <f t="shared" si="37"/>
        <v>1.8646542609995393</v>
      </c>
      <c r="BG12" s="20">
        <f t="shared" si="7"/>
        <v>11.719486504501022</v>
      </c>
      <c r="BH12" s="59">
        <f t="shared" si="8"/>
        <v>305.05281983783436</v>
      </c>
      <c r="BI12" s="59">
        <f ca="1">AVERAGE(OFFSET($BH$3,0,0,'Données projet'!$E$11+1,1))-AVERAGE(OFFSET($H$3,0,0,'Données projet'!$E$11+1,1))</f>
        <v>237.22177246688199</v>
      </c>
      <c r="BJ12" s="59">
        <f t="shared" si="38"/>
        <v>149.27472147904302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6.6</v>
      </c>
      <c r="BY12" s="12">
        <f>IF('Données projet'!$A$114&gt;35,BY11+BX12-CG11,IF(A12&lt;'Données projet'!$A$114,$BV$205^A12,IF(A12='Données projet'!$A$114,'Données projet'!$B$114,BY11+BX12-CG11)))</f>
        <v>9.0003265963745314</v>
      </c>
      <c r="BZ12" s="13">
        <f>BY12*VLOOKUP('Données projet'!$B$12,Paramètres!$A$1:$I$89,3,0)*VLOOKUP('Données projet'!$B$12,Paramètres!$A$1:$I$89,5,0)</f>
        <v>7.8626853145927917</v>
      </c>
      <c r="CA12" s="13">
        <f t="shared" si="39"/>
        <v>2.8502208135558442</v>
      </c>
      <c r="CB12" s="20">
        <f t="shared" si="10"/>
        <v>18.658311506525539</v>
      </c>
      <c r="CC12" s="59">
        <f t="shared" si="11"/>
        <v>311.99164483985885</v>
      </c>
      <c r="CD12" s="59">
        <f ca="1">AVERAGE(OFFSET($CC$3,0,0,'Données projet'!$E$12+1,1))-AVERAGE(OFFSET($H$3,0,0,'Données projet'!$E$12+1,1))</f>
        <v>223.81948236065614</v>
      </c>
      <c r="CE12" s="59">
        <f t="shared" si="40"/>
        <v>320.1204011431372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3.6</v>
      </c>
      <c r="CT12" s="12">
        <f>IF('Données projet'!$A$140&gt;35,CT11+CS12-DB11,IF(A12&lt;'Données projet'!$A$140,$CQ$205^A12,IF(A12='Données projet'!$A$140,'Données projet'!$B$140,CT11+CS12-DB11)))</f>
        <v>25.157776275776861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1.1000000000000001</v>
      </c>
      <c r="DO12" s="12">
        <f>IF('Données projet'!$A$166&gt;35,DO11+DN12-DW11,IF(A12&lt;'Données projet'!$A$166,$DL$205^A12,IF(A12='Données projet'!$A$166,'Données projet'!$B$166,DO11+DN12-DW11)))</f>
        <v>8.6547278641645029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</v>
      </c>
      <c r="N13" s="13">
        <f>IF('Données projet'!$A$36&gt;35,N12+M13-V12,IF(A13&lt;'Données projet'!$A$36,$K$205^A13,IF(A13='Données projet'!$A$36,'Données projet'!$B$36,N12+M13-V12)))</f>
        <v>19.81156349336776</v>
      </c>
      <c r="O13" s="13">
        <f>N13*VLOOKUP('Données projet'!$B$9,Paramètres!$A$1:$I$89,3,0)*VLOOKUP('Données projet'!$B$9,Paramètres!$A$1:$I$89,5,0)</f>
        <v>11.847314969033921</v>
      </c>
      <c r="P13" s="13">
        <f t="shared" si="33"/>
        <v>4.094516627677768</v>
      </c>
      <c r="Q13" s="20">
        <f t="shared" si="2"/>
        <v>27.76535669760619</v>
      </c>
      <c r="R13" s="59">
        <f t="shared" si="0"/>
        <v>321.09869003093951</v>
      </c>
      <c r="S13" s="59">
        <f ca="1">AVERAGE(OFFSET($R$3,0,0,'Données projet'!$E$9+1,1))-AVERAGE(OFFSET($H$3,0,0,'Données projet'!$E$9+1,1))</f>
        <v>168.08890945052406</v>
      </c>
      <c r="T13" s="59">
        <f t="shared" si="34"/>
        <v>182.52462557642343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4.55</v>
      </c>
      <c r="AI13" s="13">
        <f>IF('Données projet'!$A$62&gt;35,AI12+AH13-AQ12,IF(A13&lt;'Données projet'!$A$62,$AF$205^A13,IF(A13='Données projet'!$A$62,'Données projet'!$B$62,AI12+AH13-AQ12)))</f>
        <v>9.5393920141694579</v>
      </c>
      <c r="AJ13" s="13">
        <f>AI13*VLOOKUP('Données projet'!$B$10,Paramètres!$A$1:$I$89,3,0)*VLOOKUP('Données projet'!$B$10,Paramètres!$A$1:$I$89,5,0)</f>
        <v>5.7045564244733367</v>
      </c>
      <c r="AK13" s="13">
        <f t="shared" si="35"/>
        <v>2.1465930463066791</v>
      </c>
      <c r="AL13" s="20">
        <f t="shared" si="4"/>
        <v>13.674085328275192</v>
      </c>
      <c r="AM13" s="59">
        <f t="shared" si="5"/>
        <v>307.00741866160848</v>
      </c>
      <c r="AN13" s="59">
        <f ca="1">AVERAGE(OFFSET($AM$3,0,0,'Données projet'!$E$10+1,1))-AVERAGE(OFFSET($H$3,0,0,'Données projet'!$E$10+1,1))</f>
        <v>216.94426559495264</v>
      </c>
      <c r="AO13" s="59">
        <f t="shared" si="36"/>
        <v>225.33715877618704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2.1</v>
      </c>
      <c r="BD13" s="12">
        <f>IF('Données projet'!$A$88&gt;35,BD12+BC13-BL12,IF(A13&lt;'Données projet'!$A$88,$BA$205^A13,IF(A13='Données projet'!$A$88,'Données projet'!$B$88,BD12+BC13-BL12)))</f>
        <v>6.4807406984078657</v>
      </c>
      <c r="BE13" s="13">
        <f>BD13*VLOOKUP('Données projet'!$B$11,Paramètres!$A$1:$I$89,3,0)*VLOOKUP('Données projet'!$B$11,Paramètres!$A$1:$I$89,5,0)</f>
        <v>5.8637741839194364</v>
      </c>
      <c r="BF13" s="13">
        <f t="shared" si="37"/>
        <v>2.1994468497187687</v>
      </c>
      <c r="BG13" s="20">
        <f t="shared" si="7"/>
        <v>14.043443300253207</v>
      </c>
      <c r="BH13" s="59">
        <f t="shared" si="8"/>
        <v>307.37677663358653</v>
      </c>
      <c r="BI13" s="59">
        <f ca="1">AVERAGE(OFFSET($BH$3,0,0,'Données projet'!$E$11+1,1))-AVERAGE(OFFSET($H$3,0,0,'Données projet'!$E$11+1,1))</f>
        <v>237.22177246688199</v>
      </c>
      <c r="BJ13" s="59">
        <f t="shared" si="38"/>
        <v>149.27472147904302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6.6</v>
      </c>
      <c r="BY13" s="12">
        <f>IF('Données projet'!$A$114&gt;35,BY12+BX13-CG12,IF(A13&lt;'Données projet'!$A$114,$BV$205^A13,IF(A13='Données projet'!$A$114,'Données projet'!$B$114,BY12+BX13-CG12)))</f>
        <v>11.489125293076063</v>
      </c>
      <c r="BZ13" s="13">
        <f>BY13*VLOOKUP('Données projet'!$B$12,Paramètres!$A$1:$I$89,3,0)*VLOOKUP('Données projet'!$B$12,Paramètres!$A$1:$I$89,5,0)</f>
        <v>10.036899856031249</v>
      </c>
      <c r="CA13" s="13">
        <f t="shared" si="39"/>
        <v>3.5364332356333024</v>
      </c>
      <c r="CB13" s="20">
        <f t="shared" si="10"/>
        <v>23.640221801315761</v>
      </c>
      <c r="CC13" s="59">
        <f t="shared" si="11"/>
        <v>316.97355513464908</v>
      </c>
      <c r="CD13" s="59">
        <f ca="1">AVERAGE(OFFSET($CC$3,0,0,'Données projet'!$E$12+1,1))-AVERAGE(OFFSET($H$3,0,0,'Données projet'!$E$12+1,1))</f>
        <v>223.81948236065614</v>
      </c>
      <c r="CE13" s="59">
        <f t="shared" si="40"/>
        <v>320.1204011431372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>
        <f>VLOOKUP(A13,'Données projet'!$A$139:$I$159,2,0)</f>
        <v>36</v>
      </c>
      <c r="CR13" s="12">
        <f>VLOOKUP(A13,'Données projet'!$A$139:$I$159,9,0)</f>
        <v>3.6</v>
      </c>
      <c r="CS13" s="12">
        <f t="array" ref="CS13">INDEX(CR:CR,MIN(IF(ISNUMBER(CR13:CR209),ROW(CR13:CR209),"")))</f>
        <v>3.6</v>
      </c>
      <c r="CT13" s="12">
        <f>IF('Données projet'!$A$140&gt;35,CT12+CS13-DB12,IF(A13&lt;'Données projet'!$A$140,$CQ$205^A13,IF(A13='Données projet'!$A$140,'Données projet'!$B$140,CT12+CS13-DB12)))</f>
        <v>36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 t="e">
        <f>IF(ISNA(VLOOKUP(A13,'Données projet'!$A$139:$I$159,5,0)),0%,VLOOKUP(A13,'Données projet'!$A$139:$I$159,5,0)*VLOOKUP('Données projet'!$B$13,Paramètres!$A$1:$I$89,7,0))</f>
        <v>#N/A</v>
      </c>
      <c r="DD13" s="16" t="e">
        <f>IF(ISNA(VLOOKUP(A13,'Données projet'!$A$139:$I$159,6,0)),0%,VLOOKUP(A13,'Données projet'!$A$139:$I$159,6,0)*VLOOKUP('Données projet'!$B$13,Paramètres!$A$1:$I$89,7,0))</f>
        <v>#N/A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>
        <f>VLOOKUP(A13,'Données projet'!$A$165:$I$185,2,0)</f>
        <v>11</v>
      </c>
      <c r="DM13" s="12">
        <f>VLOOKUP(A13,'Données projet'!$A$165:$I$185,9,0)</f>
        <v>1.1000000000000001</v>
      </c>
      <c r="DN13" s="12">
        <f t="array" ref="DN13">INDEX(DM:DM,MIN(IF(ISNUMBER(DM13:DM209),ROW(DM13:DM209),"")))</f>
        <v>1.1000000000000001</v>
      </c>
      <c r="DO13" s="12">
        <f>IF('Données projet'!$A$166&gt;35,DO12+DN13-DW12,IF(A13&lt;'Données projet'!$A$166,$DL$205^A13,IF(A13='Données projet'!$A$166,'Données projet'!$B$166,DO12+DN13-DW12)))</f>
        <v>11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0</v>
      </c>
      <c r="DX13" s="16" t="e">
        <f>IF(ISNA(VLOOKUP(A13,'Données projet'!$A$165:$I$185,5,0)),0%,VLOOKUP(A13,'Données projet'!$A$165:$I$185,5,0)*VLOOKUP('Données projet'!$B$14,Paramètres!$A$1:$I$89,7,0))</f>
        <v>#N/A</v>
      </c>
      <c r="DY13" s="16" t="e">
        <f>IF(ISNA(VLOOKUP(A13,'Données projet'!$A$165:$I$185,6,0)),0%,VLOOKUP(A13,'Données projet'!$A$165:$I$185,6,0)*VLOOKUP('Données projet'!$B$14,Paramètres!$A$1:$I$89,7,0))</f>
        <v>#N/A</v>
      </c>
      <c r="DZ13" s="16">
        <f>IF(ISNA(VLOOKUP(A13,'Données projet'!$A$165:$I$185,7,0)),0%,VLOOKUP(A13,'Données projet'!$A$165:$I$185,7,0))</f>
        <v>0.25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</v>
      </c>
      <c r="N14" s="13">
        <f>IF('Données projet'!$A$36&gt;35,N13+M14-V13,IF(A14&lt;'Données projet'!$A$36,$K$205^A14,IF(A14='Données projet'!$A$36,'Données projet'!$B$36,N13+M14-V13)))</f>
        <v>26.706109521254486</v>
      </c>
      <c r="O14" s="13">
        <f>N14*VLOOKUP('Données projet'!$B$9,Paramètres!$A$1:$I$89,3,0)*VLOOKUP('Données projet'!$B$9,Paramètres!$A$1:$I$89,5,0)</f>
        <v>15.970253493710185</v>
      </c>
      <c r="P14" s="13">
        <f t="shared" si="33"/>
        <v>5.3308735361046251</v>
      </c>
      <c r="Q14" s="20">
        <f t="shared" si="2"/>
        <v>37.09946291026079</v>
      </c>
      <c r="R14" s="59">
        <f t="shared" si="0"/>
        <v>330.43279624359411</v>
      </c>
      <c r="S14" s="59">
        <f ca="1">AVERAGE(OFFSET($R$3,0,0,'Données projet'!$E$9+1,1))-AVERAGE(OFFSET($H$3,0,0,'Données projet'!$E$9+1,1))</f>
        <v>168.08890945052406</v>
      </c>
      <c r="T14" s="59">
        <f t="shared" si="34"/>
        <v>182.52462557642343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4.55</v>
      </c>
      <c r="AI14" s="13">
        <f>IF('Données projet'!$A$62&gt;35,AI13+AH14-AQ13,IF(A14&lt;'Données projet'!$A$62,$AF$205^A14,IF(A14='Données projet'!$A$62,'Données projet'!$B$62,AI13+AH14-AQ13)))</f>
        <v>11.952885678330434</v>
      </c>
      <c r="AJ14" s="13">
        <f>AI14*VLOOKUP('Données projet'!$B$10,Paramètres!$A$1:$I$89,3,0)*VLOOKUP('Données projet'!$B$10,Paramètres!$A$1:$I$89,5,0)</f>
        <v>7.147825635641599</v>
      </c>
      <c r="AK14" s="13">
        <f t="shared" si="35"/>
        <v>2.6199932165306663</v>
      </c>
      <c r="AL14" s="20">
        <f t="shared" si="4"/>
        <v>17.012284500866695</v>
      </c>
      <c r="AM14" s="59">
        <f t="shared" si="5"/>
        <v>310.34561783420003</v>
      </c>
      <c r="AN14" s="59">
        <f ca="1">AVERAGE(OFFSET($AM$3,0,0,'Données projet'!$E$10+1,1))-AVERAGE(OFFSET($H$3,0,0,'Données projet'!$E$10+1,1))</f>
        <v>216.94426559495264</v>
      </c>
      <c r="AO14" s="59">
        <f t="shared" si="36"/>
        <v>225.33715877618704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2.1</v>
      </c>
      <c r="BD14" s="12">
        <f>IF('Données projet'!$A$88&gt;35,BD13+BC14-BL13,IF(A14&lt;'Données projet'!$A$88,$BA$205^A14,IF(A14='Données projet'!$A$88,'Données projet'!$B$88,BD13+BC14-BL13)))</f>
        <v>7.8124474610620815</v>
      </c>
      <c r="BE14" s="13">
        <f>BD14*VLOOKUP('Données projet'!$B$11,Paramètres!$A$1:$I$89,3,0)*VLOOKUP('Données projet'!$B$11,Paramètres!$A$1:$I$89,5,0)</f>
        <v>7.0687024627689707</v>
      </c>
      <c r="BF14" s="13">
        <f t="shared" si="37"/>
        <v>2.5943503554083325</v>
      </c>
      <c r="BG14" s="20">
        <f t="shared" si="7"/>
        <v>16.829816991658799</v>
      </c>
      <c r="BH14" s="59">
        <f t="shared" si="8"/>
        <v>310.1631503249921</v>
      </c>
      <c r="BI14" s="59">
        <f ca="1">AVERAGE(OFFSET($BH$3,0,0,'Données projet'!$E$11+1,1))-AVERAGE(OFFSET($H$3,0,0,'Données projet'!$E$11+1,1))</f>
        <v>237.22177246688199</v>
      </c>
      <c r="BJ14" s="59">
        <f t="shared" si="38"/>
        <v>149.27472147904302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6.6</v>
      </c>
      <c r="BY14" s="12">
        <f>IF('Données projet'!$A$114&gt;35,BY13+BX14-CG13,IF(A14&lt;'Données projet'!$A$114,$BV$205^A14,IF(A14='Données projet'!$A$114,'Données projet'!$B$114,BY13+BX14-CG13)))</f>
        <v>14.666134454850974</v>
      </c>
      <c r="BZ14" s="13">
        <f>BY14*VLOOKUP('Données projet'!$B$12,Paramètres!$A$1:$I$89,3,0)*VLOOKUP('Données projet'!$B$12,Paramètres!$A$1:$I$89,5,0)</f>
        <v>12.812335059757812</v>
      </c>
      <c r="CA14" s="13">
        <f t="shared" si="39"/>
        <v>4.3878565375042955</v>
      </c>
      <c r="CB14" s="20">
        <f t="shared" si="10"/>
        <v>29.957000365231504</v>
      </c>
      <c r="CC14" s="59">
        <f t="shared" si="11"/>
        <v>323.29033369856484</v>
      </c>
      <c r="CD14" s="59">
        <f ca="1">AVERAGE(OFFSET($CC$3,0,0,'Données projet'!$E$12+1,1))-AVERAGE(OFFSET($H$3,0,0,'Données projet'!$E$12+1,1))</f>
        <v>223.81948236065614</v>
      </c>
      <c r="CE14" s="59">
        <f t="shared" si="40"/>
        <v>320.1204011431372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14.1</v>
      </c>
      <c r="CT14" s="12">
        <f>IF('Données projet'!$A$140&gt;35,CT13+CS14-DB13,IF(A14&lt;'Données projet'!$A$140,$CQ$205^A14,IF(A14='Données projet'!$A$140,'Données projet'!$B$140,CT13+CS14-DB13)))</f>
        <v>50.1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12.3</v>
      </c>
      <c r="DO14" s="12">
        <f>IF('Données projet'!$A$166&gt;35,DO13+DN14-DW13,IF(A14&lt;'Données projet'!$A$166,$DL$205^A14,IF(A14='Données projet'!$A$166,'Données projet'!$B$166,DO13+DN14-DW13)))</f>
        <v>23.3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36</v>
      </c>
      <c r="L15" s="12">
        <f>VLOOKUP(A15,'Données projet'!$A$35:$I$55,9,0)</f>
        <v>3</v>
      </c>
      <c r="M15" s="12">
        <f t="array" ref="M15">INDEX(L:L,MIN(IF(ISNUMBER(L15:L211),ROW(L15:L211),"")))</f>
        <v>3</v>
      </c>
      <c r="N15" s="13">
        <f>IF('Données projet'!$A$36&gt;35,N14+M15-V14,IF(A15&lt;'Données projet'!$A$36,$K$205^A15,IF(A15='Données projet'!$A$36,'Données projet'!$B$36,N14+M15-V14)))</f>
        <v>36</v>
      </c>
      <c r="O15" s="13">
        <f>N15*VLOOKUP('Données projet'!$B$9,Paramètres!$A$1:$I$89,3,0)*VLOOKUP('Données projet'!$B$9,Paramètres!$A$1:$I$89,5,0)</f>
        <v>21.528000000000002</v>
      </c>
      <c r="P15" s="13">
        <f t="shared" si="33"/>
        <v>6.9405537312613621</v>
      </c>
      <c r="Q15" s="20">
        <f t="shared" si="2"/>
        <v>49.582731081946882</v>
      </c>
      <c r="R15" s="59">
        <f t="shared" si="0"/>
        <v>342.91606441528018</v>
      </c>
      <c r="S15" s="59">
        <f ca="1">AVERAGE(OFFSET($R$3,0,0,'Données projet'!$E$9+1,1))-AVERAGE(OFFSET($H$3,0,0,'Données projet'!$E$9+1,1))</f>
        <v>168.08890945052406</v>
      </c>
      <c r="T15" s="59">
        <f t="shared" si="34"/>
        <v>182.52462557642343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4.55</v>
      </c>
      <c r="AI15" s="13">
        <f>IF('Données projet'!$A$62&gt;35,AI14+AH15-AQ14,IF(A15&lt;'Données projet'!$A$62,$AF$205^A15,IF(A15='Données projet'!$A$62,'Données projet'!$B$62,AI14+AH15-AQ14)))</f>
        <v>14.97700019320108</v>
      </c>
      <c r="AJ15" s="13">
        <f>AI15*VLOOKUP('Données projet'!$B$10,Paramètres!$A$1:$I$89,3,0)*VLOOKUP('Données projet'!$B$10,Paramètres!$A$1:$I$89,5,0)</f>
        <v>8.9562461155342472</v>
      </c>
      <c r="AK15" s="13">
        <f t="shared" si="35"/>
        <v>3.1977949739831653</v>
      </c>
      <c r="AL15" s="20">
        <f t="shared" si="4"/>
        <v>21.168288230909493</v>
      </c>
      <c r="AM15" s="59">
        <f t="shared" si="5"/>
        <v>314.50162156424278</v>
      </c>
      <c r="AN15" s="59">
        <f ca="1">AVERAGE(OFFSET($AM$3,0,0,'Données projet'!$E$10+1,1))-AVERAGE(OFFSET($H$3,0,0,'Données projet'!$E$10+1,1))</f>
        <v>216.94426559495264</v>
      </c>
      <c r="AO15" s="59">
        <f t="shared" si="36"/>
        <v>225.33715877618704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2.1</v>
      </c>
      <c r="BD15" s="12">
        <f>IF('Données projet'!$A$88&gt;35,BD14+BC15-BL14,IF(A15&lt;'Données projet'!$A$88,$BA$205^A15,IF(A15='Données projet'!$A$88,'Données projet'!$B$88,BD14+BC15-BL14)))</f>
        <v>9.4178024044149407</v>
      </c>
      <c r="BE15" s="13">
        <f>BD15*VLOOKUP('Données projet'!$B$11,Paramètres!$A$1:$I$89,3,0)*VLOOKUP('Données projet'!$B$11,Paramètres!$A$1:$I$89,5,0)</f>
        <v>8.521227615514638</v>
      </c>
      <c r="BF15" s="13">
        <f t="shared" si="37"/>
        <v>3.0601574970852128</v>
      </c>
      <c r="BG15" s="20">
        <f t="shared" si="7"/>
        <v>20.170912404444739</v>
      </c>
      <c r="BH15" s="59">
        <f t="shared" si="8"/>
        <v>313.50424573777804</v>
      </c>
      <c r="BI15" s="59">
        <f ca="1">AVERAGE(OFFSET($BH$3,0,0,'Données projet'!$E$11+1,1))-AVERAGE(OFFSET($H$3,0,0,'Données projet'!$E$11+1,1))</f>
        <v>237.22177246688199</v>
      </c>
      <c r="BJ15" s="59">
        <f t="shared" si="38"/>
        <v>149.27472147904302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6.6</v>
      </c>
      <c r="BY15" s="12">
        <f>IF('Données projet'!$A$114&gt;35,BY14+BX15-CG14,IF(A15&lt;'Données projet'!$A$114,$BV$205^A15,IF(A15='Données projet'!$A$114,'Données projet'!$B$114,BY14+BX15-CG14)))</f>
        <v>18.721660210059202</v>
      </c>
      <c r="BZ15" s="13">
        <f>BY15*VLOOKUP('Données projet'!$B$12,Paramètres!$A$1:$I$89,3,0)*VLOOKUP('Données projet'!$B$12,Paramètres!$A$1:$I$89,5,0)</f>
        <v>16.35524235950772</v>
      </c>
      <c r="CA15" s="13">
        <f t="shared" si="39"/>
        <v>5.4442664998513175</v>
      </c>
      <c r="CB15" s="20">
        <f t="shared" si="10"/>
        <v>37.967477930050322</v>
      </c>
      <c r="CC15" s="59">
        <f t="shared" si="11"/>
        <v>331.30081126338365</v>
      </c>
      <c r="CD15" s="59">
        <f ca="1">AVERAGE(OFFSET($CC$3,0,0,'Données projet'!$E$12+1,1))-AVERAGE(OFFSET($H$3,0,0,'Données projet'!$E$12+1,1))</f>
        <v>223.81948236065614</v>
      </c>
      <c r="CE15" s="59">
        <f t="shared" si="40"/>
        <v>320.1204011431372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14.1</v>
      </c>
      <c r="CT15" s="12">
        <f>IF('Données projet'!$A$140&gt;35,CT14+CS15-DB14,IF(A15&lt;'Données projet'!$A$140,$CQ$205^A15,IF(A15='Données projet'!$A$140,'Données projet'!$B$140,CT14+CS15-DB14)))</f>
        <v>64.2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12.3</v>
      </c>
      <c r="DO15" s="12">
        <f>IF('Données projet'!$A$166&gt;35,DO14+DN15-DW14,IF(A15&lt;'Données projet'!$A$166,$DL$205^A15,IF(A15='Données projet'!$A$166,'Données projet'!$B$166,DO14+DN15-DW14)))</f>
        <v>35.6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11.25</v>
      </c>
      <c r="N16" s="13">
        <f>IF('Données projet'!$A$36&gt;35,N15+M16-V15,IF(A16&lt;'Données projet'!$A$36,$K$205^A16,IF(A16='Données projet'!$A$36,'Données projet'!$B$36,N15+M16-V15)))</f>
        <v>47.25</v>
      </c>
      <c r="O16" s="13">
        <f>N16*VLOOKUP('Données projet'!$B$9,Paramètres!$A$1:$I$89,3,0)*VLOOKUP('Données projet'!$B$9,Paramètres!$A$1:$I$89,5,0)</f>
        <v>28.255500000000001</v>
      </c>
      <c r="P16" s="13">
        <f t="shared" si="33"/>
        <v>8.8256494369710552</v>
      </c>
      <c r="Q16" s="20">
        <f t="shared" si="2"/>
        <v>64.583001936057926</v>
      </c>
      <c r="R16" s="59">
        <f t="shared" si="0"/>
        <v>357.91633526939125</v>
      </c>
      <c r="S16" s="59">
        <f ca="1">AVERAGE(OFFSET($R$3,0,0,'Données projet'!$E$9+1,1))-AVERAGE(OFFSET($H$3,0,0,'Données projet'!$E$9+1,1))</f>
        <v>168.08890945052406</v>
      </c>
      <c r="T16" s="59">
        <f t="shared" si="34"/>
        <v>182.52462557642343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4.55</v>
      </c>
      <c r="AI16" s="13">
        <f>IF('Données projet'!$A$62&gt;35,AI15+AH16-AQ15,IF(A16&lt;'Données projet'!$A$62,$AF$205^A16,IF(A16='Données projet'!$A$62,'Données projet'!$B$62,AI15+AH16-AQ15)))</f>
        <v>18.766224393311244</v>
      </c>
      <c r="AJ16" s="13">
        <f>AI16*VLOOKUP('Données projet'!$B$10,Paramètres!$A$1:$I$89,3,0)*VLOOKUP('Données projet'!$B$10,Paramètres!$A$1:$I$89,5,0)</f>
        <v>11.222202187200125</v>
      </c>
      <c r="AK16" s="13">
        <f t="shared" si="35"/>
        <v>3.903022584605345</v>
      </c>
      <c r="AL16" s="20">
        <f t="shared" si="4"/>
        <v>26.343099810894525</v>
      </c>
      <c r="AM16" s="59">
        <f t="shared" si="5"/>
        <v>319.67643314422781</v>
      </c>
      <c r="AN16" s="59">
        <f ca="1">AVERAGE(OFFSET($AM$3,0,0,'Données projet'!$E$10+1,1))-AVERAGE(OFFSET($H$3,0,0,'Données projet'!$E$10+1,1))</f>
        <v>216.94426559495264</v>
      </c>
      <c r="AO16" s="59">
        <f t="shared" si="36"/>
        <v>225.33715877618704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2.1</v>
      </c>
      <c r="BD16" s="12">
        <f>IF('Données projet'!$A$88&gt;35,BD15+BC16-BL15,IF(A16&lt;'Données projet'!$A$88,$BA$205^A16,IF(A16='Données projet'!$A$88,'Données projet'!$B$88,BD15+BC16-BL15)))</f>
        <v>11.35303662145153</v>
      </c>
      <c r="BE16" s="13">
        <f>BD16*VLOOKUP('Données projet'!$B$11,Paramètres!$A$1:$I$89,3,0)*VLOOKUP('Données projet'!$B$11,Paramètres!$A$1:$I$89,5,0)</f>
        <v>10.272227535089344</v>
      </c>
      <c r="BF16" s="13">
        <f t="shared" si="37"/>
        <v>3.6095987912522753</v>
      </c>
      <c r="BG16" s="20">
        <f t="shared" si="7"/>
        <v>24.177514185044988</v>
      </c>
      <c r="BH16" s="59">
        <f t="shared" si="8"/>
        <v>317.51084751837828</v>
      </c>
      <c r="BI16" s="59">
        <f ca="1">AVERAGE(OFFSET($BH$3,0,0,'Données projet'!$E$11+1,1))-AVERAGE(OFFSET($H$3,0,0,'Données projet'!$E$11+1,1))</f>
        <v>237.22177246688199</v>
      </c>
      <c r="BJ16" s="59">
        <f t="shared" si="38"/>
        <v>149.27472147904302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6.6</v>
      </c>
      <c r="BY16" s="12">
        <f>IF('Données projet'!$A$114&gt;35,BY15+BX16-CG15,IF(A16&lt;'Données projet'!$A$114,$BV$205^A16,IF(A16='Données projet'!$A$114,'Données projet'!$B$114,BY15+BX16-CG15)))</f>
        <v>23.89863273788427</v>
      </c>
      <c r="BZ16" s="13">
        <f>BY16*VLOOKUP('Données projet'!$B$12,Paramètres!$A$1:$I$89,3,0)*VLOOKUP('Données projet'!$B$12,Paramètres!$A$1:$I$89,5,0)</f>
        <v>20.8778455598157</v>
      </c>
      <c r="CA16" s="13">
        <f t="shared" si="39"/>
        <v>6.7550152262411558</v>
      </c>
      <c r="CB16" s="20">
        <f t="shared" si="10"/>
        <v>48.127232535715684</v>
      </c>
      <c r="CC16" s="59">
        <f t="shared" si="11"/>
        <v>341.46056586904899</v>
      </c>
      <c r="CD16" s="59">
        <f ca="1">AVERAGE(OFFSET($CC$3,0,0,'Données projet'!$E$12+1,1))-AVERAGE(OFFSET($H$3,0,0,'Données projet'!$E$12+1,1))</f>
        <v>223.81948236065614</v>
      </c>
      <c r="CE16" s="59">
        <f t="shared" si="40"/>
        <v>320.1204011431372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14.1</v>
      </c>
      <c r="CT16" s="12">
        <f>IF('Données projet'!$A$140&gt;35,CT15+CS16-DB15,IF(A16&lt;'Données projet'!$A$140,$CQ$205^A16,IF(A16='Données projet'!$A$140,'Données projet'!$B$140,CT15+CS16-DB15)))</f>
        <v>78.3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12.3</v>
      </c>
      <c r="DO16" s="12">
        <f>IF('Données projet'!$A$166&gt;35,DO15+DN16-DW15,IF(A16&lt;'Données projet'!$A$166,$DL$205^A16,IF(A16='Données projet'!$A$166,'Données projet'!$B$166,DO15+DN16-DW15)))</f>
        <v>47.900000000000006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11.25</v>
      </c>
      <c r="N17" s="13">
        <f>IF('Données projet'!$A$36&gt;35,N16+M17-V16,IF(A17&lt;'Données projet'!$A$36,$K$205^A17,IF(A17='Données projet'!$A$36,'Données projet'!$B$36,N16+M17-V16)))</f>
        <v>58.5</v>
      </c>
      <c r="O17" s="13">
        <f>N17*VLOOKUP('Données projet'!$B$9,Paramètres!$A$1:$I$89,3,0)*VLOOKUP('Données projet'!$B$9,Paramètres!$A$1:$I$89,5,0)</f>
        <v>34.983000000000004</v>
      </c>
      <c r="P17" s="13">
        <f t="shared" si="33"/>
        <v>10.658697928430266</v>
      </c>
      <c r="Q17" s="20">
        <f t="shared" si="2"/>
        <v>79.492623892016056</v>
      </c>
      <c r="R17" s="59">
        <f t="shared" si="0"/>
        <v>372.82595722534938</v>
      </c>
      <c r="S17" s="59">
        <f ca="1">AVERAGE(OFFSET($R$3,0,0,'Données projet'!$E$9+1,1))-AVERAGE(OFFSET($H$3,0,0,'Données projet'!$E$9+1,1))</f>
        <v>168.08890945052406</v>
      </c>
      <c r="T17" s="59">
        <f t="shared" si="34"/>
        <v>182.52462557642343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4.55</v>
      </c>
      <c r="AI17" s="13">
        <f>IF('Données projet'!$A$62&gt;35,AI16+AH17-AQ16,IF(A17&lt;'Données projet'!$A$62,$AF$205^A17,IF(A17='Données projet'!$A$62,'Données projet'!$B$62,AI16+AH17-AQ16)))</f>
        <v>23.514133233434862</v>
      </c>
      <c r="AJ17" s="13">
        <f>AI17*VLOOKUP('Données projet'!$B$10,Paramètres!$A$1:$I$89,3,0)*VLOOKUP('Données projet'!$B$10,Paramètres!$A$1:$I$89,5,0)</f>
        <v>14.061451673594048</v>
      </c>
      <c r="AK17" s="13">
        <f t="shared" si="35"/>
        <v>4.7637779844792423</v>
      </c>
      <c r="AL17" s="20">
        <f t="shared" si="4"/>
        <v>32.787274987810981</v>
      </c>
      <c r="AM17" s="59">
        <f t="shared" si="5"/>
        <v>326.12060832114429</v>
      </c>
      <c r="AN17" s="59">
        <f ca="1">AVERAGE(OFFSET($AM$3,0,0,'Données projet'!$E$10+1,1))-AVERAGE(OFFSET($H$3,0,0,'Données projet'!$E$10+1,1))</f>
        <v>216.94426559495264</v>
      </c>
      <c r="AO17" s="59">
        <f t="shared" si="36"/>
        <v>225.33715877618704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2.1</v>
      </c>
      <c r="BD17" s="12">
        <f>IF('Données projet'!$A$88&gt;35,BD16+BC17-BL16,IF(A17&lt;'Données projet'!$A$88,$BA$205^A17,IF(A17='Données projet'!$A$88,'Données projet'!$B$88,BD16+BC17-BL16)))</f>
        <v>13.685935953338433</v>
      </c>
      <c r="BE17" s="13">
        <f>BD17*VLOOKUP('Données projet'!$B$11,Paramètres!$A$1:$I$89,3,0)*VLOOKUP('Données projet'!$B$11,Paramètres!$A$1:$I$89,5,0)</f>
        <v>12.383034850580612</v>
      </c>
      <c r="BF17" s="13">
        <f t="shared" si="37"/>
        <v>4.2576904771143838</v>
      </c>
      <c r="BG17" s="20">
        <f t="shared" si="7"/>
        <v>28.982596612402116</v>
      </c>
      <c r="BH17" s="59">
        <f t="shared" si="8"/>
        <v>322.31592994573543</v>
      </c>
      <c r="BI17" s="59">
        <f ca="1">AVERAGE(OFFSET($BH$3,0,0,'Données projet'!$E$11+1,1))-AVERAGE(OFFSET($H$3,0,0,'Données projet'!$E$11+1,1))</f>
        <v>237.22177246688199</v>
      </c>
      <c r="BJ17" s="59">
        <f t="shared" si="38"/>
        <v>149.27472147904302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6.6</v>
      </c>
      <c r="BY17" s="12">
        <f>IF('Données projet'!$A$114&gt;35,BY16+BX17-CG16,IF(A17&lt;'Données projet'!$A$114,$BV$205^A17,IF(A17='Données projet'!$A$114,'Données projet'!$B$114,BY16+BX17-CG16)))</f>
        <v>30.50715803683886</v>
      </c>
      <c r="BZ17" s="13">
        <f>BY17*VLOOKUP('Données projet'!$B$12,Paramètres!$A$1:$I$89,3,0)*VLOOKUP('Données projet'!$B$12,Paramètres!$A$1:$I$89,5,0)</f>
        <v>26.651053260982433</v>
      </c>
      <c r="CA17" s="13">
        <f t="shared" si="39"/>
        <v>8.3813367159737684</v>
      </c>
      <c r="CB17" s="20">
        <f t="shared" si="10"/>
        <v>61.014745876532061</v>
      </c>
      <c r="CC17" s="59">
        <f t="shared" si="11"/>
        <v>354.34807920986538</v>
      </c>
      <c r="CD17" s="59">
        <f ca="1">AVERAGE(OFFSET($CC$3,0,0,'Données projet'!$E$12+1,1))-AVERAGE(OFFSET($H$3,0,0,'Données projet'!$E$12+1,1))</f>
        <v>223.81948236065614</v>
      </c>
      <c r="CE17" s="59">
        <f t="shared" si="40"/>
        <v>320.1204011431372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14.1</v>
      </c>
      <c r="CT17" s="12">
        <f>IF('Données projet'!$A$140&gt;35,CT16+CS17-DB16,IF(A17&lt;'Données projet'!$A$140,$CQ$205^A17,IF(A17='Données projet'!$A$140,'Données projet'!$B$140,CT16+CS17-DB16)))</f>
        <v>92.399999999999991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12.3</v>
      </c>
      <c r="DO17" s="12">
        <f>IF('Données projet'!$A$166&gt;35,DO16+DN17-DW16,IF(A17&lt;'Données projet'!$A$166,$DL$205^A17,IF(A17='Données projet'!$A$166,'Données projet'!$B$166,DO16+DN17-DW16)))</f>
        <v>60.2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11.25</v>
      </c>
      <c r="N18" s="13">
        <f>IF('Données projet'!$A$36&gt;35,N17+M18-V17,IF(A18&lt;'Données projet'!$A$36,$K$205^A18,IF(A18='Données projet'!$A$36,'Données projet'!$B$36,N17+M18-V17)))</f>
        <v>69.75</v>
      </c>
      <c r="O18" s="13">
        <f>N18*VLOOKUP('Données projet'!$B$9,Paramètres!$A$1:$I$89,3,0)*VLOOKUP('Données projet'!$B$9,Paramètres!$A$1:$I$89,5,0)</f>
        <v>41.710500000000003</v>
      </c>
      <c r="P18" s="13">
        <f t="shared" si="33"/>
        <v>12.450904347349248</v>
      </c>
      <c r="Q18" s="20">
        <f t="shared" si="2"/>
        <v>94.331112571633255</v>
      </c>
      <c r="R18" s="59">
        <f t="shared" si="0"/>
        <v>387.66444590496656</v>
      </c>
      <c r="S18" s="59">
        <f ca="1">AVERAGE(OFFSET($R$3,0,0,'Données projet'!$E$9+1,1))-AVERAGE(OFFSET($H$3,0,0,'Données projet'!$E$9+1,1))</f>
        <v>168.08890945052406</v>
      </c>
      <c r="T18" s="59">
        <f t="shared" si="34"/>
        <v>182.52462557642343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4.55</v>
      </c>
      <c r="AI18" s="13">
        <f>IF('Données projet'!$A$62&gt;35,AI17+AH18-AQ17,IF(A18&lt;'Données projet'!$A$62,$AF$205^A18,IF(A18='Données projet'!$A$62,'Données projet'!$B$62,AI17+AH18-AQ17)))</f>
        <v>29.463276689625356</v>
      </c>
      <c r="AJ18" s="13">
        <f>AI18*VLOOKUP('Données projet'!$B$10,Paramètres!$A$1:$I$89,3,0)*VLOOKUP('Données projet'!$B$10,Paramètres!$A$1:$I$89,5,0)</f>
        <v>17.619039460395964</v>
      </c>
      <c r="AK18" s="13">
        <f t="shared" si="35"/>
        <v>5.8143605868229411</v>
      </c>
      <c r="AL18" s="20">
        <f t="shared" si="4"/>
        <v>40.81317174890625</v>
      </c>
      <c r="AM18" s="59">
        <f t="shared" si="5"/>
        <v>334.14650508223957</v>
      </c>
      <c r="AN18" s="59">
        <f ca="1">AVERAGE(OFFSET($AM$3,0,0,'Données projet'!$E$10+1,1))-AVERAGE(OFFSET($H$3,0,0,'Données projet'!$E$10+1,1))</f>
        <v>216.94426559495264</v>
      </c>
      <c r="AO18" s="59">
        <f t="shared" si="36"/>
        <v>225.33715877618704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2.1</v>
      </c>
      <c r="BD18" s="12">
        <f>IF('Données projet'!$A$88&gt;35,BD17+BC18-BL17,IF(A18&lt;'Données projet'!$A$88,$BA$205^A18,IF(A18='Données projet'!$A$88,'Données projet'!$B$88,BD17+BC18-BL17)))</f>
        <v>16.498215337821566</v>
      </c>
      <c r="BE18" s="13">
        <f>BD18*VLOOKUP('Données projet'!$B$11,Paramètres!$A$1:$I$89,3,0)*VLOOKUP('Données projet'!$B$11,Paramètres!$A$1:$I$89,5,0)</f>
        <v>14.927585237660953</v>
      </c>
      <c r="BF18" s="13">
        <f t="shared" si="37"/>
        <v>5.0221449106318534</v>
      </c>
      <c r="BG18" s="20">
        <f t="shared" si="7"/>
        <v>34.745780008276633</v>
      </c>
      <c r="BH18" s="59">
        <f t="shared" si="8"/>
        <v>328.07911334160997</v>
      </c>
      <c r="BI18" s="59">
        <f ca="1">AVERAGE(OFFSET($BH$3,0,0,'Données projet'!$E$11+1,1))-AVERAGE(OFFSET($H$3,0,0,'Données projet'!$E$11+1,1))</f>
        <v>237.22177246688199</v>
      </c>
      <c r="BJ18" s="59">
        <f t="shared" si="38"/>
        <v>149.27472147904302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6.6</v>
      </c>
      <c r="BY18" s="12">
        <f>IF('Données projet'!$A$114&gt;35,BY17+BX18-CG17,IF(A18&lt;'Données projet'!$A$114,$BV$205^A18,IF(A18='Données projet'!$A$114,'Données projet'!$B$114,BY17+BX18-CG17)))</f>
        <v>38.943093594192561</v>
      </c>
      <c r="BZ18" s="13">
        <f>BY18*VLOOKUP('Données projet'!$B$12,Paramètres!$A$1:$I$89,3,0)*VLOOKUP('Données projet'!$B$12,Paramètres!$A$1:$I$89,5,0)</f>
        <v>34.02068656388662</v>
      </c>
      <c r="CA18" s="13">
        <f t="shared" si="39"/>
        <v>10.399207521197393</v>
      </c>
      <c r="CB18" s="20">
        <f t="shared" si="10"/>
        <v>77.364648864854644</v>
      </c>
      <c r="CC18" s="59">
        <f t="shared" si="11"/>
        <v>370.69798219818796</v>
      </c>
      <c r="CD18" s="59">
        <f ca="1">AVERAGE(OFFSET($CC$3,0,0,'Données projet'!$E$12+1,1))-AVERAGE(OFFSET($H$3,0,0,'Données projet'!$E$12+1,1))</f>
        <v>223.81948236065614</v>
      </c>
      <c r="CE18" s="59">
        <f t="shared" si="40"/>
        <v>320.1204011431372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14.1</v>
      </c>
      <c r="CT18" s="12">
        <f>IF('Données projet'!$A$140&gt;35,CT17+CS18-DB17,IF(A18&lt;'Données projet'!$A$140,$CQ$205^A18,IF(A18='Données projet'!$A$140,'Données projet'!$B$140,CT17+CS18-DB17)))</f>
        <v>106.49999999999999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12.3</v>
      </c>
      <c r="DO18" s="12">
        <f>IF('Données projet'!$A$166&gt;35,DO17+DN18-DW17,IF(A18&lt;'Données projet'!$A$166,$DL$205^A18,IF(A18='Données projet'!$A$166,'Données projet'!$B$166,DO17+DN18-DW17)))</f>
        <v>72.5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81</v>
      </c>
      <c r="L19" s="12">
        <f>VLOOKUP(A19,'Données projet'!$A$35:$I$55,9,0)</f>
        <v>11.25</v>
      </c>
      <c r="M19" s="12">
        <f t="array" ref="M19">INDEX(L:L,MIN(IF(ISNUMBER(L19:L215),ROW(L19:L215),"")))</f>
        <v>11.25</v>
      </c>
      <c r="N19" s="13">
        <f>IF('Données projet'!$A$36&gt;35,N18+M19-V18,IF(A19&lt;'Données projet'!$A$36,$K$205^A19,IF(A19='Données projet'!$A$36,'Données projet'!$B$36,N18+M19-V18)))</f>
        <v>81</v>
      </c>
      <c r="O19" s="13">
        <f>N19*VLOOKUP('Données projet'!$B$9,Paramètres!$A$1:$I$89,3,0)*VLOOKUP('Données projet'!$B$9,Paramètres!$A$1:$I$89,5,0)</f>
        <v>48.438000000000009</v>
      </c>
      <c r="P19" s="13">
        <f t="shared" si="33"/>
        <v>14.209624244846971</v>
      </c>
      <c r="Q19" s="20">
        <f t="shared" si="2"/>
        <v>109.11127889310849</v>
      </c>
      <c r="R19" s="59">
        <f t="shared" si="0"/>
        <v>402.44461222644179</v>
      </c>
      <c r="S19" s="59">
        <f ca="1">AVERAGE(OFFSET($R$3,0,0,'Données projet'!$E$9+1,1))-AVERAGE(OFFSET($H$3,0,0,'Données projet'!$E$9+1,1))</f>
        <v>168.08890945052406</v>
      </c>
      <c r="T19" s="59">
        <f t="shared" si="34"/>
        <v>182.52462557642343</v>
      </c>
      <c r="U19" s="15">
        <f>IF(ISNA(VLOOKUP(A19,'Données projet'!$A$35:$I$55,3,0)),0,VLOOKUP(A19,'Données projet'!$A$35:$I$55,3,0))</f>
        <v>1</v>
      </c>
      <c r="V19" s="15">
        <f>IF(ISNA(VLOOKUP(A19,'Données projet'!$A$35:$I$55,4,0)),0,VLOOKUP(A19,'Données projet'!$A$35:$I$55,4,0))</f>
        <v>15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0.22500000000000001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2.6667970095349296</v>
      </c>
      <c r="AB19" s="21">
        <f>EXP(-LN(2)/2)*AB18+(1-EXP(-LN(2)/2))/(LN(2)/2)*V19*Y19*VLOOKUP('Données projet'!$B$9,Paramètres!$A$1:$I$89,3,0)*0.475*44/12</f>
        <v>5.0780618544061999</v>
      </c>
      <c r="AC19" s="22">
        <f t="shared" si="3"/>
        <v>7.7448588639411291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4.55</v>
      </c>
      <c r="AI19" s="13">
        <f>IF('Données projet'!$A$62&gt;35,AI18+AH19-AQ18,IF(A19&lt;'Données projet'!$A$62,$AF$205^A19,IF(A19='Données projet'!$A$62,'Données projet'!$B$62,AI18+AH19-AQ18)))</f>
        <v>36.917570580704506</v>
      </c>
      <c r="AJ19" s="13">
        <f>AI19*VLOOKUP('Données projet'!$B$10,Paramètres!$A$1:$I$89,3,0)*VLOOKUP('Données projet'!$B$10,Paramètres!$A$1:$I$89,5,0)</f>
        <v>22.076707207261297</v>
      </c>
      <c r="AK19" s="13">
        <f t="shared" si="35"/>
        <v>7.0966340462853541</v>
      </c>
      <c r="AL19" s="20">
        <f t="shared" si="4"/>
        <v>50.810236016593741</v>
      </c>
      <c r="AM19" s="59">
        <f t="shared" si="5"/>
        <v>344.14356934992708</v>
      </c>
      <c r="AN19" s="59">
        <f ca="1">AVERAGE(OFFSET($AM$3,0,0,'Données projet'!$E$10+1,1))-AVERAGE(OFFSET($H$3,0,0,'Données projet'!$E$10+1,1))</f>
        <v>216.94426559495264</v>
      </c>
      <c r="AO19" s="59">
        <f t="shared" si="36"/>
        <v>225.33715877618704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2.1</v>
      </c>
      <c r="BD19" s="12">
        <f>IF('Données projet'!$A$88&gt;35,BD18+BC19-BL18,IF(A19&lt;'Données projet'!$A$88,$BA$205^A19,IF(A19='Données projet'!$A$88,'Données projet'!$B$88,BD18+BC19-BL18)))</f>
        <v>19.888381054913147</v>
      </c>
      <c r="BE19" s="13">
        <f>BD19*VLOOKUP('Données projet'!$B$11,Paramètres!$A$1:$I$89,3,0)*VLOOKUP('Données projet'!$B$11,Paramètres!$A$1:$I$89,5,0)</f>
        <v>17.995007178485412</v>
      </c>
      <c r="BF19" s="13">
        <f t="shared" si="37"/>
        <v>5.9238546434872337</v>
      </c>
      <c r="BG19" s="20">
        <f t="shared" si="7"/>
        <v>41.658684339935689</v>
      </c>
      <c r="BH19" s="59">
        <f t="shared" si="8"/>
        <v>334.992017673269</v>
      </c>
      <c r="BI19" s="59">
        <f ca="1">AVERAGE(OFFSET($BH$3,0,0,'Données projet'!$E$11+1,1))-AVERAGE(OFFSET($H$3,0,0,'Données projet'!$E$11+1,1))</f>
        <v>237.22177246688199</v>
      </c>
      <c r="BJ19" s="59">
        <f t="shared" si="38"/>
        <v>149.27472147904302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6.6</v>
      </c>
      <c r="BY19" s="12">
        <f>IF('Données projet'!$A$114&gt;35,BY18+BX19-CG18,IF(A19&lt;'Données projet'!$A$114,$BV$205^A19,IF(A19='Données projet'!$A$114,'Données projet'!$B$114,BY18+BX19-CG18)))</f>
        <v>49.711760658095955</v>
      </c>
      <c r="BZ19" s="13">
        <f>BY19*VLOOKUP('Données projet'!$B$12,Paramètres!$A$1:$I$89,3,0)*VLOOKUP('Données projet'!$B$12,Paramètres!$A$1:$I$89,5,0)</f>
        <v>43.428194110912635</v>
      </c>
      <c r="CA19" s="13">
        <f t="shared" si="39"/>
        <v>12.902896129065022</v>
      </c>
      <c r="CB19" s="20">
        <f t="shared" si="10"/>
        <v>98.109982167961064</v>
      </c>
      <c r="CC19" s="59">
        <f t="shared" si="11"/>
        <v>391.44331550129436</v>
      </c>
      <c r="CD19" s="59">
        <f ca="1">AVERAGE(OFFSET($CC$3,0,0,'Données projet'!$E$12+1,1))-AVERAGE(OFFSET($H$3,0,0,'Données projet'!$E$12+1,1))</f>
        <v>223.81948236065614</v>
      </c>
      <c r="CE19" s="59">
        <f t="shared" si="40"/>
        <v>320.1204011431372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14.1</v>
      </c>
      <c r="CT19" s="12">
        <f>IF('Données projet'!$A$140&gt;35,CT18+CS19-DB18,IF(A19&lt;'Données projet'!$A$140,$CQ$205^A19,IF(A19='Données projet'!$A$140,'Données projet'!$B$140,CT18+CS19-DB18)))</f>
        <v>120.59999999999998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12.3</v>
      </c>
      <c r="DO19" s="12">
        <f>IF('Données projet'!$A$166&gt;35,DO18+DN19-DW18,IF(A19&lt;'Données projet'!$A$166,$DL$205^A19,IF(A19='Données projet'!$A$166,'Données projet'!$B$166,DO18+DN19-DW18)))</f>
        <v>84.8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13.25</v>
      </c>
      <c r="N20" s="13">
        <f>IF('Données projet'!$A$36&gt;35,N19+M20-V19,IF(A20&lt;'Données projet'!$A$36,$K$205^A20,IF(A20='Données projet'!$A$36,'Données projet'!$B$36,N19+M20-V19)))</f>
        <v>79.25</v>
      </c>
      <c r="O20" s="13">
        <f>N20*VLOOKUP('Données projet'!$B$9,Paramètres!$A$1:$I$89,3,0)*VLOOKUP('Données projet'!$B$9,Paramètres!$A$1:$I$89,5,0)</f>
        <v>47.391500000000001</v>
      </c>
      <c r="P20" s="13">
        <f t="shared" si="33"/>
        <v>13.938016900926096</v>
      </c>
      <c r="Q20" s="20">
        <f t="shared" si="2"/>
        <v>106.81557526911295</v>
      </c>
      <c r="R20" s="59">
        <f t="shared" si="0"/>
        <v>400.14890860244628</v>
      </c>
      <c r="S20" s="59">
        <f ca="1">AVERAGE(OFFSET($R$3,0,0,'Données projet'!$E$9+1,1))-AVERAGE(OFFSET($H$3,0,0,'Données projet'!$E$9+1,1))</f>
        <v>168.08890945052406</v>
      </c>
      <c r="T20" s="59">
        <f t="shared" si="34"/>
        <v>182.52462557642343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2.5938733050684371</v>
      </c>
      <c r="AB20" s="21">
        <f>EXP(-LN(2)/2)*AB19+(1-EXP(-LN(2)/2))/(LN(2)/2)*V20*Y20*VLOOKUP('Données projet'!$B$9,Paramètres!$A$1:$I$89,3,0)*0.475*44/12</f>
        <v>3.5907319725353588</v>
      </c>
      <c r="AC20" s="22">
        <f t="shared" si="3"/>
        <v>6.1846052776037954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4.55</v>
      </c>
      <c r="AI20" s="13">
        <f>IF('Données projet'!$A$62&gt;35,AI19+AH20-AQ19,IF(A20&lt;'Données projet'!$A$62,$AF$205^A20,IF(A20='Données projet'!$A$62,'Données projet'!$B$62,AI19+AH20-AQ19)))</f>
        <v>46.257822303288052</v>
      </c>
      <c r="AJ20" s="13">
        <f>AI20*VLOOKUP('Données projet'!$B$10,Paramètres!$A$1:$I$89,3,0)*VLOOKUP('Données projet'!$B$10,Paramètres!$A$1:$I$89,5,0)</f>
        <v>27.66217773736626</v>
      </c>
      <c r="AK20" s="13">
        <f t="shared" si="35"/>
        <v>8.6616944434151719</v>
      </c>
      <c r="AL20" s="20">
        <f t="shared" si="4"/>
        <v>63.264077381527663</v>
      </c>
      <c r="AM20" s="59">
        <f t="shared" si="5"/>
        <v>356.59741071486098</v>
      </c>
      <c r="AN20" s="59">
        <f ca="1">AVERAGE(OFFSET($AM$3,0,0,'Données projet'!$E$10+1,1))-AVERAGE(OFFSET($H$3,0,0,'Données projet'!$E$10+1,1))</f>
        <v>216.94426559495264</v>
      </c>
      <c r="AO20" s="59">
        <f t="shared" si="36"/>
        <v>225.33715877618704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2.1</v>
      </c>
      <c r="BD20" s="12">
        <f>IF('Données projet'!$A$88&gt;35,BD19+BC20-BL19,IF(A20&lt;'Données projet'!$A$88,$BA$205^A20,IF(A20='Données projet'!$A$88,'Données projet'!$B$88,BD19+BC20-BL19)))</f>
        <v>23.975181126327602</v>
      </c>
      <c r="BE20" s="13">
        <f>BD20*VLOOKUP('Données projet'!$B$11,Paramètres!$A$1:$I$89,3,0)*VLOOKUP('Données projet'!$B$11,Paramètres!$A$1:$I$89,5,0)</f>
        <v>21.692743883101215</v>
      </c>
      <c r="BF20" s="13">
        <f t="shared" si="37"/>
        <v>6.98746341685115</v>
      </c>
      <c r="BG20" s="20">
        <f t="shared" si="7"/>
        <v>49.951361047417038</v>
      </c>
      <c r="BH20" s="59">
        <f t="shared" si="8"/>
        <v>343.28469438075035</v>
      </c>
      <c r="BI20" s="59">
        <f ca="1">AVERAGE(OFFSET($BH$3,0,0,'Données projet'!$E$11+1,1))-AVERAGE(OFFSET($H$3,0,0,'Données projet'!$E$11+1,1))</f>
        <v>237.22177246688199</v>
      </c>
      <c r="BJ20" s="59">
        <f t="shared" si="38"/>
        <v>149.27472147904302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6.6</v>
      </c>
      <c r="BY20" s="12">
        <f>IF('Données projet'!$A$114&gt;35,BY19+BX20-CG19,IF(A20&lt;'Données projet'!$A$114,$BV$205^A20,IF(A20='Données projet'!$A$114,'Données projet'!$B$114,BY19+BX20-CG19)))</f>
        <v>63.458213501978861</v>
      </c>
      <c r="BZ20" s="13">
        <f>BY20*VLOOKUP('Données projet'!$B$12,Paramètres!$A$1:$I$89,3,0)*VLOOKUP('Données projet'!$B$12,Paramètres!$A$1:$I$89,5,0)</f>
        <v>55.437095315328747</v>
      </c>
      <c r="CA20" s="13">
        <f t="shared" si="39"/>
        <v>16.009366884744278</v>
      </c>
      <c r="CB20" s="20">
        <f t="shared" si="10"/>
        <v>124.4359216651272</v>
      </c>
      <c r="CC20" s="59">
        <f t="shared" si="11"/>
        <v>417.7692549984605</v>
      </c>
      <c r="CD20" s="59">
        <f ca="1">AVERAGE(OFFSET($CC$3,0,0,'Données projet'!$E$12+1,1))-AVERAGE(OFFSET($H$3,0,0,'Données projet'!$E$12+1,1))</f>
        <v>223.81948236065614</v>
      </c>
      <c r="CE20" s="59">
        <f t="shared" si="40"/>
        <v>320.1204011431372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14.1</v>
      </c>
      <c r="CT20" s="12">
        <f>IF('Données projet'!$A$140&gt;35,CT19+CS20-DB19,IF(A20&lt;'Données projet'!$A$140,$CQ$205^A20,IF(A20='Données projet'!$A$140,'Données projet'!$B$140,CT19+CS20-DB19)))</f>
        <v>134.69999999999999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12.3</v>
      </c>
      <c r="DO20" s="12">
        <f>IF('Données projet'!$A$166&gt;35,DO19+DN20-DW19,IF(A20&lt;'Données projet'!$A$166,$DL$205^A20,IF(A20='Données projet'!$A$166,'Données projet'!$B$166,DO19+DN20-DW19)))</f>
        <v>97.1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13.25</v>
      </c>
      <c r="N21" s="13">
        <f>IF('Données projet'!$A$36&gt;35,N20+M21-V20,IF(A21&lt;'Données projet'!$A$36,$K$205^A21,IF(A21='Données projet'!$A$36,'Données projet'!$B$36,N20+M21-V20)))</f>
        <v>92.5</v>
      </c>
      <c r="O21" s="13">
        <f>N21*VLOOKUP('Données projet'!$B$9,Paramètres!$A$1:$I$89,3,0)*VLOOKUP('Données projet'!$B$9,Paramètres!$A$1:$I$89,5,0)</f>
        <v>55.315000000000005</v>
      </c>
      <c r="P21" s="13">
        <f t="shared" si="33"/>
        <v>15.978207841877614</v>
      </c>
      <c r="Q21" s="20">
        <f t="shared" si="2"/>
        <v>124.16900365793684</v>
      </c>
      <c r="R21" s="59">
        <f t="shared" si="0"/>
        <v>417.50233699127017</v>
      </c>
      <c r="S21" s="59">
        <f ca="1">AVERAGE(OFFSET($R$3,0,0,'Données projet'!$E$9+1,1))-AVERAGE(OFFSET($H$3,0,0,'Données projet'!$E$9+1,1))</f>
        <v>168.08890945052406</v>
      </c>
      <c r="T21" s="59">
        <f t="shared" si="34"/>
        <v>182.52462557642343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2.5229437031354718</v>
      </c>
      <c r="AB21" s="21">
        <f>EXP(-LN(2)/2)*AB20+(1-EXP(-LN(2)/2))/(LN(2)/2)*V21*Y21*VLOOKUP('Données projet'!$B$9,Paramètres!$A$1:$I$89,3,0)*0.475*44/12</f>
        <v>2.5390309272031004</v>
      </c>
      <c r="AC21" s="22">
        <f t="shared" si="3"/>
        <v>5.0619746303385718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4.55</v>
      </c>
      <c r="AI21" s="13">
        <f>IF('Données projet'!$A$62&gt;35,AI20+AH21-AQ20,IF(A21&lt;'Données projet'!$A$62,$AF$205^A21,IF(A21='Données projet'!$A$62,'Données projet'!$B$62,AI20+AH21-AQ20)))</f>
        <v>57.961184622505009</v>
      </c>
      <c r="AJ21" s="13">
        <f>AI21*VLOOKUP('Données projet'!$B$10,Paramètres!$A$1:$I$89,3,0)*VLOOKUP('Données projet'!$B$10,Paramètres!$A$1:$I$89,5,0)</f>
        <v>34.660788404258</v>
      </c>
      <c r="AK21" s="13">
        <f t="shared" si="35"/>
        <v>10.571906363180744</v>
      </c>
      <c r="AL21" s="20">
        <f t="shared" si="4"/>
        <v>78.780276719955808</v>
      </c>
      <c r="AM21" s="59">
        <f t="shared" si="5"/>
        <v>372.11361005328911</v>
      </c>
      <c r="AN21" s="59">
        <f ca="1">AVERAGE(OFFSET($AM$3,0,0,'Données projet'!$E$10+1,1))-AVERAGE(OFFSET($H$3,0,0,'Données projet'!$E$10+1,1))</f>
        <v>216.94426559495264</v>
      </c>
      <c r="AO21" s="59">
        <f t="shared" si="36"/>
        <v>225.33715877618704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2.1</v>
      </c>
      <c r="BD21" s="12">
        <f>IF('Données projet'!$A$88&gt;35,BD20+BC21-BL20,IF(A21&lt;'Données projet'!$A$88,$BA$205^A21,IF(A21='Données projet'!$A$88,'Données projet'!$B$88,BD20+BC21-BL20)))</f>
        <v>28.901764726506816</v>
      </c>
      <c r="BE21" s="13">
        <f>BD21*VLOOKUP('Données projet'!$B$11,Paramètres!$A$1:$I$89,3,0)*VLOOKUP('Données projet'!$B$11,Paramètres!$A$1:$I$89,5,0)</f>
        <v>26.150316724543362</v>
      </c>
      <c r="BF21" s="13">
        <f t="shared" si="37"/>
        <v>8.2420396752158016</v>
      </c>
      <c r="BG21" s="20">
        <f t="shared" si="7"/>
        <v>59.900020729580547</v>
      </c>
      <c r="BH21" s="59">
        <f t="shared" si="8"/>
        <v>353.23335406291386</v>
      </c>
      <c r="BI21" s="59">
        <f ca="1">AVERAGE(OFFSET($BH$3,0,0,'Données projet'!$E$11+1,1))-AVERAGE(OFFSET($H$3,0,0,'Données projet'!$E$11+1,1))</f>
        <v>237.22177246688199</v>
      </c>
      <c r="BJ21" s="59">
        <f t="shared" si="38"/>
        <v>149.27472147904302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6.6</v>
      </c>
      <c r="BY21" s="12">
        <f>IF('Données projet'!$A$114&gt;35,BY20+BX21-CG20,IF(A21&lt;'Données projet'!$A$114,$BV$205^A21,IF(A21='Données projet'!$A$114,'Données projet'!$B$114,BY20+BX21-CG20)))</f>
        <v>81.005878841406769</v>
      </c>
      <c r="BZ21" s="13">
        <f>BY21*VLOOKUP('Données projet'!$B$12,Paramètres!$A$1:$I$89,3,0)*VLOOKUP('Données projet'!$B$12,Paramètres!$A$1:$I$89,5,0)</f>
        <v>70.766735755852963</v>
      </c>
      <c r="CA21" s="13">
        <f t="shared" si="39"/>
        <v>19.863744192515547</v>
      </c>
      <c r="CB21" s="20">
        <f t="shared" si="10"/>
        <v>157.84808591007513</v>
      </c>
      <c r="CC21" s="59">
        <f t="shared" si="11"/>
        <v>451.18141924340841</v>
      </c>
      <c r="CD21" s="59">
        <f ca="1">AVERAGE(OFFSET($CC$3,0,0,'Données projet'!$E$12+1,1))-AVERAGE(OFFSET($H$3,0,0,'Données projet'!$E$12+1,1))</f>
        <v>223.81948236065614</v>
      </c>
      <c r="CE21" s="59">
        <f t="shared" si="40"/>
        <v>320.1204011431372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14.1</v>
      </c>
      <c r="CT21" s="12">
        <f>IF('Données projet'!$A$140&gt;35,CT20+CS21-DB20,IF(A21&lt;'Données projet'!$A$140,$CQ$205^A21,IF(A21='Données projet'!$A$140,'Données projet'!$B$140,CT20+CS21-DB20)))</f>
        <v>148.79999999999998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12.3</v>
      </c>
      <c r="DO21" s="12">
        <f>IF('Données projet'!$A$166&gt;35,DO20+DN21-DW20,IF(A21&lt;'Données projet'!$A$166,$DL$205^A21,IF(A21='Données projet'!$A$166,'Données projet'!$B$166,DO20+DN21-DW20)))</f>
        <v>109.39999999999999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13.25</v>
      </c>
      <c r="N22" s="13">
        <f>IF('Données projet'!$A$36&gt;35,N21+M22-V21,IF(A22&lt;'Données projet'!$A$36,$K$205^A22,IF(A22='Données projet'!$A$36,'Données projet'!$B$36,N21+M22-V21)))</f>
        <v>105.75</v>
      </c>
      <c r="O22" s="13">
        <f>N22*VLOOKUP('Données projet'!$B$9,Paramètres!$A$1:$I$89,3,0)*VLOOKUP('Données projet'!$B$9,Paramètres!$A$1:$I$89,5,0)</f>
        <v>63.238500000000009</v>
      </c>
      <c r="P22" s="13">
        <f t="shared" si="33"/>
        <v>17.984541540394584</v>
      </c>
      <c r="Q22" s="20">
        <f t="shared" si="2"/>
        <v>141.46346401618726</v>
      </c>
      <c r="R22" s="59">
        <f t="shared" si="0"/>
        <v>434.7967973495206</v>
      </c>
      <c r="S22" s="59">
        <f ca="1">AVERAGE(OFFSET($R$3,0,0,'Données projet'!$E$9+1,1))-AVERAGE(OFFSET($H$3,0,0,'Données projet'!$E$9+1,1))</f>
        <v>168.08890945052406</v>
      </c>
      <c r="T22" s="59">
        <f t="shared" si="34"/>
        <v>182.52462557642343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2.4539536748973894</v>
      </c>
      <c r="AB22" s="21">
        <f>EXP(-LN(2)/2)*AB21+(1-EXP(-LN(2)/2))/(LN(2)/2)*V22*Y22*VLOOKUP('Données projet'!$B$9,Paramètres!$A$1:$I$89,3,0)*0.475*44/12</f>
        <v>1.7953659862676796</v>
      </c>
      <c r="AC22" s="22">
        <f t="shared" si="3"/>
        <v>4.2493196611650692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4.55</v>
      </c>
      <c r="AI22" s="13">
        <f>IF('Données projet'!$A$62&gt;35,AI21+AH22-AQ21,IF(A22&lt;'Données projet'!$A$62,$AF$205^A22,IF(A22='Données projet'!$A$62,'Données projet'!$B$62,AI21+AH22-AQ21)))</f>
        <v>72.625531327818578</v>
      </c>
      <c r="AJ22" s="13">
        <f>AI22*VLOOKUP('Données projet'!$B$10,Paramètres!$A$1:$I$89,3,0)*VLOOKUP('Données projet'!$B$10,Paramètres!$A$1:$I$89,5,0)</f>
        <v>43.430067734035511</v>
      </c>
      <c r="AK22" s="13">
        <f t="shared" si="35"/>
        <v>12.903388001273598</v>
      </c>
      <c r="AL22" s="20">
        <f t="shared" si="4"/>
        <v>98.114102072330027</v>
      </c>
      <c r="AM22" s="59">
        <f t="shared" si="5"/>
        <v>391.44743540566333</v>
      </c>
      <c r="AN22" s="59">
        <f ca="1">AVERAGE(OFFSET($AM$3,0,0,'Données projet'!$E$10+1,1))-AVERAGE(OFFSET($H$3,0,0,'Données projet'!$E$10+1,1))</f>
        <v>216.94426559495264</v>
      </c>
      <c r="AO22" s="59">
        <f t="shared" si="36"/>
        <v>225.33715877618704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2.1</v>
      </c>
      <c r="BD22" s="12">
        <f>IF('Données projet'!$A$88&gt;35,BD21+BC22-BL21,IF(A22&lt;'Données projet'!$A$88,$BA$205^A22,IF(A22='Données projet'!$A$88,'Données projet'!$B$88,BD21+BC22-BL21)))</f>
        <v>34.840696297767764</v>
      </c>
      <c r="BE22" s="13">
        <f>BD22*VLOOKUP('Données projet'!$B$11,Paramètres!$A$1:$I$89,3,0)*VLOOKUP('Données projet'!$B$11,Paramètres!$A$1:$I$89,5,0)</f>
        <v>31.52386201022027</v>
      </c>
      <c r="BF22" s="13">
        <f t="shared" si="37"/>
        <v>9.7218710074397983</v>
      </c>
      <c r="BG22" s="20">
        <f t="shared" si="7"/>
        <v>71.836318339091292</v>
      </c>
      <c r="BH22" s="59">
        <f t="shared" si="8"/>
        <v>365.16965167242461</v>
      </c>
      <c r="BI22" s="59">
        <f ca="1">AVERAGE(OFFSET($BH$3,0,0,'Données projet'!$E$11+1,1))-AVERAGE(OFFSET($H$3,0,0,'Données projet'!$E$11+1,1))</f>
        <v>237.22177246688199</v>
      </c>
      <c r="BJ22" s="59">
        <f t="shared" si="38"/>
        <v>149.27472147904302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6.6</v>
      </c>
      <c r="BY22" s="12">
        <f>IF('Données projet'!$A$114&gt;35,BY21+BX22-CG21,IF(A22&lt;'Données projet'!$A$114,$BV$205^A22,IF(A22='Données projet'!$A$114,'Données projet'!$B$114,BY21+BX22-CG21)))</f>
        <v>103.40587994435182</v>
      </c>
      <c r="BZ22" s="13">
        <f>BY22*VLOOKUP('Données projet'!$B$12,Paramètres!$A$1:$I$89,3,0)*VLOOKUP('Données projet'!$B$12,Paramètres!$A$1:$I$89,5,0)</f>
        <v>90.335376719385764</v>
      </c>
      <c r="CA22" s="13">
        <f t="shared" si="39"/>
        <v>24.646092265003244</v>
      </c>
      <c r="CB22" s="20">
        <f t="shared" si="10"/>
        <v>200.25939181447754</v>
      </c>
      <c r="CC22" s="59">
        <f t="shared" si="11"/>
        <v>493.59272514781082</v>
      </c>
      <c r="CD22" s="59">
        <f ca="1">AVERAGE(OFFSET($CC$3,0,0,'Données projet'!$E$12+1,1))-AVERAGE(OFFSET($H$3,0,0,'Données projet'!$E$12+1,1))</f>
        <v>223.81948236065614</v>
      </c>
      <c r="CE22" s="59">
        <f t="shared" si="40"/>
        <v>320.1204011431372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14.1</v>
      </c>
      <c r="CT22" s="12">
        <f>IF('Données projet'!$A$140&gt;35,CT21+CS22-DB21,IF(A22&lt;'Données projet'!$A$140,$CQ$205^A22,IF(A22='Données projet'!$A$140,'Données projet'!$B$140,CT21+CS22-DB21)))</f>
        <v>162.89999999999998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12.3</v>
      </c>
      <c r="DO22" s="12">
        <f>IF('Données projet'!$A$166&gt;35,DO21+DN22-DW21,IF(A22&lt;'Données projet'!$A$166,$DL$205^A22,IF(A22='Données projet'!$A$166,'Données projet'!$B$166,DO21+DN22-DW21)))</f>
        <v>121.69999999999999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119</v>
      </c>
      <c r="L23" s="12">
        <f>VLOOKUP(A23,'Données projet'!$A$35:$I$55,9,0)</f>
        <v>13.25</v>
      </c>
      <c r="M23" s="12">
        <f t="array" ref="M23">INDEX(L:L,MIN(IF(ISNUMBER(L23:L219),ROW(L23:L219),"")))</f>
        <v>13.25</v>
      </c>
      <c r="N23" s="13">
        <f>IF('Données projet'!$A$36&gt;35,N22+M23-V22,IF(A23&lt;'Données projet'!$A$36,$K$205^A23,IF(A23='Données projet'!$A$36,'Données projet'!$B$36,N22+M23-V22)))</f>
        <v>119</v>
      </c>
      <c r="O23" s="13">
        <f>N23*VLOOKUP('Données projet'!$B$9,Paramètres!$A$1:$I$89,3,0)*VLOOKUP('Données projet'!$B$9,Paramètres!$A$1:$I$89,5,0)</f>
        <v>71.162000000000006</v>
      </c>
      <c r="P23" s="13">
        <f t="shared" si="33"/>
        <v>19.961746043676346</v>
      </c>
      <c r="Q23" s="20">
        <f t="shared" si="2"/>
        <v>158.70719102606964</v>
      </c>
      <c r="R23" s="59">
        <f t="shared" si="0"/>
        <v>452.04052435940298</v>
      </c>
      <c r="S23" s="59">
        <f ca="1">AVERAGE(OFFSET($R$3,0,0,'Données projet'!$E$9+1,1))-AVERAGE(OFFSET($H$3,0,0,'Données projet'!$E$9+1,1))</f>
        <v>168.08890945052406</v>
      </c>
      <c r="T23" s="59">
        <f t="shared" si="34"/>
        <v>182.52462557642343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22</v>
      </c>
      <c r="W23" s="16">
        <f>IF(ISNA(VLOOKUP(A23,'Données projet'!$A$35:$I$55,5,0)),0%,VLOOKUP(A23,'Données projet'!$A$35:$I$55,5,0)*VLOOKUP('Données projet'!$B$9,Paramètres!$A$1:$I$89,7,0))</f>
        <v>4.5000000000000005E-2</v>
      </c>
      <c r="X23" s="16">
        <f>IF(ISNA(VLOOKUP(A23,'Données projet'!$A$35:$I$55,6,0)),0%,VLOOKUP(A23,'Données projet'!$A$35:$I$55,6,0)*VLOOKUP('Données projet'!$B$9,Paramètres!$A$1:$I$89,7,0))</f>
        <v>0.20250000000000001</v>
      </c>
      <c r="Y23" s="16">
        <f>IF(ISNA(VLOOKUP(A23,'Données projet'!$A$35:$I$55,7,0)),0%,VLOOKUP(A23,'Données projet'!$A$35:$I$55,7,0))</f>
        <v>0.45</v>
      </c>
      <c r="Z23" s="21">
        <f>EXP(-LN(2)/35)*Z22+(1-EXP(-LN(2)/35))/(LN(2)/35)*V23*W23*VLOOKUP('Données projet'!$B$9,Paramètres!$A$1:$I$89,3,0)*0.475*44/12</f>
        <v>0.78535268890931675</v>
      </c>
      <c r="AA23" s="21">
        <f>EXP(-LN(2)/25)*AA22+(1-EXP(-LN(2)/25))/(LN(2)/25)*Calculateur!V23*Calculateur!X23*VLOOKUP('Données projet'!$B$9,Paramètres!$A$1:$I$89,3,0)*0.475*44/12</f>
        <v>5.9070222351956119</v>
      </c>
      <c r="AB23" s="21">
        <f>EXP(-LN(2)/2)*AB22+(1-EXP(-LN(2)/2))/(LN(2)/2)*V23*Y23*VLOOKUP('Données projet'!$B$9,Paramètres!$A$1:$I$89,3,0)*0.475*44/12</f>
        <v>7.9725571114177329</v>
      </c>
      <c r="AC23" s="22">
        <f t="shared" si="3"/>
        <v>14.664932035522661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91</v>
      </c>
      <c r="AG23" s="12">
        <f>VLOOKUP(A23,'Données projet'!$A$61:$I$81,9,0)</f>
        <v>4.55</v>
      </c>
      <c r="AH23" s="12">
        <f t="array" ref="AH23">INDEX(AG:AG,MIN(IF(ISNUMBER(AG23:AG219),ROW(AG23:AG219),"")))</f>
        <v>4.55</v>
      </c>
      <c r="AI23" s="13">
        <f>IF('Données projet'!$A$62&gt;35,AI22+AH23-AQ22,IF(A23&lt;'Données projet'!$A$62,$AF$205^A23,IF(A23='Données projet'!$A$62,'Données projet'!$B$62,AI22+AH23-AQ22)))</f>
        <v>91</v>
      </c>
      <c r="AJ23" s="13">
        <f>AI23*VLOOKUP('Données projet'!$B$10,Paramètres!$A$1:$I$89,3,0)*VLOOKUP('Données projet'!$B$10,Paramètres!$A$1:$I$89,5,0)</f>
        <v>54.417999999999999</v>
      </c>
      <c r="AK23" s="13">
        <f t="shared" si="35"/>
        <v>15.749044324804036</v>
      </c>
      <c r="AL23" s="20">
        <f t="shared" si="4"/>
        <v>122.20760219903367</v>
      </c>
      <c r="AM23" s="59">
        <f t="shared" si="5"/>
        <v>415.54093553236697</v>
      </c>
      <c r="AN23" s="59">
        <f ca="1">AVERAGE(OFFSET($AM$3,0,0,'Données projet'!$E$10+1,1))-AVERAGE(OFFSET($H$3,0,0,'Données projet'!$E$10+1,1))</f>
        <v>216.94426559495264</v>
      </c>
      <c r="AO23" s="59">
        <f t="shared" si="36"/>
        <v>225.33715877618704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0.22500000000000001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0.53335940190698583</v>
      </c>
      <c r="AW23" s="21">
        <f>EXP(-LN(2)/2)*AW22+(1-EXP(-LN(2)/2))/(LN(2)/2)*AQ23*AT23*VLOOKUP('Données projet'!$B$10,Paramètres!$A$1:$I$89,3,0)*0.475*44/12</f>
        <v>1.0156123708812399</v>
      </c>
      <c r="AX23" s="21">
        <f t="shared" si="6"/>
        <v>1.5489717727882257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42</v>
      </c>
      <c r="BB23" s="12">
        <f>VLOOKUP(A23,'Données projet'!$A$87:$I$107,9,0)</f>
        <v>2.1</v>
      </c>
      <c r="BC23" s="12">
        <f t="array" ref="BC23">INDEX(BB:BB,MIN(IF(ISNUMBER(BB23:BB219),ROW(BB23:BB219),"")))</f>
        <v>2.1</v>
      </c>
      <c r="BD23" s="12">
        <f>IF('Données projet'!$A$88&gt;35,BD22+BC23-BL22,IF(A23&lt;'Données projet'!$A$88,$BA$205^A23,IF(A23='Données projet'!$A$88,'Données projet'!$B$88,BD22+BC23-BL22)))</f>
        <v>42</v>
      </c>
      <c r="BE23" s="13">
        <f>BD23*VLOOKUP('Données projet'!$B$11,Paramètres!$A$1:$I$89,3,0)*VLOOKUP('Données projet'!$B$11,Paramètres!$A$1:$I$89,5,0)</f>
        <v>38.001600000000003</v>
      </c>
      <c r="BF23" s="13">
        <f t="shared" si="37"/>
        <v>11.467401227090512</v>
      </c>
      <c r="BG23" s="20">
        <f t="shared" si="7"/>
        <v>86.158510470515978</v>
      </c>
      <c r="BH23" s="59">
        <f t="shared" si="8"/>
        <v>379.49184380384929</v>
      </c>
      <c r="BI23" s="59">
        <f ca="1">AVERAGE(OFFSET($BH$3,0,0,'Données projet'!$E$11+1,1))-AVERAGE(OFFSET($H$3,0,0,'Données projet'!$E$11+1,1))</f>
        <v>237.22177246688199</v>
      </c>
      <c r="BJ23" s="59">
        <f t="shared" si="38"/>
        <v>149.27472147904302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132</v>
      </c>
      <c r="BW23" s="12">
        <f>VLOOKUP(A23,'Données projet'!$A$113:$I$133,9,0)</f>
        <v>6.6</v>
      </c>
      <c r="BX23" s="12">
        <f t="array" ref="BX23">INDEX(BW:BW,MIN(IF(ISNUMBER(BW23:BW219),ROW(BW23:BW219),"")))</f>
        <v>6.6</v>
      </c>
      <c r="BY23" s="12">
        <f>IF('Données projet'!$A$114&gt;35,BY22+BX23-CG22,IF(A23&lt;'Données projet'!$A$114,$BV$205^A23,IF(A23='Données projet'!$A$114,'Données projet'!$B$114,BY22+BX23-CG22)))</f>
        <v>132</v>
      </c>
      <c r="BZ23" s="13">
        <f>BY23*VLOOKUP('Données projet'!$B$12,Paramètres!$A$1:$I$89,3,0)*VLOOKUP('Données projet'!$B$12,Paramètres!$A$1:$I$89,5,0)</f>
        <v>115.3152</v>
      </c>
      <c r="CA23" s="13">
        <f t="shared" si="39"/>
        <v>30.579827148797317</v>
      </c>
      <c r="CB23" s="20">
        <f t="shared" si="10"/>
        <v>254.10050561748861</v>
      </c>
      <c r="CC23" s="59">
        <f t="shared" si="11"/>
        <v>547.43383895082195</v>
      </c>
      <c r="CD23" s="59">
        <f ca="1">AVERAGE(OFFSET($CC$3,0,0,'Données projet'!$E$12+1,1))-AVERAGE(OFFSET($H$3,0,0,'Données projet'!$E$12+1,1))</f>
        <v>223.81948236065614</v>
      </c>
      <c r="CE23" s="59">
        <f t="shared" si="40"/>
        <v>320.1204011431372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50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0.1075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5.1704083727537116</v>
      </c>
      <c r="CM23" s="21">
        <f>EXP(-LN(2)/2)*CM22+(1-EXP(-LN(2)/2))/(LN(2)/2)*CG23*CJ23*VLOOKUP('Données projet'!$B$12,Paramètres!$A$1:$I$89,3,0)*0.475*44/12</f>
        <v>10.303313907490841</v>
      </c>
      <c r="CN23" s="22">
        <f t="shared" si="12"/>
        <v>15.473722280244552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177</v>
      </c>
      <c r="CR23" s="12">
        <f>VLOOKUP(A23,'Données projet'!$A$139:$I$159,9,0)</f>
        <v>14.1</v>
      </c>
      <c r="CS23" s="12">
        <f t="array" ref="CS23">INDEX(CR:CR,MIN(IF(ISNUMBER(CR23:CR219),ROW(CR23:CR219),"")))</f>
        <v>14.1</v>
      </c>
      <c r="CT23" s="12">
        <f>IF('Données projet'!$A$140&gt;35,CT22+CS23-DB22,IF(A23&lt;'Données projet'!$A$140,$CQ$205^A23,IF(A23='Données projet'!$A$140,'Données projet'!$B$140,CT22+CS23-DB22)))</f>
        <v>176.99999999999997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81</v>
      </c>
      <c r="DC23" s="16" t="e">
        <f>IF(ISNA(VLOOKUP(A23,'Données projet'!$A$139:$I$159,5,0)),0%,VLOOKUP(A23,'Données projet'!$A$139:$I$159,5,0)*VLOOKUP('Données projet'!$B$13,Paramètres!$A$1:$I$89,7,0))</f>
        <v>#N/A</v>
      </c>
      <c r="DD23" s="16" t="e">
        <f>IF(ISNA(VLOOKUP(A23,'Données projet'!$A$139:$I$159,6,0)),0%,VLOOKUP(A23,'Données projet'!$A$139:$I$159,6,0)*VLOOKUP('Données projet'!$B$13,Paramètres!$A$1:$I$89,7,0))</f>
        <v>#N/A</v>
      </c>
      <c r="DE23" s="16">
        <f>IF(ISNA(VLOOKUP(A23,'Données projet'!$A$139:$I$159,7,0)),0%,VLOOKUP(A23,'Données projet'!$A$139:$I$159,7,0))</f>
        <v>0.5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134</v>
      </c>
      <c r="DM23" s="12">
        <f>VLOOKUP(A23,'Données projet'!$A$165:$I$185,9,0)</f>
        <v>12.3</v>
      </c>
      <c r="DN23" s="12">
        <f t="array" ref="DN23">INDEX(DM:DM,MIN(IF(ISNUMBER(DM23:DM219),ROW(DM23:DM219),"")))</f>
        <v>12.3</v>
      </c>
      <c r="DO23" s="12">
        <f>IF('Données projet'!$A$166&gt;35,DO22+DN23-DW22,IF(A23&lt;'Données projet'!$A$166,$DL$205^A23,IF(A23='Données projet'!$A$166,'Données projet'!$B$166,DO22+DN23-DW22)))</f>
        <v>134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67</v>
      </c>
      <c r="DX23" s="16" t="e">
        <f>IF(ISNA(VLOOKUP(A23,'Données projet'!$A$165:$I$185,5,0)),0%,VLOOKUP(A23,'Données projet'!$A$165:$I$185,5,0)*VLOOKUP('Données projet'!$B$14,Paramètres!$A$1:$I$89,7,0))</f>
        <v>#N/A</v>
      </c>
      <c r="DY23" s="16" t="e">
        <f>IF(ISNA(VLOOKUP(A23,'Données projet'!$A$165:$I$185,6,0)),0%,VLOOKUP(A23,'Données projet'!$A$165:$I$185,6,0)*VLOOKUP('Données projet'!$B$14,Paramètres!$A$1:$I$89,7,0))</f>
        <v>#N/A</v>
      </c>
      <c r="DZ23" s="16">
        <f>IF(ISNA(VLOOKUP(A23,'Données projet'!$A$165:$I$185,7,0)),0%,VLOOKUP(A23,'Données projet'!$A$165:$I$185,7,0))</f>
        <v>0.25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15</v>
      </c>
      <c r="N24" s="13">
        <f>IF('Données projet'!$A$36&gt;35,N23+M24-V23,IF(A24&lt;'Données projet'!$A$36,$K$205^A24,IF(A24='Données projet'!$A$36,'Données projet'!$B$36,N23+M24-V23)))</f>
        <v>112</v>
      </c>
      <c r="O24" s="13">
        <f>N24*VLOOKUP('Données projet'!$B$9,Paramètres!$A$1:$I$89,3,0)*VLOOKUP('Données projet'!$B$9,Paramètres!$A$1:$I$89,5,0)</f>
        <v>66.976000000000013</v>
      </c>
      <c r="P24" s="13">
        <f t="shared" si="33"/>
        <v>18.920572617446965</v>
      </c>
      <c r="Q24" s="20">
        <f t="shared" si="2"/>
        <v>149.60319730872013</v>
      </c>
      <c r="R24" s="59">
        <f t="shared" si="0"/>
        <v>442.93653064205341</v>
      </c>
      <c r="S24" s="59">
        <f ca="1">AVERAGE(OFFSET($R$3,0,0,'Données projet'!$E$9+1,1))-AVERAGE(OFFSET($H$3,0,0,'Données projet'!$E$9+1,1))</f>
        <v>168.08890945052406</v>
      </c>
      <c r="T24" s="59">
        <f t="shared" si="34"/>
        <v>182.52462557642343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0.76995240169764623</v>
      </c>
      <c r="AA24" s="21">
        <f>EXP(-LN(2)/25)*AA23+(1-EXP(-LN(2)/25))/(LN(2)/25)*Calculateur!V24*Calculateur!X24*VLOOKUP('Données projet'!$B$9,Paramètres!$A$1:$I$89,3,0)*0.475*44/12</f>
        <v>5.745494401537389</v>
      </c>
      <c r="AB24" s="21">
        <f>EXP(-LN(2)/2)*AB23+(1-EXP(-LN(2)/2))/(LN(2)/2)*V24*Y24*VLOOKUP('Données projet'!$B$9,Paramètres!$A$1:$I$89,3,0)*0.475*44/12</f>
        <v>5.6374491968805129</v>
      </c>
      <c r="AC24" s="22">
        <f t="shared" si="3"/>
        <v>12.152896000115547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13</v>
      </c>
      <c r="AI24" s="13">
        <f>IF('Données projet'!$A$62&gt;35,AI23+AH24-AQ23,IF(A24&lt;'Données projet'!$A$62,$AF$205^A24,IF(A24='Données projet'!$A$62,'Données projet'!$B$62,AI23+AH24-AQ23)))</f>
        <v>101</v>
      </c>
      <c r="AJ24" s="13">
        <f>AI24*VLOOKUP('Données projet'!$B$10,Paramètres!$A$1:$I$89,3,0)*VLOOKUP('Données projet'!$B$10,Paramètres!$A$1:$I$89,5,0)</f>
        <v>60.398000000000003</v>
      </c>
      <c r="AK24" s="13">
        <f t="shared" si="35"/>
        <v>17.26885714728807</v>
      </c>
      <c r="AL24" s="20">
        <f t="shared" si="4"/>
        <v>135.26977619819337</v>
      </c>
      <c r="AM24" s="59">
        <f t="shared" si="5"/>
        <v>428.60310953152668</v>
      </c>
      <c r="AN24" s="59">
        <f ca="1">AVERAGE(OFFSET($AM$3,0,0,'Données projet'!$E$10+1,1))-AVERAGE(OFFSET($H$3,0,0,'Données projet'!$E$10+1,1))</f>
        <v>216.94426559495264</v>
      </c>
      <c r="AO24" s="59">
        <f t="shared" si="36"/>
        <v>225.33715877618704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0.51877466101368741</v>
      </c>
      <c r="AW24" s="21">
        <f>EXP(-LN(2)/2)*AW23+(1-EXP(-LN(2)/2))/(LN(2)/2)*AQ24*AT24*VLOOKUP('Données projet'!$B$10,Paramètres!$A$1:$I$89,3,0)*0.475*44/12</f>
        <v>0.71814639450707174</v>
      </c>
      <c r="AX24" s="21">
        <f t="shared" si="6"/>
        <v>1.2369210555207593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6.3</v>
      </c>
      <c r="BD24" s="12">
        <f>IF('Données projet'!$A$88&gt;35,BD23+BC24-BL23,IF(A24&lt;'Données projet'!$A$88,$BA$205^A24,IF(A24='Données projet'!$A$88,'Données projet'!$B$88,BD23+BC24-BL23)))</f>
        <v>48.3</v>
      </c>
      <c r="BE24" s="13">
        <f>BD24*VLOOKUP('Données projet'!$B$11,Paramètres!$A$1:$I$89,3,0)*VLOOKUP('Données projet'!$B$11,Paramètres!$A$1:$I$89,5,0)</f>
        <v>43.701839999999997</v>
      </c>
      <c r="BF24" s="13">
        <f t="shared" si="37"/>
        <v>12.974708810432297</v>
      </c>
      <c r="BG24" s="20">
        <f t="shared" si="7"/>
        <v>98.711655844836244</v>
      </c>
      <c r="BH24" s="59">
        <f t="shared" si="8"/>
        <v>392.04498917816954</v>
      </c>
      <c r="BI24" s="59">
        <f ca="1">AVERAGE(OFFSET($BH$3,0,0,'Données projet'!$E$11+1,1))-AVERAGE(OFFSET($H$3,0,0,'Données projet'!$E$11+1,1))</f>
        <v>237.22177246688199</v>
      </c>
      <c r="BJ24" s="59">
        <f t="shared" si="38"/>
        <v>149.27472147904302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11.8</v>
      </c>
      <c r="BY24" s="12">
        <f>IF('Données projet'!$A$114&gt;35,BY23+BX24-CG23,IF(A24&lt;'Données projet'!$A$114,$BV$205^A24,IF(A24='Données projet'!$A$114,'Données projet'!$B$114,BY23+BX24-CG23)))</f>
        <v>93.800000000000011</v>
      </c>
      <c r="BZ24" s="13">
        <f>BY24*VLOOKUP('Données projet'!$B$12,Paramètres!$A$1:$I$89,3,0)*VLOOKUP('Données projet'!$B$12,Paramètres!$A$1:$I$89,5,0)</f>
        <v>81.943680000000029</v>
      </c>
      <c r="CA24" s="13">
        <f t="shared" si="39"/>
        <v>22.611757990043472</v>
      </c>
      <c r="CB24" s="20">
        <f t="shared" si="10"/>
        <v>182.10072116599244</v>
      </c>
      <c r="CC24" s="59">
        <f t="shared" si="11"/>
        <v>475.43405449932573</v>
      </c>
      <c r="CD24" s="59">
        <f ca="1">AVERAGE(OFFSET($CC$3,0,0,'Données projet'!$E$12+1,1))-AVERAGE(OFFSET($H$3,0,0,'Données projet'!$E$12+1,1))</f>
        <v>223.81948236065614</v>
      </c>
      <c r="CE24" s="59">
        <f t="shared" si="40"/>
        <v>320.1204011431372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5.029023283900802</v>
      </c>
      <c r="CM24" s="21">
        <f>EXP(-LN(2)/2)*CM23+(1-EXP(-LN(2)/2))/(LN(2)/2)*CG24*CJ24*VLOOKUP('Données projet'!$B$12,Paramètres!$A$1:$I$89,3,0)*0.475*44/12</f>
        <v>7.2855431326804387</v>
      </c>
      <c r="CN24" s="22">
        <f t="shared" si="12"/>
        <v>12.31456641658124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16.399999999999999</v>
      </c>
      <c r="CT24" s="12">
        <f>IF('Données projet'!$A$140&gt;35,CT23+CS24-DB23,IF(A24&lt;'Données projet'!$A$140,$CQ$205^A24,IF(A24='Données projet'!$A$140,'Données projet'!$B$140,CT23+CS24-DB23)))</f>
        <v>112.39999999999998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14.5</v>
      </c>
      <c r="DO24" s="12">
        <f>IF('Données projet'!$A$166&gt;35,DO23+DN24-DW23,IF(A24&lt;'Données projet'!$A$166,$DL$205^A24,IF(A24='Données projet'!$A$166,'Données projet'!$B$166,DO23+DN24-DW23)))</f>
        <v>81.5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15</v>
      </c>
      <c r="N25" s="13">
        <f>IF('Données projet'!$A$36&gt;35,N24+M25-V24,IF(A25&lt;'Données projet'!$A$36,$K$205^A25,IF(A25='Données projet'!$A$36,'Données projet'!$B$36,N24+M25-V24)))</f>
        <v>127</v>
      </c>
      <c r="O25" s="13">
        <f>N25*VLOOKUP('Données projet'!$B$9,Paramètres!$A$1:$I$89,3,0)*VLOOKUP('Données projet'!$B$9,Paramètres!$A$1:$I$89,5,0)</f>
        <v>75.945999999999998</v>
      </c>
      <c r="P25" s="13">
        <f t="shared" si="33"/>
        <v>21.142979995226831</v>
      </c>
      <c r="Q25" s="20">
        <f t="shared" si="2"/>
        <v>169.09664015835338</v>
      </c>
      <c r="R25" s="59">
        <f t="shared" si="0"/>
        <v>462.42997349168672</v>
      </c>
      <c r="S25" s="59">
        <f ca="1">AVERAGE(OFFSET($R$3,0,0,'Données projet'!$E$9+1,1))-AVERAGE(OFFSET($H$3,0,0,'Données projet'!$E$9+1,1))</f>
        <v>168.08890945052406</v>
      </c>
      <c r="T25" s="59">
        <f t="shared" si="34"/>
        <v>182.52462557642343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0.75485410472494885</v>
      </c>
      <c r="AA25" s="21">
        <f>EXP(-LN(2)/25)*AA24+(1-EXP(-LN(2)/25))/(LN(2)/25)*Calculateur!V25*Calculateur!X25*VLOOKUP('Données projet'!$B$9,Paramètres!$A$1:$I$89,3,0)*0.475*44/12</f>
        <v>5.5883835549849303</v>
      </c>
      <c r="AB25" s="21">
        <f>EXP(-LN(2)/2)*AB24+(1-EXP(-LN(2)/2))/(LN(2)/2)*V25*Y25*VLOOKUP('Données projet'!$B$9,Paramètres!$A$1:$I$89,3,0)*0.475*44/12</f>
        <v>3.9862785557088674</v>
      </c>
      <c r="AC25" s="22">
        <f t="shared" si="3"/>
        <v>10.329516215418746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13</v>
      </c>
      <c r="AI25" s="13">
        <f>IF('Données projet'!$A$62&gt;35,AI24+AH25-AQ24,IF(A25&lt;'Données projet'!$A$62,$AF$205^A25,IF(A25='Données projet'!$A$62,'Données projet'!$B$62,AI24+AH25-AQ24)))</f>
        <v>114</v>
      </c>
      <c r="AJ25" s="13">
        <f>AI25*VLOOKUP('Données projet'!$B$10,Paramètres!$A$1:$I$89,3,0)*VLOOKUP('Données projet'!$B$10,Paramètres!$A$1:$I$89,5,0)</f>
        <v>68.172000000000011</v>
      </c>
      <c r="AK25" s="13">
        <f t="shared" si="35"/>
        <v>19.21880399855084</v>
      </c>
      <c r="AL25" s="20">
        <f t="shared" si="4"/>
        <v>152.20565029747607</v>
      </c>
      <c r="AM25" s="59">
        <f t="shared" si="5"/>
        <v>445.53898363080941</v>
      </c>
      <c r="AN25" s="59">
        <f ca="1">AVERAGE(OFFSET($AM$3,0,0,'Données projet'!$E$10+1,1))-AVERAGE(OFFSET($H$3,0,0,'Données projet'!$E$10+1,1))</f>
        <v>216.94426559495264</v>
      </c>
      <c r="AO25" s="59">
        <f t="shared" si="36"/>
        <v>225.33715877618704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0.50458874062709436</v>
      </c>
      <c r="AW25" s="21">
        <f>EXP(-LN(2)/2)*AW24+(1-EXP(-LN(2)/2))/(LN(2)/2)*AQ25*AT25*VLOOKUP('Données projet'!$B$10,Paramètres!$A$1:$I$89,3,0)*0.475*44/12</f>
        <v>0.50780618544062006</v>
      </c>
      <c r="AX25" s="21">
        <f t="shared" si="6"/>
        <v>1.0123949260677145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6.3</v>
      </c>
      <c r="BD25" s="12">
        <f>IF('Données projet'!$A$88&gt;35,BD24+BC25-BL24,IF(A25&lt;'Données projet'!$A$88,$BA$205^A25,IF(A25='Données projet'!$A$88,'Données projet'!$B$88,BD24+BC25-BL24)))</f>
        <v>54.599999999999994</v>
      </c>
      <c r="BE25" s="13">
        <f>BD25*VLOOKUP('Données projet'!$B$11,Paramètres!$A$1:$I$89,3,0)*VLOOKUP('Données projet'!$B$11,Paramètres!$A$1:$I$89,5,0)</f>
        <v>49.402079999999998</v>
      </c>
      <c r="BF25" s="13">
        <f t="shared" si="37"/>
        <v>14.459236264867963</v>
      </c>
      <c r="BG25" s="20">
        <f t="shared" si="7"/>
        <v>111.22512582797835</v>
      </c>
      <c r="BH25" s="59">
        <f t="shared" si="8"/>
        <v>404.55845916131165</v>
      </c>
      <c r="BI25" s="59">
        <f ca="1">AVERAGE(OFFSET($BH$3,0,0,'Données projet'!$E$11+1,1))-AVERAGE(OFFSET($H$3,0,0,'Données projet'!$E$11+1,1))</f>
        <v>237.22177246688199</v>
      </c>
      <c r="BJ25" s="59">
        <f t="shared" si="38"/>
        <v>149.27472147904302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11.8</v>
      </c>
      <c r="BY25" s="12">
        <f>IF('Données projet'!$A$114&gt;35,BY24+BX25-CG24,IF(A25&lt;'Données projet'!$A$114,$BV$205^A25,IF(A25='Données projet'!$A$114,'Données projet'!$B$114,BY24+BX25-CG24)))</f>
        <v>105.60000000000001</v>
      </c>
      <c r="BZ25" s="13">
        <f>BY25*VLOOKUP('Données projet'!$B$12,Paramètres!$A$1:$I$89,3,0)*VLOOKUP('Données projet'!$B$12,Paramètres!$A$1:$I$89,5,0)</f>
        <v>92.252160000000018</v>
      </c>
      <c r="CA25" s="13">
        <f t="shared" si="39"/>
        <v>25.107607958259987</v>
      </c>
      <c r="CB25" s="20">
        <f t="shared" si="10"/>
        <v>204.40159586063615</v>
      </c>
      <c r="CC25" s="59">
        <f t="shared" si="11"/>
        <v>497.73492919396949</v>
      </c>
      <c r="CD25" s="59">
        <f ca="1">AVERAGE(OFFSET($CC$3,0,0,'Données projet'!$E$12+1,1))-AVERAGE(OFFSET($H$3,0,0,'Données projet'!$E$12+1,1))</f>
        <v>223.81948236065614</v>
      </c>
      <c r="CE25" s="59">
        <f t="shared" si="40"/>
        <v>320.1204011431372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4.8915043777376939</v>
      </c>
      <c r="CM25" s="21">
        <f>EXP(-LN(2)/2)*CM24+(1-EXP(-LN(2)/2))/(LN(2)/2)*CG25*CJ25*VLOOKUP('Données projet'!$B$12,Paramètres!$A$1:$I$89,3,0)*0.475*44/12</f>
        <v>5.1516569537454213</v>
      </c>
      <c r="CN25" s="22">
        <f t="shared" si="12"/>
        <v>10.043161331483116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16.399999999999999</v>
      </c>
      <c r="CT25" s="12">
        <f>IF('Données projet'!$A$140&gt;35,CT24+CS25-DB24,IF(A25&lt;'Données projet'!$A$140,$CQ$205^A25,IF(A25='Données projet'!$A$140,'Données projet'!$B$140,CT24+CS25-DB24)))</f>
        <v>128.79999999999998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14.5</v>
      </c>
      <c r="DO25" s="12">
        <f>IF('Données projet'!$A$166&gt;35,DO24+DN25-DW24,IF(A25&lt;'Données projet'!$A$166,$DL$205^A25,IF(A25='Données projet'!$A$166,'Données projet'!$B$166,DO24+DN25-DW24)))</f>
        <v>96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</v>
      </c>
      <c r="N26" s="13">
        <f>IF('Données projet'!$A$36&gt;35,N25+M26-V25,IF(A26&lt;'Données projet'!$A$36,$K$205^A26,IF(A26='Données projet'!$A$36,'Données projet'!$B$36,N25+M26-V25)))</f>
        <v>142</v>
      </c>
      <c r="O26" s="13">
        <f>N26*VLOOKUP('Données projet'!$B$9,Paramètres!$A$1:$I$89,3,0)*VLOOKUP('Données projet'!$B$9,Paramètres!$A$1:$I$89,5,0)</f>
        <v>84.916000000000011</v>
      </c>
      <c r="P26" s="13">
        <f t="shared" si="33"/>
        <v>23.33496813320572</v>
      </c>
      <c r="Q26" s="20">
        <f t="shared" si="2"/>
        <v>188.53710283199996</v>
      </c>
      <c r="R26" s="59">
        <f t="shared" si="0"/>
        <v>481.87043616533327</v>
      </c>
      <c r="S26" s="59">
        <f ca="1">AVERAGE(OFFSET($R$3,0,0,'Données projet'!$E$9+1,1))-AVERAGE(OFFSET($H$3,0,0,'Données projet'!$E$9+1,1))</f>
        <v>168.08890945052406</v>
      </c>
      <c r="T26" s="59">
        <f t="shared" si="34"/>
        <v>182.52462557642343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0.74005187614683421</v>
      </c>
      <c r="AA26" s="21">
        <f>EXP(-LN(2)/25)*AA25+(1-EXP(-LN(2)/25))/(LN(2)/25)*Calculateur!V26*Calculateur!X26*VLOOKUP('Données projet'!$B$9,Paramètres!$A$1:$I$89,3,0)*0.475*44/12</f>
        <v>5.4355689127935483</v>
      </c>
      <c r="AB26" s="21">
        <f>EXP(-LN(2)/2)*AB25+(1-EXP(-LN(2)/2))/(LN(2)/2)*V26*Y26*VLOOKUP('Données projet'!$B$9,Paramètres!$A$1:$I$89,3,0)*0.475*44/12</f>
        <v>2.8187245984402569</v>
      </c>
      <c r="AC26" s="22">
        <f t="shared" si="3"/>
        <v>8.9943453873806405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13</v>
      </c>
      <c r="AI26" s="13">
        <f>IF('Données projet'!$A$62&gt;35,AI25+AH26-AQ25,IF(A26&lt;'Données projet'!$A$62,$AF$205^A26,IF(A26='Données projet'!$A$62,'Données projet'!$B$62,AI25+AH26-AQ25)))</f>
        <v>127</v>
      </c>
      <c r="AJ26" s="13">
        <f>AI26*VLOOKUP('Données projet'!$B$10,Paramètres!$A$1:$I$89,3,0)*VLOOKUP('Données projet'!$B$10,Paramètres!$A$1:$I$89,5,0)</f>
        <v>75.945999999999998</v>
      </c>
      <c r="AK26" s="13">
        <f t="shared" si="35"/>
        <v>21.142979995226831</v>
      </c>
      <c r="AL26" s="20">
        <f t="shared" si="4"/>
        <v>169.09664015835338</v>
      </c>
      <c r="AM26" s="59">
        <f t="shared" si="5"/>
        <v>462.42997349168672</v>
      </c>
      <c r="AN26" s="59">
        <f ca="1">AVERAGE(OFFSET($AM$3,0,0,'Données projet'!$E$10+1,1))-AVERAGE(OFFSET($H$3,0,0,'Données projet'!$E$10+1,1))</f>
        <v>216.94426559495264</v>
      </c>
      <c r="AO26" s="59">
        <f t="shared" si="36"/>
        <v>225.33715877618704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0.49079073497947784</v>
      </c>
      <c r="AW26" s="21">
        <f>EXP(-LN(2)/2)*AW25+(1-EXP(-LN(2)/2))/(LN(2)/2)*AQ26*AT26*VLOOKUP('Données projet'!$B$10,Paramètres!$A$1:$I$89,3,0)*0.475*44/12</f>
        <v>0.35907319725353593</v>
      </c>
      <c r="AX26" s="21">
        <f t="shared" si="6"/>
        <v>0.84986393223301371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6.3</v>
      </c>
      <c r="BD26" s="12">
        <f>IF('Données projet'!$A$88&gt;35,BD25+BC26-BL25,IF(A26&lt;'Données projet'!$A$88,$BA$205^A26,IF(A26='Données projet'!$A$88,'Données projet'!$B$88,BD25+BC26-BL25)))</f>
        <v>60.899999999999991</v>
      </c>
      <c r="BE26" s="13">
        <f>BD26*VLOOKUP('Données projet'!$B$11,Paramètres!$A$1:$I$89,3,0)*VLOOKUP('Données projet'!$B$11,Paramètres!$A$1:$I$89,5,0)</f>
        <v>55.102319999999992</v>
      </c>
      <c r="BF26" s="13">
        <f t="shared" si="37"/>
        <v>15.923912218988239</v>
      </c>
      <c r="BG26" s="20">
        <f t="shared" si="7"/>
        <v>123.70402111473783</v>
      </c>
      <c r="BH26" s="59">
        <f t="shared" si="8"/>
        <v>417.03735444807114</v>
      </c>
      <c r="BI26" s="59">
        <f ca="1">AVERAGE(OFFSET($BH$3,0,0,'Données projet'!$E$11+1,1))-AVERAGE(OFFSET($H$3,0,0,'Données projet'!$E$11+1,1))</f>
        <v>237.22177246688199</v>
      </c>
      <c r="BJ26" s="59">
        <f t="shared" si="38"/>
        <v>149.27472147904302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11.8</v>
      </c>
      <c r="BY26" s="12">
        <f>IF('Données projet'!$A$114&gt;35,BY25+BX26-CG25,IF(A26&lt;'Données projet'!$A$114,$BV$205^A26,IF(A26='Données projet'!$A$114,'Données projet'!$B$114,BY25+BX26-CG25)))</f>
        <v>117.4</v>
      </c>
      <c r="BZ26" s="13">
        <f>BY26*VLOOKUP('Données projet'!$B$12,Paramètres!$A$1:$I$89,3,0)*VLOOKUP('Données projet'!$B$12,Paramètres!$A$1:$I$89,5,0)</f>
        <v>102.56064000000002</v>
      </c>
      <c r="CA26" s="13">
        <f t="shared" si="39"/>
        <v>27.571134131783779</v>
      </c>
      <c r="CB26" s="20">
        <f t="shared" si="10"/>
        <v>226.64617327952342</v>
      </c>
      <c r="CC26" s="59">
        <f t="shared" si="11"/>
        <v>519.97950661285677</v>
      </c>
      <c r="CD26" s="59">
        <f ca="1">AVERAGE(OFFSET($CC$3,0,0,'Données projet'!$E$12+1,1))-AVERAGE(OFFSET($H$3,0,0,'Données projet'!$E$12+1,1))</f>
        <v>223.81948236065614</v>
      </c>
      <c r="CE26" s="59">
        <f t="shared" si="40"/>
        <v>320.1204011431372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4.7577459332954213</v>
      </c>
      <c r="CM26" s="21">
        <f>EXP(-LN(2)/2)*CM25+(1-EXP(-LN(2)/2))/(LN(2)/2)*CG26*CJ26*VLOOKUP('Données projet'!$B$12,Paramètres!$A$1:$I$89,3,0)*0.475*44/12</f>
        <v>3.6427715663402198</v>
      </c>
      <c r="CN26" s="22">
        <f t="shared" si="12"/>
        <v>8.4005174996356402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16.399999999999999</v>
      </c>
      <c r="CT26" s="12">
        <f>IF('Données projet'!$A$140&gt;35,CT25+CS26-DB25,IF(A26&lt;'Données projet'!$A$140,$CQ$205^A26,IF(A26='Données projet'!$A$140,'Données projet'!$B$140,CT25+CS26-DB25)))</f>
        <v>145.19999999999999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14.5</v>
      </c>
      <c r="DO26" s="12">
        <f>IF('Données projet'!$A$166&gt;35,DO25+DN26-DW25,IF(A26&lt;'Données projet'!$A$166,$DL$205^A26,IF(A26='Données projet'!$A$166,'Données projet'!$B$166,DO25+DN26-DW25)))</f>
        <v>110.5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157</v>
      </c>
      <c r="L27" s="12">
        <f>VLOOKUP(A27,'Données projet'!$A$35:$I$55,9,0)</f>
        <v>15</v>
      </c>
      <c r="M27" s="12">
        <f t="array" ref="M27">INDEX(L:L,MIN(IF(ISNUMBER(L27:L223),ROW(L27:L223),"")))</f>
        <v>15</v>
      </c>
      <c r="N27" s="13">
        <f>IF('Données projet'!$A$36&gt;35,N26+M27-V26,IF(A27&lt;'Données projet'!$A$36,$K$205^A27,IF(A27='Données projet'!$A$36,'Données projet'!$B$36,N26+M27-V26)))</f>
        <v>157</v>
      </c>
      <c r="O27" s="13">
        <f>N27*VLOOKUP('Données projet'!$B$9,Paramètres!$A$1:$I$89,3,0)*VLOOKUP('Données projet'!$B$9,Paramètres!$A$1:$I$89,5,0)</f>
        <v>93.885999999999996</v>
      </c>
      <c r="P27" s="13">
        <f t="shared" si="33"/>
        <v>25.500116461916402</v>
      </c>
      <c r="Q27" s="20">
        <f t="shared" si="2"/>
        <v>207.9308195045044</v>
      </c>
      <c r="R27" s="59">
        <f t="shared" si="0"/>
        <v>501.26415283783774</v>
      </c>
      <c r="S27" s="59">
        <f ca="1">AVERAGE(OFFSET($R$3,0,0,'Données projet'!$E$9+1,1))-AVERAGE(OFFSET($H$3,0,0,'Données projet'!$E$9+1,1))</f>
        <v>168.08890945052406</v>
      </c>
      <c r="T27" s="59">
        <f t="shared" si="34"/>
        <v>182.52462557642343</v>
      </c>
      <c r="U27" s="15">
        <f>IF(ISNA(VLOOKUP(A27,'Données projet'!$A$35:$I$55,3,0)),0,VLOOKUP(A27,'Données projet'!$A$35:$I$55,3,0))</f>
        <v>3</v>
      </c>
      <c r="V27" s="15">
        <f>IF(ISNA(VLOOKUP(A27,'Données projet'!$A$35:$I$55,4,0)),0,VLOOKUP(A27,'Données projet'!$A$35:$I$55,4,0))</f>
        <v>31</v>
      </c>
      <c r="W27" s="16">
        <f>IF(ISNA(VLOOKUP(A27,'Données projet'!$A$35:$I$55,5,0)),0%,VLOOKUP(A27,'Données projet'!$A$35:$I$55,5,0)*VLOOKUP('Données projet'!$B$9,Paramètres!$A$1:$I$89,7,0))</f>
        <v>9.0000000000000011E-2</v>
      </c>
      <c r="X27" s="16">
        <f>IF(ISNA(VLOOKUP(A27,'Données projet'!$A$35:$I$55,6,0)),0%,VLOOKUP(A27,'Données projet'!$A$35:$I$55,6,0)*VLOOKUP('Données projet'!$B$9,Paramètres!$A$1:$I$89,7,0))</f>
        <v>0.18000000000000002</v>
      </c>
      <c r="Y27" s="16">
        <f>IF(ISNA(VLOOKUP(A27,'Données projet'!$A$35:$I$55,7,0)),0%,VLOOKUP(A27,'Données projet'!$A$35:$I$55,7,0))</f>
        <v>0.4</v>
      </c>
      <c r="Z27" s="21">
        <f>EXP(-LN(2)/35)*Z26+(1-EXP(-LN(2)/35))/(LN(2)/35)*V27*W27*VLOOKUP('Données projet'!$B$9,Paramètres!$A$1:$I$89,3,0)*0.475*44/12</f>
        <v>2.9388065789871067</v>
      </c>
      <c r="AA27" s="21">
        <f>EXP(-LN(2)/25)*AA26+(1-EXP(-LN(2)/25))/(LN(2)/25)*Calculateur!V27*Calculateur!X27*VLOOKUP('Données projet'!$B$9,Paramètres!$A$1:$I$89,3,0)*0.475*44/12</f>
        <v>9.6960373841268126</v>
      </c>
      <c r="AB27" s="21">
        <f>EXP(-LN(2)/2)*AB26+(1-EXP(-LN(2)/2))/(LN(2)/2)*V27*Y27*VLOOKUP('Données projet'!$B$9,Paramètres!$A$1:$I$89,3,0)*0.475*44/12</f>
        <v>10.388868210472685</v>
      </c>
      <c r="AC27" s="22">
        <f t="shared" si="3"/>
        <v>23.023712173586603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13</v>
      </c>
      <c r="AI27" s="13">
        <f>IF('Données projet'!$A$62&gt;35,AI26+AH27-AQ26,IF(A27&lt;'Données projet'!$A$62,$AF$205^A27,IF(A27='Données projet'!$A$62,'Données projet'!$B$62,AI26+AH27-AQ26)))</f>
        <v>140</v>
      </c>
      <c r="AJ27" s="13">
        <f>AI27*VLOOKUP('Données projet'!$B$10,Paramètres!$A$1:$I$89,3,0)*VLOOKUP('Données projet'!$B$10,Paramètres!$A$1:$I$89,5,0)</f>
        <v>83.720000000000013</v>
      </c>
      <c r="AK27" s="13">
        <f t="shared" si="35"/>
        <v>23.044323503842598</v>
      </c>
      <c r="AL27" s="20">
        <f t="shared" si="4"/>
        <v>185.9478634358592</v>
      </c>
      <c r="AM27" s="59">
        <f t="shared" si="5"/>
        <v>479.28119676919255</v>
      </c>
      <c r="AN27" s="59">
        <f ca="1">AVERAGE(OFFSET($AM$3,0,0,'Données projet'!$E$10+1,1))-AVERAGE(OFFSET($H$3,0,0,'Données projet'!$E$10+1,1))</f>
        <v>216.94426559495264</v>
      </c>
      <c r="AO27" s="59">
        <f t="shared" si="36"/>
        <v>225.33715877618704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0.47737003652190096</v>
      </c>
      <c r="AW27" s="21">
        <f>EXP(-LN(2)/2)*AW26+(1-EXP(-LN(2)/2))/(LN(2)/2)*AQ27*AT27*VLOOKUP('Données projet'!$B$10,Paramètres!$A$1:$I$89,3,0)*0.475*44/12</f>
        <v>0.25390309272031009</v>
      </c>
      <c r="AX27" s="21">
        <f t="shared" si="6"/>
        <v>0.731273129242211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6.3</v>
      </c>
      <c r="BD27" s="12">
        <f>IF('Données projet'!$A$88&gt;35,BD26+BC27-BL26,IF(A27&lt;'Données projet'!$A$88,$BA$205^A27,IF(A27='Données projet'!$A$88,'Données projet'!$B$88,BD26+BC27-BL26)))</f>
        <v>67.199999999999989</v>
      </c>
      <c r="BE27" s="13">
        <f>BD27*VLOOKUP('Données projet'!$B$11,Paramètres!$A$1:$I$89,3,0)*VLOOKUP('Données projet'!$B$11,Paramètres!$A$1:$I$89,5,0)</f>
        <v>60.802559999999993</v>
      </c>
      <c r="BF27" s="13">
        <f t="shared" si="37"/>
        <v>17.371024177726472</v>
      </c>
      <c r="BG27" s="20">
        <f t="shared" si="7"/>
        <v>136.15232577620694</v>
      </c>
      <c r="BH27" s="59">
        <f t="shared" si="8"/>
        <v>429.48565910954028</v>
      </c>
      <c r="BI27" s="59">
        <f ca="1">AVERAGE(OFFSET($BH$3,0,0,'Données projet'!$E$11+1,1))-AVERAGE(OFFSET($H$3,0,0,'Données projet'!$E$11+1,1))</f>
        <v>237.22177246688199</v>
      </c>
      <c r="BJ27" s="59">
        <f t="shared" si="38"/>
        <v>149.27472147904302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11.8</v>
      </c>
      <c r="BY27" s="12">
        <f>IF('Données projet'!$A$114&gt;35,BY26+BX27-CG26,IF(A27&lt;'Données projet'!$A$114,$BV$205^A27,IF(A27='Données projet'!$A$114,'Données projet'!$B$114,BY26+BX27-CG26)))</f>
        <v>129.20000000000002</v>
      </c>
      <c r="BZ27" s="13">
        <f>BY27*VLOOKUP('Données projet'!$B$12,Paramètres!$A$1:$I$89,3,0)*VLOOKUP('Données projet'!$B$12,Paramètres!$A$1:$I$89,5,0)</f>
        <v>112.86912000000004</v>
      </c>
      <c r="CA27" s="13">
        <f t="shared" si="39"/>
        <v>30.00595528244644</v>
      </c>
      <c r="CB27" s="20">
        <f t="shared" si="10"/>
        <v>248.84075611692765</v>
      </c>
      <c r="CC27" s="59">
        <f t="shared" si="11"/>
        <v>542.17408945026091</v>
      </c>
      <c r="CD27" s="59">
        <f ca="1">AVERAGE(OFFSET($CC$3,0,0,'Données projet'!$E$12+1,1))-AVERAGE(OFFSET($H$3,0,0,'Données projet'!$E$12+1,1))</f>
        <v>223.81948236065614</v>
      </c>
      <c r="CE27" s="59">
        <f t="shared" si="40"/>
        <v>320.1204011431372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4.6276451205504729</v>
      </c>
      <c r="CM27" s="21">
        <f>EXP(-LN(2)/2)*CM26+(1-EXP(-LN(2)/2))/(LN(2)/2)*CG27*CJ27*VLOOKUP('Données projet'!$B$12,Paramètres!$A$1:$I$89,3,0)*0.475*44/12</f>
        <v>2.5758284768727111</v>
      </c>
      <c r="CN27" s="22">
        <f t="shared" si="12"/>
        <v>7.2034735974231836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16.399999999999999</v>
      </c>
      <c r="CT27" s="12">
        <f>IF('Données projet'!$A$140&gt;35,CT26+CS27-DB26,IF(A27&lt;'Données projet'!$A$140,$CQ$205^A27,IF(A27='Données projet'!$A$140,'Données projet'!$B$140,CT26+CS27-DB26)))</f>
        <v>161.6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14.5</v>
      </c>
      <c r="DO27" s="12">
        <f>IF('Données projet'!$A$166&gt;35,DO26+DN27-DW26,IF(A27&lt;'Données projet'!$A$166,$DL$205^A27,IF(A27='Données projet'!$A$166,'Données projet'!$B$166,DO26+DN27-DW26)))</f>
        <v>125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</v>
      </c>
      <c r="N28" s="13">
        <f>IF('Données projet'!$A$36&gt;35,N27+M28-V27,IF(A28&lt;'Données projet'!$A$36,$K$205^A28,IF(A28='Données projet'!$A$36,'Données projet'!$B$36,N27+M28-V27)))</f>
        <v>142</v>
      </c>
      <c r="O28" s="13">
        <f>N28*VLOOKUP('Données projet'!$B$9,Paramètres!$A$1:$I$89,3,0)*VLOOKUP('Données projet'!$B$9,Paramètres!$A$1:$I$89,5,0)</f>
        <v>84.916000000000011</v>
      </c>
      <c r="P28" s="13">
        <f t="shared" si="33"/>
        <v>23.33496813320572</v>
      </c>
      <c r="Q28" s="20">
        <f t="shared" si="2"/>
        <v>188.53710283199996</v>
      </c>
      <c r="R28" s="59">
        <f t="shared" si="0"/>
        <v>481.87043616533327</v>
      </c>
      <c r="S28" s="59">
        <f ca="1">AVERAGE(OFFSET($R$3,0,0,'Données projet'!$E$9+1,1))-AVERAGE(OFFSET($H$3,0,0,'Données projet'!$E$9+1,1))</f>
        <v>168.08890945052406</v>
      </c>
      <c r="T28" s="59">
        <f t="shared" si="34"/>
        <v>182.52462557642343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2.8811783744681887</v>
      </c>
      <c r="AA28" s="21">
        <f>EXP(-LN(2)/25)*AA27+(1-EXP(-LN(2)/25))/(LN(2)/25)*Calculateur!V28*Calculateur!X28*VLOOKUP('Données projet'!$B$9,Paramètres!$A$1:$I$89,3,0)*0.475*44/12</f>
        <v>9.4308987319654189</v>
      </c>
      <c r="AB28" s="21">
        <f>EXP(-LN(2)/2)*AB27+(1-EXP(-LN(2)/2))/(LN(2)/2)*V28*Y28*VLOOKUP('Données projet'!$B$9,Paramètres!$A$1:$I$89,3,0)*0.475*44/12</f>
        <v>7.3460391604785888</v>
      </c>
      <c r="AC28" s="22">
        <f t="shared" si="3"/>
        <v>19.658116266912195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13</v>
      </c>
      <c r="AI28" s="13">
        <f>IF('Données projet'!$A$62&gt;35,AI27+AH28-AQ27,IF(A28&lt;'Données projet'!$A$62,$AF$205^A28,IF(A28='Données projet'!$A$62,'Données projet'!$B$62,AI27+AH28-AQ27)))</f>
        <v>153</v>
      </c>
      <c r="AJ28" s="13">
        <f>AI28*VLOOKUP('Données projet'!$B$10,Paramètres!$A$1:$I$89,3,0)*VLOOKUP('Données projet'!$B$10,Paramètres!$A$1:$I$89,5,0)</f>
        <v>91.494000000000014</v>
      </c>
      <c r="AK28" s="13">
        <f t="shared" si="35"/>
        <v>24.925195840896542</v>
      </c>
      <c r="AL28" s="20">
        <f t="shared" si="4"/>
        <v>202.76343275622813</v>
      </c>
      <c r="AM28" s="59">
        <f t="shared" si="5"/>
        <v>496.09676608956147</v>
      </c>
      <c r="AN28" s="59">
        <f ca="1">AVERAGE(OFFSET($AM$3,0,0,'Données projet'!$E$10+1,1))-AVERAGE(OFFSET($H$3,0,0,'Données projet'!$E$10+1,1))</f>
        <v>216.94426559495264</v>
      </c>
      <c r="AO28" s="59">
        <f t="shared" si="36"/>
        <v>225.33715877618704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0.4643163277694104</v>
      </c>
      <c r="AW28" s="21">
        <f>EXP(-LN(2)/2)*AW27+(1-EXP(-LN(2)/2))/(LN(2)/2)*AQ28*AT28*VLOOKUP('Données projet'!$B$10,Paramètres!$A$1:$I$89,3,0)*0.475*44/12</f>
        <v>0.17953659862676799</v>
      </c>
      <c r="AX28" s="21">
        <f t="shared" si="6"/>
        <v>0.64385292639617842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6.3</v>
      </c>
      <c r="BD28" s="12">
        <f>IF('Données projet'!$A$88&gt;35,BD27+BC28-BL27,IF(A28&lt;'Données projet'!$A$88,$BA$205^A28,IF(A28='Données projet'!$A$88,'Données projet'!$B$88,BD27+BC28-BL27)))</f>
        <v>73.499999999999986</v>
      </c>
      <c r="BE28" s="13">
        <f>BD28*VLOOKUP('Données projet'!$B$11,Paramètres!$A$1:$I$89,3,0)*VLOOKUP('Données projet'!$B$11,Paramètres!$A$1:$I$89,5,0)</f>
        <v>66.502799999999979</v>
      </c>
      <c r="BF28" s="13">
        <f t="shared" si="37"/>
        <v>18.802406075407909</v>
      </c>
      <c r="BG28" s="20">
        <f t="shared" si="7"/>
        <v>148.57323391466869</v>
      </c>
      <c r="BH28" s="59">
        <f t="shared" si="8"/>
        <v>441.90656724800203</v>
      </c>
      <c r="BI28" s="59">
        <f ca="1">AVERAGE(OFFSET($BH$3,0,0,'Données projet'!$E$11+1,1))-AVERAGE(OFFSET($H$3,0,0,'Données projet'!$E$11+1,1))</f>
        <v>237.22177246688199</v>
      </c>
      <c r="BJ28" s="59">
        <f t="shared" si="38"/>
        <v>149.27472147904302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11.8</v>
      </c>
      <c r="BY28" s="12">
        <f>IF('Données projet'!$A$114&gt;35,BY27+BX28-CG27,IF(A28&lt;'Données projet'!$A$114,$BV$205^A28,IF(A28='Données projet'!$A$114,'Données projet'!$B$114,BY27+BX28-CG27)))</f>
        <v>141.00000000000003</v>
      </c>
      <c r="BZ28" s="13">
        <f>BY28*VLOOKUP('Données projet'!$B$12,Paramètres!$A$1:$I$89,3,0)*VLOOKUP('Données projet'!$B$12,Paramètres!$A$1:$I$89,5,0)</f>
        <v>123.17760000000004</v>
      </c>
      <c r="CA28" s="13">
        <f t="shared" si="39"/>
        <v>32.414991240570451</v>
      </c>
      <c r="CB28" s="20">
        <f t="shared" si="10"/>
        <v>270.99042974399362</v>
      </c>
      <c r="CC28" s="59">
        <f t="shared" si="11"/>
        <v>564.32376307732693</v>
      </c>
      <c r="CD28" s="59">
        <f ca="1">AVERAGE(OFFSET($CC$3,0,0,'Données projet'!$E$12+1,1))-AVERAGE(OFFSET($H$3,0,0,'Données projet'!$E$12+1,1))</f>
        <v>223.81948236065614</v>
      </c>
      <c r="CE28" s="59">
        <f t="shared" si="40"/>
        <v>320.1204011431372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4.50110192137174</v>
      </c>
      <c r="CM28" s="21">
        <f>EXP(-LN(2)/2)*CM27+(1-EXP(-LN(2)/2))/(LN(2)/2)*CG28*CJ28*VLOOKUP('Données projet'!$B$12,Paramètres!$A$1:$I$89,3,0)*0.475*44/12</f>
        <v>1.8213857831701104</v>
      </c>
      <c r="CN28" s="22">
        <f t="shared" si="12"/>
        <v>6.3224877045418504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16.399999999999999</v>
      </c>
      <c r="CT28" s="12">
        <f>IF('Données projet'!$A$140&gt;35,CT27+CS28-DB27,IF(A28&lt;'Données projet'!$A$140,$CQ$205^A28,IF(A28='Données projet'!$A$140,'Données projet'!$B$140,CT27+CS28-DB27)))</f>
        <v>178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14.5</v>
      </c>
      <c r="DO28" s="12">
        <f>IF('Données projet'!$A$166&gt;35,DO27+DN28-DW27,IF(A28&lt;'Données projet'!$A$166,$DL$205^A28,IF(A28='Données projet'!$A$166,'Données projet'!$B$166,DO27+DN28-DW27)))</f>
        <v>139.5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</v>
      </c>
      <c r="N29" s="13">
        <f>IF('Données projet'!$A$36&gt;35,N28+M29-V28,IF(A29&lt;'Données projet'!$A$36,$K$205^A29,IF(A29='Données projet'!$A$36,'Données projet'!$B$36,N28+M29-V28)))</f>
        <v>158</v>
      </c>
      <c r="O29" s="13">
        <f>N29*VLOOKUP('Données projet'!$B$9,Paramètres!$A$1:$I$89,3,0)*VLOOKUP('Données projet'!$B$9,Paramètres!$A$1:$I$89,5,0)</f>
        <v>94.484000000000009</v>
      </c>
      <c r="P29" s="13">
        <f t="shared" si="33"/>
        <v>25.643578691511802</v>
      </c>
      <c r="Q29" s="20">
        <f t="shared" si="2"/>
        <v>209.22219955438308</v>
      </c>
      <c r="R29" s="59">
        <f t="shared" si="0"/>
        <v>502.55553288771637</v>
      </c>
      <c r="S29" s="59">
        <f ca="1">AVERAGE(OFFSET($R$3,0,0,'Données projet'!$E$9+1,1))-AVERAGE(OFFSET($H$3,0,0,'Données projet'!$E$9+1,1))</f>
        <v>168.08890945052406</v>
      </c>
      <c r="T29" s="59">
        <f t="shared" si="34"/>
        <v>182.52462557642343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2.8246802238901525</v>
      </c>
      <c r="AA29" s="21">
        <f>EXP(-LN(2)/25)*AA28+(1-EXP(-LN(2)/25))/(LN(2)/25)*Calculateur!V29*Calculateur!X29*VLOOKUP('Données projet'!$B$9,Paramètres!$A$1:$I$89,3,0)*0.475*44/12</f>
        <v>9.1730103101904152</v>
      </c>
      <c r="AB29" s="21">
        <f>EXP(-LN(2)/2)*AB28+(1-EXP(-LN(2)/2))/(LN(2)/2)*V29*Y29*VLOOKUP('Données projet'!$B$9,Paramètres!$A$1:$I$89,3,0)*0.475*44/12</f>
        <v>5.1944341052363434</v>
      </c>
      <c r="AC29" s="22">
        <f t="shared" si="3"/>
        <v>17.192124639316912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</v>
      </c>
      <c r="AI29" s="13">
        <f>IF('Données projet'!$A$62&gt;35,AI28+AH29-AQ28,IF(A29&lt;'Données projet'!$A$62,$AF$205^A29,IF(A29='Données projet'!$A$62,'Données projet'!$B$62,AI28+AH29-AQ28)))</f>
        <v>166</v>
      </c>
      <c r="AJ29" s="13">
        <f>AI29*VLOOKUP('Données projet'!$B$10,Paramètres!$A$1:$I$89,3,0)*VLOOKUP('Données projet'!$B$10,Paramètres!$A$1:$I$89,5,0)</f>
        <v>99.268000000000001</v>
      </c>
      <c r="AK29" s="13">
        <f t="shared" si="35"/>
        <v>26.78753414535981</v>
      </c>
      <c r="AL29" s="20">
        <f t="shared" si="4"/>
        <v>219.54672196983498</v>
      </c>
      <c r="AM29" s="59">
        <f t="shared" si="5"/>
        <v>512.88005530316832</v>
      </c>
      <c r="AN29" s="59">
        <f ca="1">AVERAGE(OFFSET($AM$3,0,0,'Données projet'!$E$10+1,1))-AVERAGE(OFFSET($H$3,0,0,'Données projet'!$E$10+1,1))</f>
        <v>216.94426559495264</v>
      </c>
      <c r="AO29" s="59">
        <f t="shared" si="36"/>
        <v>225.33715877618704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0.45161957336922143</v>
      </c>
      <c r="AW29" s="21">
        <f>EXP(-LN(2)/2)*AW28+(1-EXP(-LN(2)/2))/(LN(2)/2)*AQ29*AT29*VLOOKUP('Données projet'!$B$10,Paramètres!$A$1:$I$89,3,0)*0.475*44/12</f>
        <v>0.12695154636015504</v>
      </c>
      <c r="AX29" s="21">
        <f t="shared" si="6"/>
        <v>0.57857111972937647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6.3</v>
      </c>
      <c r="BD29" s="12">
        <f>IF('Données projet'!$A$88&gt;35,BD28+BC29-BL28,IF(A29&lt;'Données projet'!$A$88,$BA$205^A29,IF(A29='Données projet'!$A$88,'Données projet'!$B$88,BD28+BC29-BL28)))</f>
        <v>79.799999999999983</v>
      </c>
      <c r="BE29" s="13">
        <f>BD29*VLOOKUP('Données projet'!$B$11,Paramètres!$A$1:$I$89,3,0)*VLOOKUP('Données projet'!$B$11,Paramètres!$A$1:$I$89,5,0)</f>
        <v>72.203039999999973</v>
      </c>
      <c r="BF29" s="13">
        <f t="shared" si="37"/>
        <v>20.219559499787128</v>
      </c>
      <c r="BG29" s="20">
        <f t="shared" si="7"/>
        <v>160.96936079546251</v>
      </c>
      <c r="BH29" s="59">
        <f t="shared" si="8"/>
        <v>454.30269412879579</v>
      </c>
      <c r="BI29" s="59">
        <f ca="1">AVERAGE(OFFSET($BH$3,0,0,'Données projet'!$E$11+1,1))-AVERAGE(OFFSET($H$3,0,0,'Données projet'!$E$11+1,1))</f>
        <v>237.22177246688199</v>
      </c>
      <c r="BJ29" s="59">
        <f t="shared" si="38"/>
        <v>149.27472147904302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11.8</v>
      </c>
      <c r="BY29" s="12">
        <f>IF('Données projet'!$A$114&gt;35,BY28+BX29-CG28,IF(A29&lt;'Données projet'!$A$114,$BV$205^A29,IF(A29='Données projet'!$A$114,'Données projet'!$B$114,BY28+BX29-CG28)))</f>
        <v>152.80000000000004</v>
      </c>
      <c r="BZ29" s="13">
        <f>BY29*VLOOKUP('Données projet'!$B$12,Paramètres!$A$1:$I$89,3,0)*VLOOKUP('Données projet'!$B$12,Paramètres!$A$1:$I$89,5,0)</f>
        <v>133.48608000000004</v>
      </c>
      <c r="CA29" s="13">
        <f t="shared" si="39"/>
        <v>34.800645252320514</v>
      </c>
      <c r="CB29" s="20">
        <f t="shared" si="10"/>
        <v>293.09937981445825</v>
      </c>
      <c r="CC29" s="59">
        <f t="shared" si="11"/>
        <v>586.43271314779156</v>
      </c>
      <c r="CD29" s="59">
        <f ca="1">AVERAGE(OFFSET($CC$3,0,0,'Données projet'!$E$12+1,1))-AVERAGE(OFFSET($H$3,0,0,'Données projet'!$E$12+1,1))</f>
        <v>223.81948236065614</v>
      </c>
      <c r="CE29" s="59">
        <f t="shared" si="40"/>
        <v>320.1204011431372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4.3780190526291669</v>
      </c>
      <c r="CM29" s="21">
        <f>EXP(-LN(2)/2)*CM28+(1-EXP(-LN(2)/2))/(LN(2)/2)*CG29*CJ29*VLOOKUP('Données projet'!$B$12,Paramètres!$A$1:$I$89,3,0)*0.475*44/12</f>
        <v>1.2879142384363558</v>
      </c>
      <c r="CN29" s="22">
        <f t="shared" si="12"/>
        <v>5.6659332910655227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16.399999999999999</v>
      </c>
      <c r="CT29" s="12">
        <f>IF('Données projet'!$A$140&gt;35,CT28+CS29-DB28,IF(A29&lt;'Données projet'!$A$140,$CQ$205^A29,IF(A29='Données projet'!$A$140,'Données projet'!$B$140,CT28+CS29-DB28)))</f>
        <v>194.4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14.5</v>
      </c>
      <c r="DO29" s="12">
        <f>IF('Données projet'!$A$166&gt;35,DO28+DN29-DW28,IF(A29&lt;'Données projet'!$A$166,$DL$205^A29,IF(A29='Données projet'!$A$166,'Données projet'!$B$166,DO28+DN29-DW28)))</f>
        <v>154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</v>
      </c>
      <c r="N30" s="13">
        <f>IF('Données projet'!$A$36&gt;35,N29+M30-V29,IF(A30&lt;'Données projet'!$A$36,$K$205^A30,IF(A30='Données projet'!$A$36,'Données projet'!$B$36,N29+M30-V29)))</f>
        <v>174</v>
      </c>
      <c r="O30" s="13">
        <f>N30*VLOOKUP('Données projet'!$B$9,Paramètres!$A$1:$I$89,3,0)*VLOOKUP('Données projet'!$B$9,Paramètres!$A$1:$I$89,5,0)</f>
        <v>104.05200000000001</v>
      </c>
      <c r="P30" s="13">
        <f t="shared" si="33"/>
        <v>27.925087771564417</v>
      </c>
      <c r="Q30" s="20">
        <f t="shared" si="2"/>
        <v>229.86009453547467</v>
      </c>
      <c r="R30" s="59">
        <f t="shared" si="0"/>
        <v>523.19342786880793</v>
      </c>
      <c r="S30" s="59">
        <f ca="1">AVERAGE(OFFSET($R$3,0,0,'Données projet'!$E$9+1,1))-AVERAGE(OFFSET($H$3,0,0,'Données projet'!$E$9+1,1))</f>
        <v>168.08890945052406</v>
      </c>
      <c r="T30" s="59">
        <f t="shared" si="34"/>
        <v>182.52462557642343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2.7692899675844824</v>
      </c>
      <c r="AA30" s="21">
        <f>EXP(-LN(2)/25)*AA29+(1-EXP(-LN(2)/25))/(LN(2)/25)*Calculateur!V30*Calculateur!X30*VLOOKUP('Données projet'!$B$9,Paramètres!$A$1:$I$89,3,0)*0.475*44/12</f>
        <v>8.9221738608706112</v>
      </c>
      <c r="AB30" s="21">
        <f>EXP(-LN(2)/2)*AB29+(1-EXP(-LN(2)/2))/(LN(2)/2)*V30*Y30*VLOOKUP('Données projet'!$B$9,Paramètres!$A$1:$I$89,3,0)*0.475*44/12</f>
        <v>3.6730195802392953</v>
      </c>
      <c r="AC30" s="22">
        <f t="shared" si="3"/>
        <v>15.364483408694388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</v>
      </c>
      <c r="AI30" s="13">
        <f>IF('Données projet'!$A$62&gt;35,AI29+AH30-AQ29,IF(A30&lt;'Données projet'!$A$62,$AF$205^A30,IF(A30='Données projet'!$A$62,'Données projet'!$B$62,AI29+AH30-AQ29)))</f>
        <v>179</v>
      </c>
      <c r="AJ30" s="13">
        <f>AI30*VLOOKUP('Données projet'!$B$10,Paramètres!$A$1:$I$89,3,0)*VLOOKUP('Données projet'!$B$10,Paramètres!$A$1:$I$89,5,0)</f>
        <v>107.042</v>
      </c>
      <c r="AK30" s="13">
        <f t="shared" si="35"/>
        <v>28.632954900548082</v>
      </c>
      <c r="AL30" s="20">
        <f t="shared" si="4"/>
        <v>236.30054645178791</v>
      </c>
      <c r="AM30" s="59">
        <f t="shared" si="5"/>
        <v>529.63387978512128</v>
      </c>
      <c r="AN30" s="59">
        <f ca="1">AVERAGE(OFFSET($AM$3,0,0,'Données projet'!$E$10+1,1))-AVERAGE(OFFSET($H$3,0,0,'Données projet'!$E$10+1,1))</f>
        <v>216.94426559495264</v>
      </c>
      <c r="AO30" s="59">
        <f t="shared" si="36"/>
        <v>225.33715877618704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0.43927001238579888</v>
      </c>
      <c r="AW30" s="21">
        <f>EXP(-LN(2)/2)*AW29+(1-EXP(-LN(2)/2))/(LN(2)/2)*AQ30*AT30*VLOOKUP('Données projet'!$B$10,Paramètres!$A$1:$I$89,3,0)*0.475*44/12</f>
        <v>8.9768299313383995E-2</v>
      </c>
      <c r="AX30" s="21">
        <f t="shared" si="6"/>
        <v>0.52903831169918292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6.3</v>
      </c>
      <c r="BD30" s="12">
        <f>IF('Données projet'!$A$88&gt;35,BD29+BC30-BL29,IF(A30&lt;'Données projet'!$A$88,$BA$205^A30,IF(A30='Données projet'!$A$88,'Données projet'!$B$88,BD29+BC30-BL29)))</f>
        <v>86.09999999999998</v>
      </c>
      <c r="BE30" s="13">
        <f>BD30*VLOOKUP('Données projet'!$B$11,Paramètres!$A$1:$I$89,3,0)*VLOOKUP('Données projet'!$B$11,Paramètres!$A$1:$I$89,5,0)</f>
        <v>77.903279999999981</v>
      </c>
      <c r="BF30" s="13">
        <f t="shared" si="37"/>
        <v>21.623735462576285</v>
      </c>
      <c r="BG30" s="20">
        <f t="shared" si="7"/>
        <v>173.342885263987</v>
      </c>
      <c r="BH30" s="59">
        <f t="shared" si="8"/>
        <v>466.67621859732031</v>
      </c>
      <c r="BI30" s="59">
        <f ca="1">AVERAGE(OFFSET($BH$3,0,0,'Données projet'!$E$11+1,1))-AVERAGE(OFFSET($H$3,0,0,'Données projet'!$E$11+1,1))</f>
        <v>237.22177246688199</v>
      </c>
      <c r="BJ30" s="59">
        <f t="shared" si="38"/>
        <v>149.27472147904302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11.8</v>
      </c>
      <c r="BY30" s="12">
        <f>IF('Données projet'!$A$114&gt;35,BY29+BX30-CG29,IF(A30&lt;'Données projet'!$A$114,$BV$205^A30,IF(A30='Données projet'!$A$114,'Données projet'!$B$114,BY29+BX30-CG29)))</f>
        <v>164.60000000000005</v>
      </c>
      <c r="BZ30" s="13">
        <f>BY30*VLOOKUP('Données projet'!$B$12,Paramètres!$A$1:$I$89,3,0)*VLOOKUP('Données projet'!$B$12,Paramètres!$A$1:$I$89,5,0)</f>
        <v>143.79456000000005</v>
      </c>
      <c r="CA30" s="13">
        <f t="shared" si="39"/>
        <v>37.164928293001893</v>
      </c>
      <c r="CB30" s="20">
        <f t="shared" si="10"/>
        <v>315.17110877697831</v>
      </c>
      <c r="CC30" s="59">
        <f t="shared" si="11"/>
        <v>608.50444211031163</v>
      </c>
      <c r="CD30" s="59">
        <f ca="1">AVERAGE(OFFSET($CC$3,0,0,'Données projet'!$E$12+1,1))-AVERAGE(OFFSET($H$3,0,0,'Données projet'!$E$12+1,1))</f>
        <v>223.81948236065614</v>
      </c>
      <c r="CE30" s="59">
        <f t="shared" si="40"/>
        <v>320.1204011431372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4.2583018914050061</v>
      </c>
      <c r="CM30" s="21">
        <f>EXP(-LN(2)/2)*CM29+(1-EXP(-LN(2)/2))/(LN(2)/2)*CG30*CJ30*VLOOKUP('Données projet'!$B$12,Paramètres!$A$1:$I$89,3,0)*0.475*44/12</f>
        <v>0.91069289158505529</v>
      </c>
      <c r="CN30" s="22">
        <f t="shared" si="12"/>
        <v>5.1689947829900618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16.399999999999999</v>
      </c>
      <c r="CT30" s="12">
        <f>IF('Données projet'!$A$140&gt;35,CT29+CS30-DB29,IF(A30&lt;'Données projet'!$A$140,$CQ$205^A30,IF(A30='Données projet'!$A$140,'Données projet'!$B$140,CT29+CS30-DB29)))</f>
        <v>210.8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14.5</v>
      </c>
      <c r="DO30" s="12">
        <f>IF('Données projet'!$A$166&gt;35,DO29+DN30-DW29,IF(A30&lt;'Données projet'!$A$166,$DL$205^A30,IF(A30='Données projet'!$A$166,'Données projet'!$B$166,DO29+DN30-DW29)))</f>
        <v>168.5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190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190</v>
      </c>
      <c r="O31" s="13">
        <f>N31*VLOOKUP('Données projet'!$B$9,Paramètres!$A$1:$I$89,3,0)*VLOOKUP('Données projet'!$B$9,Paramètres!$A$1:$I$89,5,0)</f>
        <v>113.62</v>
      </c>
      <c r="P31" s="13">
        <f t="shared" si="33"/>
        <v>30.182270904187739</v>
      </c>
      <c r="Q31" s="20">
        <f t="shared" si="2"/>
        <v>250.45562182479364</v>
      </c>
      <c r="R31" s="59">
        <f t="shared" si="0"/>
        <v>543.78895515812701</v>
      </c>
      <c r="S31" s="59">
        <f ca="1">AVERAGE(OFFSET($R$3,0,0,'Données projet'!$E$9+1,1))-AVERAGE(OFFSET($H$3,0,0,'Données projet'!$E$9+1,1))</f>
        <v>168.08890945052406</v>
      </c>
      <c r="T31" s="59">
        <f t="shared" si="34"/>
        <v>182.52462557642343</v>
      </c>
      <c r="U31" s="15">
        <f>IF(ISNA(VLOOKUP(A31,'Données projet'!$A$35:$I$55,3,0)),0,VLOOKUP(A31,'Données projet'!$A$35:$I$55,3,0))</f>
        <v>4</v>
      </c>
      <c r="V31" s="15">
        <f>IF(ISNA(VLOOKUP(A31,'Données projet'!$A$35:$I$55,4,0)),0,VLOOKUP(A31,'Données projet'!$A$35:$I$55,4,0))</f>
        <v>35</v>
      </c>
      <c r="W31" s="16">
        <f>IF(ISNA(VLOOKUP(A31,'Données projet'!$A$35:$I$55,5,0)),0%,VLOOKUP(A31,'Données projet'!$A$35:$I$55,5,0)*VLOOKUP('Données projet'!$B$9,Paramètres!$A$1:$I$89,7,0))</f>
        <v>0.13500000000000001</v>
      </c>
      <c r="X31" s="16">
        <f>IF(ISNA(VLOOKUP(A31,'Données projet'!$A$35:$I$55,6,0)),0%,VLOOKUP(A31,'Données projet'!$A$35:$I$55,6,0)*VLOOKUP('Données projet'!$B$9,Paramètres!$A$1:$I$89,7,0))</f>
        <v>0.1575</v>
      </c>
      <c r="Y31" s="16">
        <f>IF(ISNA(VLOOKUP(A31,'Données projet'!$A$35:$I$55,7,0)),0%,VLOOKUP(A31,'Données projet'!$A$35:$I$55,7,0))</f>
        <v>0.35</v>
      </c>
      <c r="Z31" s="21">
        <f>EXP(-LN(2)/35)*Z30+(1-EXP(-LN(2)/35))/(LN(2)/35)*V31*W31*VLOOKUP('Données projet'!$B$9,Paramètres!$A$1:$I$89,3,0)*0.475*44/12</f>
        <v>6.4632600774874396</v>
      </c>
      <c r="AA31" s="21">
        <f>EXP(-LN(2)/25)*AA30+(1-EXP(-LN(2)/25))/(LN(2)/25)*Calculateur!V31*Calculateur!X31*VLOOKUP('Données projet'!$B$9,Paramètres!$A$1:$I$89,3,0)*0.475*44/12</f>
        <v>13.033964996355422</v>
      </c>
      <c r="AB31" s="21">
        <f>EXP(-LN(2)/2)*AB30+(1-EXP(-LN(2)/2))/(LN(2)/2)*V31*Y31*VLOOKUP('Données projet'!$B$9,Paramètres!$A$1:$I$89,3,0)*0.475*44/12</f>
        <v>10.891384748148297</v>
      </c>
      <c r="AC31" s="22">
        <f t="shared" si="3"/>
        <v>30.38860982199116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</v>
      </c>
      <c r="AI31" s="13">
        <f>IF('Données projet'!$A$62&gt;35,AI30+AH31-AQ30,IF(A31&lt;'Données projet'!$A$62,$AF$205^A31,IF(A31='Données projet'!$A$62,'Données projet'!$B$62,AI30+AH31-AQ30)))</f>
        <v>192</v>
      </c>
      <c r="AJ31" s="13">
        <f>AI31*VLOOKUP('Données projet'!$B$10,Paramètres!$A$1:$I$89,3,0)*VLOOKUP('Données projet'!$B$10,Paramètres!$A$1:$I$89,5,0)</f>
        <v>114.81600000000002</v>
      </c>
      <c r="AK31" s="13">
        <f t="shared" si="35"/>
        <v>30.462826482209831</v>
      </c>
      <c r="AL31" s="20">
        <f t="shared" si="4"/>
        <v>253.02728945651543</v>
      </c>
      <c r="AM31" s="59">
        <f t="shared" si="5"/>
        <v>546.36062278984878</v>
      </c>
      <c r="AN31" s="59">
        <f ca="1">AVERAGE(OFFSET($AM$3,0,0,'Données projet'!$E$10+1,1))-AVERAGE(OFFSET($H$3,0,0,'Données projet'!$E$10+1,1))</f>
        <v>216.94426559495264</v>
      </c>
      <c r="AO31" s="59">
        <f t="shared" si="36"/>
        <v>225.33715877618704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0.42725815079690321</v>
      </c>
      <c r="AW31" s="21">
        <f>EXP(-LN(2)/2)*AW30+(1-EXP(-LN(2)/2))/(LN(2)/2)*AQ31*AT31*VLOOKUP('Données projet'!$B$10,Paramètres!$A$1:$I$89,3,0)*0.475*44/12</f>
        <v>6.3475773180077522E-2</v>
      </c>
      <c r="AX31" s="21">
        <f t="shared" si="6"/>
        <v>0.49073392397698073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6.3</v>
      </c>
      <c r="BD31" s="12">
        <f>IF('Données projet'!$A$88&gt;35,BD30+BC31-BL30,IF(A31&lt;'Données projet'!$A$88,$BA$205^A31,IF(A31='Données projet'!$A$88,'Données projet'!$B$88,BD30+BC31-BL30)))</f>
        <v>92.399999999999977</v>
      </c>
      <c r="BE31" s="13">
        <f>BD31*VLOOKUP('Données projet'!$B$11,Paramètres!$A$1:$I$89,3,0)*VLOOKUP('Données projet'!$B$11,Paramètres!$A$1:$I$89,5,0)</f>
        <v>83.603519999999975</v>
      </c>
      <c r="BF31" s="13">
        <f t="shared" si="37"/>
        <v>23.015991519299678</v>
      </c>
      <c r="BG31" s="20">
        <f t="shared" si="7"/>
        <v>185.69564922944687</v>
      </c>
      <c r="BH31" s="59">
        <f t="shared" si="8"/>
        <v>479.02898256278019</v>
      </c>
      <c r="BI31" s="59">
        <f ca="1">AVERAGE(OFFSET($BH$3,0,0,'Données projet'!$E$11+1,1))-AVERAGE(OFFSET($H$3,0,0,'Données projet'!$E$11+1,1))</f>
        <v>237.22177246688199</v>
      </c>
      <c r="BJ31" s="59">
        <f t="shared" si="38"/>
        <v>149.27472147904302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11.8</v>
      </c>
      <c r="BY31" s="12">
        <f>IF('Données projet'!$A$114&gt;35,BY30+BX31-CG30,IF(A31&lt;'Données projet'!$A$114,$BV$205^A31,IF(A31='Données projet'!$A$114,'Données projet'!$B$114,BY30+BX31-CG30)))</f>
        <v>176.40000000000006</v>
      </c>
      <c r="BZ31" s="13">
        <f>BY31*VLOOKUP('Données projet'!$B$12,Paramètres!$A$1:$I$89,3,0)*VLOOKUP('Données projet'!$B$12,Paramètres!$A$1:$I$89,5,0)</f>
        <v>154.10304000000008</v>
      </c>
      <c r="CA31" s="13">
        <f t="shared" si="39"/>
        <v>39.509546668758176</v>
      </c>
      <c r="CB31" s="20">
        <f t="shared" si="10"/>
        <v>337.20858844808726</v>
      </c>
      <c r="CC31" s="59">
        <f t="shared" si="11"/>
        <v>630.54192178142057</v>
      </c>
      <c r="CD31" s="59">
        <f ca="1">AVERAGE(OFFSET($CC$3,0,0,'Données projet'!$E$12+1,1))-AVERAGE(OFFSET($H$3,0,0,'Données projet'!$E$12+1,1))</f>
        <v>223.81948236065614</v>
      </c>
      <c r="CE31" s="59">
        <f t="shared" si="40"/>
        <v>320.1204011431372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4.1418584022501719</v>
      </c>
      <c r="CM31" s="21">
        <f>EXP(-LN(2)/2)*CM30+(1-EXP(-LN(2)/2))/(LN(2)/2)*CG31*CJ31*VLOOKUP('Données projet'!$B$12,Paramètres!$A$1:$I$89,3,0)*0.475*44/12</f>
        <v>0.643957119218178</v>
      </c>
      <c r="CN31" s="22">
        <f t="shared" si="12"/>
        <v>4.7858155214683498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16.399999999999999</v>
      </c>
      <c r="CT31" s="12">
        <f>IF('Données projet'!$A$140&gt;35,CT30+CS31-DB30,IF(A31&lt;'Données projet'!$A$140,$CQ$205^A31,IF(A31='Données projet'!$A$140,'Données projet'!$B$140,CT30+CS31-DB30)))</f>
        <v>227.20000000000002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14.5</v>
      </c>
      <c r="DO31" s="12">
        <f>IF('Données projet'!$A$166&gt;35,DO30+DN31-DW30,IF(A31&lt;'Données projet'!$A$166,$DL$205^A31,IF(A31='Données projet'!$A$166,'Données projet'!$B$166,DO30+DN31-DW30)))</f>
        <v>183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14.833333333333334</v>
      </c>
      <c r="N32" s="13">
        <f>IF('Données projet'!$A$36&gt;35,N31+M32-V31,IF(A32&lt;'Données projet'!$A$36,$K$205^A32,IF(A32='Données projet'!$A$36,'Données projet'!$B$36,N31+M32-V31)))</f>
        <v>169.83333333333334</v>
      </c>
      <c r="O32" s="13">
        <f>N32*VLOOKUP('Données projet'!$B$9,Paramètres!$A$1:$I$89,3,0)*VLOOKUP('Données projet'!$B$9,Paramètres!$A$1:$I$89,5,0)</f>
        <v>101.56033333333333</v>
      </c>
      <c r="P32" s="13">
        <f t="shared" si="33"/>
        <v>27.333389821325063</v>
      </c>
      <c r="Q32" s="20">
        <f t="shared" si="2"/>
        <v>224.48990116103005</v>
      </c>
      <c r="R32" s="59">
        <f t="shared" si="0"/>
        <v>517.82323449436331</v>
      </c>
      <c r="S32" s="59">
        <f ca="1">AVERAGE(OFFSET($R$3,0,0,'Données projet'!$E$9+1,1))-AVERAGE(OFFSET($H$3,0,0,'Données projet'!$E$9+1,1))</f>
        <v>168.08890945052406</v>
      </c>
      <c r="T32" s="59">
        <f t="shared" si="34"/>
        <v>182.52462557642343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6.3365194895672987</v>
      </c>
      <c r="AA32" s="21">
        <f>EXP(-LN(2)/25)*AA31+(1-EXP(-LN(2)/25))/(LN(2)/25)*Calculateur!V32*Calculateur!X32*VLOOKUP('Données projet'!$B$9,Paramètres!$A$1:$I$89,3,0)*0.475*44/12</f>
        <v>12.677550538103654</v>
      </c>
      <c r="AB32" s="21">
        <f>EXP(-LN(2)/2)*AB31+(1-EXP(-LN(2)/2))/(LN(2)/2)*V32*Y32*VLOOKUP('Données projet'!$B$9,Paramètres!$A$1:$I$89,3,0)*0.475*44/12</f>
        <v>7.7013720119273996</v>
      </c>
      <c r="AC32" s="22">
        <f t="shared" si="3"/>
        <v>26.715442039598354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</v>
      </c>
      <c r="AI32" s="13">
        <f>IF('Données projet'!$A$62&gt;35,AI31+AH32-AQ31,IF(A32&lt;'Données projet'!$A$62,$AF$205^A32,IF(A32='Données projet'!$A$62,'Données projet'!$B$62,AI31+AH32-AQ31)))</f>
        <v>205</v>
      </c>
      <c r="AJ32" s="13">
        <f>AI32*VLOOKUP('Données projet'!$B$10,Paramètres!$A$1:$I$89,3,0)*VLOOKUP('Données projet'!$B$10,Paramètres!$A$1:$I$89,5,0)</f>
        <v>122.59</v>
      </c>
      <c r="AK32" s="13">
        <f t="shared" si="35"/>
        <v>32.278321478706822</v>
      </c>
      <c r="AL32" s="20">
        <f t="shared" si="4"/>
        <v>269.72899324208106</v>
      </c>
      <c r="AM32" s="59">
        <f t="shared" si="5"/>
        <v>563.06232657541432</v>
      </c>
      <c r="AN32" s="59">
        <f ca="1">AVERAGE(OFFSET($AM$3,0,0,'Données projet'!$E$10+1,1))-AVERAGE(OFFSET($H$3,0,0,'Données projet'!$E$10+1,1))</f>
        <v>216.94426559495264</v>
      </c>
      <c r="AO32" s="59">
        <f t="shared" si="36"/>
        <v>225.33715877618704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0.41557475419483225</v>
      </c>
      <c r="AW32" s="21">
        <f>EXP(-LN(2)/2)*AW31+(1-EXP(-LN(2)/2))/(LN(2)/2)*AQ32*AT32*VLOOKUP('Données projet'!$B$10,Paramètres!$A$1:$I$89,3,0)*0.475*44/12</f>
        <v>4.4884149656691998E-2</v>
      </c>
      <c r="AX32" s="21">
        <f t="shared" si="6"/>
        <v>0.46045890385152427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6.3</v>
      </c>
      <c r="BD32" s="12">
        <f>IF('Données projet'!$A$88&gt;35,BD31+BC32-BL31,IF(A32&lt;'Données projet'!$A$88,$BA$205^A32,IF(A32='Données projet'!$A$88,'Données projet'!$B$88,BD31+BC32-BL31)))</f>
        <v>98.699999999999974</v>
      </c>
      <c r="BE32" s="13">
        <f>BD32*VLOOKUP('Données projet'!$B$11,Paramètres!$A$1:$I$89,3,0)*VLOOKUP('Données projet'!$B$11,Paramètres!$A$1:$I$89,5,0)</f>
        <v>89.303759999999968</v>
      </c>
      <c r="BF32" s="13">
        <f t="shared" si="37"/>
        <v>24.397232850954325</v>
      </c>
      <c r="BG32" s="20">
        <f t="shared" si="7"/>
        <v>198.02922921541202</v>
      </c>
      <c r="BH32" s="59">
        <f t="shared" si="8"/>
        <v>491.36256254874536</v>
      </c>
      <c r="BI32" s="59">
        <f ca="1">AVERAGE(OFFSET($BH$3,0,0,'Données projet'!$E$11+1,1))-AVERAGE(OFFSET($H$3,0,0,'Données projet'!$E$11+1,1))</f>
        <v>237.22177246688199</v>
      </c>
      <c r="BJ32" s="59">
        <f t="shared" si="38"/>
        <v>149.27472147904302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11.8</v>
      </c>
      <c r="BY32" s="12">
        <f>IF('Données projet'!$A$114&gt;35,BY31+BX32-CG31,IF(A32&lt;'Données projet'!$A$114,$BV$205^A32,IF(A32='Données projet'!$A$114,'Données projet'!$B$114,BY31+BX32-CG31)))</f>
        <v>188.20000000000007</v>
      </c>
      <c r="BZ32" s="13">
        <f>BY32*VLOOKUP('Données projet'!$B$12,Paramètres!$A$1:$I$89,3,0)*VLOOKUP('Données projet'!$B$12,Paramètres!$A$1:$I$89,5,0)</f>
        <v>164.41152000000008</v>
      </c>
      <c r="CA32" s="13">
        <f t="shared" si="39"/>
        <v>41.835965488659568</v>
      </c>
      <c r="CB32" s="20">
        <f t="shared" si="10"/>
        <v>359.21437055941556</v>
      </c>
      <c r="CC32" s="59">
        <f t="shared" si="11"/>
        <v>652.54770389274881</v>
      </c>
      <c r="CD32" s="59">
        <f ca="1">AVERAGE(OFFSET($CC$3,0,0,'Données projet'!$E$12+1,1))-AVERAGE(OFFSET($H$3,0,0,'Données projet'!$E$12+1,1))</f>
        <v>223.81948236065614</v>
      </c>
      <c r="CE32" s="59">
        <f t="shared" si="40"/>
        <v>320.1204011431372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4.0285990664297735</v>
      </c>
      <c r="CM32" s="21">
        <f>EXP(-LN(2)/2)*CM31+(1-EXP(-LN(2)/2))/(LN(2)/2)*CG32*CJ32*VLOOKUP('Données projet'!$B$12,Paramètres!$A$1:$I$89,3,0)*0.475*44/12</f>
        <v>0.4553464457925277</v>
      </c>
      <c r="CN32" s="22">
        <f t="shared" si="12"/>
        <v>4.4839455122223013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16.399999999999999</v>
      </c>
      <c r="CT32" s="12">
        <f>IF('Données projet'!$A$140&gt;35,CT31+CS32-DB31,IF(A32&lt;'Données projet'!$A$140,$CQ$205^A32,IF(A32='Données projet'!$A$140,'Données projet'!$B$140,CT31+CS32-DB31)))</f>
        <v>243.60000000000002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14.5</v>
      </c>
      <c r="DO32" s="12">
        <f>IF('Données projet'!$A$166&gt;35,DO31+DN32-DW31,IF(A32&lt;'Données projet'!$A$166,$DL$205^A32,IF(A32='Données projet'!$A$166,'Données projet'!$B$166,DO31+DN32-DW31)))</f>
        <v>197.5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14.833333333333334</v>
      </c>
      <c r="N33" s="13">
        <f>IF('Données projet'!$A$36&gt;35,N32+M33-V32,IF(A33&lt;'Données projet'!$A$36,$K$205^A33,IF(A33='Données projet'!$A$36,'Données projet'!$B$36,N32+M33-V32)))</f>
        <v>184.66666666666669</v>
      </c>
      <c r="O33" s="13">
        <f>N33*VLOOKUP('Données projet'!$B$9,Paramètres!$A$1:$I$89,3,0)*VLOOKUP('Données projet'!$B$9,Paramètres!$A$1:$I$89,5,0)</f>
        <v>110.43066666666668</v>
      </c>
      <c r="P33" s="13">
        <f t="shared" si="33"/>
        <v>29.43242991113809</v>
      </c>
      <c r="Q33" s="20">
        <f t="shared" si="2"/>
        <v>243.5948932063433</v>
      </c>
      <c r="R33" s="59">
        <f t="shared" si="0"/>
        <v>536.92822653967664</v>
      </c>
      <c r="S33" s="59">
        <f ca="1">AVERAGE(OFFSET($R$3,0,0,'Données projet'!$E$9+1,1))-AVERAGE(OFFSET($H$3,0,0,'Données projet'!$E$9+1,1))</f>
        <v>168.08890945052406</v>
      </c>
      <c r="T33" s="59">
        <f t="shared" si="34"/>
        <v>182.52462557642343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6.2122642072721463</v>
      </c>
      <c r="AA33" s="21">
        <f>EXP(-LN(2)/25)*AA32+(1-EXP(-LN(2)/25))/(LN(2)/25)*Calculateur!V33*Calculateur!X33*VLOOKUP('Données projet'!$B$9,Paramètres!$A$1:$I$89,3,0)*0.475*44/12</f>
        <v>12.330882251955801</v>
      </c>
      <c r="AB33" s="21">
        <f>EXP(-LN(2)/2)*AB32+(1-EXP(-LN(2)/2))/(LN(2)/2)*V33*Y33*VLOOKUP('Données projet'!$B$9,Paramètres!$A$1:$I$89,3,0)*0.475*44/12</f>
        <v>5.4456923740741496</v>
      </c>
      <c r="AC33" s="22">
        <f t="shared" si="3"/>
        <v>23.988838833302097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218</v>
      </c>
      <c r="AG33" s="12">
        <f>VLOOKUP(A33,'Données projet'!$A$61:$I$81,9,0)</f>
        <v>13</v>
      </c>
      <c r="AH33" s="12">
        <f t="array" ref="AH33">INDEX(AG:AG,MIN(IF(ISNUMBER(AG33:AG229),ROW(AG33:AG229),"")))</f>
        <v>13</v>
      </c>
      <c r="AI33" s="13">
        <f>IF('Données projet'!$A$62&gt;35,AI32+AH33-AQ32,IF(A33&lt;'Données projet'!$A$62,$AF$205^A33,IF(A33='Données projet'!$A$62,'Données projet'!$B$62,AI32+AH33-AQ32)))</f>
        <v>218</v>
      </c>
      <c r="AJ33" s="13">
        <f>AI33*VLOOKUP('Données projet'!$B$10,Paramètres!$A$1:$I$89,3,0)*VLOOKUP('Données projet'!$B$10,Paramètres!$A$1:$I$89,5,0)</f>
        <v>130.364</v>
      </c>
      <c r="AK33" s="13">
        <f t="shared" si="35"/>
        <v>34.080455352788661</v>
      </c>
      <c r="AL33" s="20">
        <f t="shared" si="4"/>
        <v>286.40742640610694</v>
      </c>
      <c r="AM33" s="59">
        <f t="shared" si="5"/>
        <v>579.74075973944025</v>
      </c>
      <c r="AN33" s="59">
        <f ca="1">AVERAGE(OFFSET($AM$3,0,0,'Données projet'!$E$10+1,1))-AVERAGE(OFFSET($H$3,0,0,'Données projet'!$E$10+1,1))</f>
        <v>216.94426559495264</v>
      </c>
      <c r="AO33" s="59">
        <f t="shared" si="36"/>
        <v>225.33715877618704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70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0.22500000000000001</v>
      </c>
      <c r="AT33" s="16">
        <f>IF(ISNA(VLOOKUP(A33,'Données projet'!$A$61:$I$81,7,0)),0%,VLOOKUP(A33,'Données projet'!$A$61:$I$81,7,0))</f>
        <v>0.5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12.84926355185025</v>
      </c>
      <c r="AW33" s="21">
        <f>EXP(-LN(2)/2)*AW32+(1-EXP(-LN(2)/2))/(LN(2)/2)*AQ33*AT33*VLOOKUP('Données projet'!$B$10,Paramètres!$A$1:$I$89,3,0)*0.475*44/12</f>
        <v>23.729359873818968</v>
      </c>
      <c r="AX33" s="21">
        <f t="shared" si="6"/>
        <v>36.578623425669221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105</v>
      </c>
      <c r="BB33" s="12">
        <f>VLOOKUP(A33,'Données projet'!$A$87:$I$107,9,0)</f>
        <v>6.3</v>
      </c>
      <c r="BC33" s="12">
        <f t="array" ref="BC33">INDEX(BB:BB,MIN(IF(ISNUMBER(BB33:BB229),ROW(BB33:BB229),"")))</f>
        <v>6.3</v>
      </c>
      <c r="BD33" s="12">
        <f>IF('Données projet'!$A$88&gt;35,BD32+BC33-BL32,IF(A33&lt;'Données projet'!$A$88,$BA$205^A33,IF(A33='Données projet'!$A$88,'Données projet'!$B$88,BD32+BC33-BL32)))</f>
        <v>104.99999999999997</v>
      </c>
      <c r="BE33" s="13">
        <f>BD33*VLOOKUP('Données projet'!$B$11,Paramètres!$A$1:$I$89,3,0)*VLOOKUP('Données projet'!$B$11,Paramètres!$A$1:$I$89,5,0)</f>
        <v>95.003999999999962</v>
      </c>
      <c r="BF33" s="13">
        <f t="shared" si="37"/>
        <v>25.768242550600764</v>
      </c>
      <c r="BG33" s="20">
        <f t="shared" si="7"/>
        <v>210.34498910896289</v>
      </c>
      <c r="BH33" s="59">
        <f t="shared" si="8"/>
        <v>503.67832244229623</v>
      </c>
      <c r="BI33" s="59">
        <f ca="1">AVERAGE(OFFSET($BH$3,0,0,'Données projet'!$E$11+1,1))-AVERAGE(OFFSET($H$3,0,0,'Données projet'!$E$11+1,1))</f>
        <v>237.22177246688199</v>
      </c>
      <c r="BJ33" s="59">
        <f t="shared" si="38"/>
        <v>149.27472147904302</v>
      </c>
      <c r="BK33" s="15">
        <f>IF(ISNA(VLOOKUP(A33,'Données projet'!$A$87:$I$107,3,0)),0,VLOOKUP(A33,'Données projet'!$A$87:$I$107,3,0))</f>
        <v>1</v>
      </c>
      <c r="BL33" s="15">
        <f>IF(ISNA(VLOOKUP(A33,'Données projet'!$A$87:$I$107,4,0)),0,VLOOKUP(A33,'Données projet'!$A$87:$I$107,4,0))</f>
        <v>29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0.1075</v>
      </c>
      <c r="BO33" s="16">
        <f>IF(ISNA(VLOOKUP(A33,'Données projet'!$A$87:$I$107,7,0)),0%,VLOOKUP(A33,'Données projet'!$A$87:$I$107,7,0))</f>
        <v>0.25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3.1059381724899082</v>
      </c>
      <c r="BR33" s="21">
        <f>EXP(-LN(2)/2)*BR32+(1-EXP(-LN(2)/2))/(LN(2)/2)*BL33*BO33*VLOOKUP('Données projet'!$B$11,Paramètres!$A$1:$I$89,3,0)*0.475*44/12</f>
        <v>6.1893478544284255</v>
      </c>
      <c r="BS33" s="22">
        <f t="shared" si="9"/>
        <v>9.2952860269183333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200</v>
      </c>
      <c r="BW33" s="12">
        <f>VLOOKUP(A33,'Données projet'!$A$113:$I$133,9,0)</f>
        <v>11.8</v>
      </c>
      <c r="BX33" s="12">
        <f t="array" ref="BX33">INDEX(BW:BW,MIN(IF(ISNUMBER(BW33:BW229),ROW(BW33:BW229),"")))</f>
        <v>11.8</v>
      </c>
      <c r="BY33" s="12">
        <f>IF('Données projet'!$A$114&gt;35,BY32+BX33-CG32,IF(A33&lt;'Données projet'!$A$114,$BV$205^A33,IF(A33='Données projet'!$A$114,'Données projet'!$B$114,BY32+BX33-CG32)))</f>
        <v>200.00000000000009</v>
      </c>
      <c r="BZ33" s="13">
        <f>BY33*VLOOKUP('Données projet'!$B$12,Paramètres!$A$1:$I$89,3,0)*VLOOKUP('Données projet'!$B$12,Paramètres!$A$1:$I$89,5,0)</f>
        <v>174.72000000000008</v>
      </c>
      <c r="CA33" s="13">
        <f t="shared" si="39"/>
        <v>44.145455754865246</v>
      </c>
      <c r="CB33" s="20">
        <f t="shared" si="10"/>
        <v>381.1906687730571</v>
      </c>
      <c r="CC33" s="59">
        <f t="shared" si="11"/>
        <v>674.52400210639041</v>
      </c>
      <c r="CD33" s="59">
        <f ca="1">AVERAGE(OFFSET($CC$3,0,0,'Données projet'!$E$12+1,1))-AVERAGE(OFFSET($H$3,0,0,'Données projet'!$E$12+1,1))</f>
        <v>223.81948236065614</v>
      </c>
      <c r="CE33" s="59">
        <f t="shared" si="40"/>
        <v>320.1204011431372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74</v>
      </c>
      <c r="CH33" s="16">
        <f>IF(ISNA(VLOOKUP(A33,'Données projet'!$A$113:$I$133,5,0)),0%,VLOOKUP(A33,'Données projet'!$A$113:$I$133,5,0)*VLOOKUP('Données projet'!$B$12,Paramètres!$A$1:$I$89,7,0))</f>
        <v>4.3000000000000003E-2</v>
      </c>
      <c r="CI33" s="16">
        <f>IF(ISNA(VLOOKUP(A33,'Données projet'!$A$113:$I$133,6,0)),0%,VLOOKUP(A33,'Données projet'!$A$113:$I$133,6,0)*VLOOKUP('Données projet'!$B$12,Paramètres!$A$1:$I$89,7,0))</f>
        <v>0.19350000000000001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3.0729812547678734</v>
      </c>
      <c r="CL33" s="21">
        <f>EXP(-LN(2)/25)*CL32+(1-EXP(-LN(2)/25))/(LN(2)/25)*Calculateur!CG33*Calculateur!CI33*VLOOKUP('Données projet'!$B$12,Paramètres!$A$1:$I$89,3,0)*0.475*44/12</f>
        <v>17.692404718119324</v>
      </c>
      <c r="CM33" s="21">
        <f>EXP(-LN(2)/2)*CM32+(1-EXP(-LN(2)/2))/(LN(2)/2)*CG33*CJ33*VLOOKUP('Données projet'!$B$12,Paramètres!$A$1:$I$89,3,0)*0.475*44/12</f>
        <v>27.770006809164684</v>
      </c>
      <c r="CN33" s="22">
        <f t="shared" si="12"/>
        <v>48.535392782051886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260</v>
      </c>
      <c r="CR33" s="12">
        <f>VLOOKUP(A33,'Données projet'!$A$139:$I$159,9,0)</f>
        <v>16.399999999999999</v>
      </c>
      <c r="CS33" s="12">
        <f t="array" ref="CS33">INDEX(CR:CR,MIN(IF(ISNUMBER(CR33:CR229),ROW(CR33:CR229),"")))</f>
        <v>16.399999999999999</v>
      </c>
      <c r="CT33" s="12">
        <f>IF('Données projet'!$A$140&gt;35,CT32+CS33-DB32,IF(A33&lt;'Données projet'!$A$140,$CQ$205^A33,IF(A33='Données projet'!$A$140,'Données projet'!$B$140,CT32+CS33-DB32)))</f>
        <v>260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84</v>
      </c>
      <c r="DC33" s="16" t="e">
        <f>IF(ISNA(VLOOKUP(A33,'Données projet'!$A$139:$I$159,5,0)),0%,VLOOKUP(A33,'Données projet'!$A$139:$I$159,5,0)*VLOOKUP('Données projet'!$B$13,Paramètres!$A$1:$I$89,7,0))</f>
        <v>#N/A</v>
      </c>
      <c r="DD33" s="16" t="e">
        <f>IF(ISNA(VLOOKUP(A33,'Données projet'!$A$139:$I$159,6,0)),0%,VLOOKUP(A33,'Données projet'!$A$139:$I$159,6,0)*VLOOKUP('Données projet'!$B$13,Paramètres!$A$1:$I$89,7,0))</f>
        <v>#N/A</v>
      </c>
      <c r="DE33" s="16">
        <f>IF(ISNA(VLOOKUP(A33,'Données projet'!$A$139:$I$159,7,0)),0%,VLOOKUP(A33,'Données projet'!$A$139:$I$159,7,0))</f>
        <v>0.4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212</v>
      </c>
      <c r="DM33" s="12">
        <f>VLOOKUP(A33,'Données projet'!$A$165:$I$185,9,0)</f>
        <v>14.5</v>
      </c>
      <c r="DN33" s="12">
        <f t="array" ref="DN33">INDEX(DM:DM,MIN(IF(ISNUMBER(DM33:DM229),ROW(DM33:DM229),"")))</f>
        <v>14.5</v>
      </c>
      <c r="DO33" s="12">
        <f>IF('Données projet'!$A$166&gt;35,DO32+DN33-DW32,IF(A33&lt;'Données projet'!$A$166,$DL$205^A33,IF(A33='Données projet'!$A$166,'Données projet'!$B$166,DO32+DN33-DW32)))</f>
        <v>212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70</v>
      </c>
      <c r="DX33" s="16" t="e">
        <f>IF(ISNA(VLOOKUP(A33,'Données projet'!$A$165:$I$185,5,0)),0%,VLOOKUP(A33,'Données projet'!$A$165:$I$185,5,0)*VLOOKUP('Données projet'!$B$14,Paramètres!$A$1:$I$89,7,0))</f>
        <v>#N/A</v>
      </c>
      <c r="DY33" s="16" t="e">
        <f>IF(ISNA(VLOOKUP(A33,'Données projet'!$A$165:$I$185,6,0)),0%,VLOOKUP(A33,'Données projet'!$A$165:$I$185,6,0)*VLOOKUP('Données projet'!$B$14,Paramètres!$A$1:$I$89,7,0))</f>
        <v>#N/A</v>
      </c>
      <c r="DZ33" s="16">
        <f>IF(ISNA(VLOOKUP(A33,'Données projet'!$A$165:$I$185,7,0)),0%,VLOOKUP(A33,'Données projet'!$A$165:$I$185,7,0))</f>
        <v>0.45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14.833333333333334</v>
      </c>
      <c r="N34" s="13">
        <f>IF('Données projet'!$A$36&gt;35,N33+M34-V33,IF(A34&lt;'Données projet'!$A$36,$K$205^A34,IF(A34='Données projet'!$A$36,'Données projet'!$B$36,N33+M34-V33)))</f>
        <v>199.50000000000003</v>
      </c>
      <c r="O34" s="13">
        <f>N34*VLOOKUP('Données projet'!$B$9,Paramètres!$A$1:$I$89,3,0)*VLOOKUP('Données projet'!$B$9,Paramètres!$A$1:$I$89,5,0)</f>
        <v>119.30100000000002</v>
      </c>
      <c r="P34" s="13">
        <f t="shared" si="33"/>
        <v>31.51191363312137</v>
      </c>
      <c r="Q34" s="20">
        <f t="shared" si="2"/>
        <v>262.66582457768635</v>
      </c>
      <c r="R34" s="59">
        <f t="shared" si="0"/>
        <v>555.99915791101967</v>
      </c>
      <c r="S34" s="59">
        <f ca="1">AVERAGE(OFFSET($R$3,0,0,'Données projet'!$E$9+1,1))-AVERAGE(OFFSET($H$3,0,0,'Données projet'!$E$9+1,1))</f>
        <v>168.08890945052406</v>
      </c>
      <c r="T34" s="59">
        <f t="shared" si="34"/>
        <v>182.52462557642343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6.0904454952745626</v>
      </c>
      <c r="AA34" s="21">
        <f>EXP(-LN(2)/25)*AA33+(1-EXP(-LN(2)/25))/(LN(2)/25)*Calculateur!V34*Calculateur!X34*VLOOKUP('Données projet'!$B$9,Paramètres!$A$1:$I$89,3,0)*0.475*44/12</f>
        <v>11.993693628323154</v>
      </c>
      <c r="AB34" s="21">
        <f>EXP(-LN(2)/2)*AB33+(1-EXP(-LN(2)/2))/(LN(2)/2)*V34*Y34*VLOOKUP('Données projet'!$B$9,Paramètres!$A$1:$I$89,3,0)*0.475*44/12</f>
        <v>3.8506860059637007</v>
      </c>
      <c r="AC34" s="22">
        <f t="shared" si="3"/>
        <v>21.934825129561418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13.7</v>
      </c>
      <c r="AI34" s="13">
        <f>IF('Données projet'!$A$62&gt;35,AI33+AH34-AQ33,IF(A34&lt;'Données projet'!$A$62,$AF$205^A34,IF(A34='Données projet'!$A$62,'Données projet'!$B$62,AI33+AH34-AQ33)))</f>
        <v>161.69999999999999</v>
      </c>
      <c r="AJ34" s="13">
        <f>AI34*VLOOKUP('Données projet'!$B$10,Paramètres!$A$1:$I$89,3,0)*VLOOKUP('Données projet'!$B$10,Paramètres!$A$1:$I$89,5,0)</f>
        <v>96.696600000000004</v>
      </c>
      <c r="AK34" s="13">
        <f t="shared" si="35"/>
        <v>26.173476069859898</v>
      </c>
      <c r="AL34" s="20">
        <f t="shared" si="4"/>
        <v>213.99871582167268</v>
      </c>
      <c r="AM34" s="59">
        <f t="shared" si="5"/>
        <v>507.33204915500596</v>
      </c>
      <c r="AN34" s="59">
        <f ca="1">AVERAGE(OFFSET($AM$3,0,0,'Données projet'!$E$10+1,1))-AVERAGE(OFFSET($H$3,0,0,'Données projet'!$E$10+1,1))</f>
        <v>216.94426559495264</v>
      </c>
      <c r="AO34" s="59">
        <f t="shared" si="36"/>
        <v>225.33715877618704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12.497899764311502</v>
      </c>
      <c r="AW34" s="21">
        <f>EXP(-LN(2)/2)*AW33+(1-EXP(-LN(2)/2))/(LN(2)/2)*AQ34*AT34*VLOOKUP('Données projet'!$B$10,Paramètres!$A$1:$I$89,3,0)*0.475*44/12</f>
        <v>16.779191279993352</v>
      </c>
      <c r="AX34" s="21">
        <f t="shared" si="6"/>
        <v>29.277091044304854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8.1999999999999993</v>
      </c>
      <c r="BD34" s="12">
        <f>IF('Données projet'!$A$88&gt;35,BD33+BC34-BL33,IF(A34&lt;'Données projet'!$A$88,$BA$205^A34,IF(A34='Données projet'!$A$88,'Données projet'!$B$88,BD33+BC34-BL33)))</f>
        <v>84.199999999999974</v>
      </c>
      <c r="BE34" s="13">
        <f>BD34*VLOOKUP('Données projet'!$B$11,Paramètres!$A$1:$I$89,3,0)*VLOOKUP('Données projet'!$B$11,Paramètres!$A$1:$I$89,5,0)</f>
        <v>76.184159999999977</v>
      </c>
      <c r="BF34" s="13">
        <f t="shared" si="37"/>
        <v>21.201554232857205</v>
      </c>
      <c r="BG34" s="20">
        <f t="shared" si="7"/>
        <v>169.61345228889294</v>
      </c>
      <c r="BH34" s="59">
        <f t="shared" si="8"/>
        <v>462.94678562222623</v>
      </c>
      <c r="BI34" s="59">
        <f ca="1">AVERAGE(OFFSET($BH$3,0,0,'Données projet'!$E$11+1,1))-AVERAGE(OFFSET($H$3,0,0,'Données projet'!$E$11+1,1))</f>
        <v>237.22177246688199</v>
      </c>
      <c r="BJ34" s="59">
        <f t="shared" si="38"/>
        <v>149.27472147904302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3.0210061298289821</v>
      </c>
      <c r="BR34" s="21">
        <f>EXP(-LN(2)/2)*BR33+(1-EXP(-LN(2)/2))/(LN(2)/2)*BL34*BO34*VLOOKUP('Données projet'!$B$11,Paramètres!$A$1:$I$89,3,0)*0.475*44/12</f>
        <v>4.3765298389887484</v>
      </c>
      <c r="BS34" s="22">
        <f t="shared" si="9"/>
        <v>7.3975359688177305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10.1</v>
      </c>
      <c r="BY34" s="12">
        <f>IF('Données projet'!$A$114&gt;35,BY33+BX34-CG33,IF(A34&lt;'Données projet'!$A$114,$BV$205^A34,IF(A34='Données projet'!$A$114,'Données projet'!$B$114,BY33+BX34-CG33)))</f>
        <v>136.10000000000008</v>
      </c>
      <c r="BZ34" s="13">
        <f>BY34*VLOOKUP('Données projet'!$B$12,Paramètres!$A$1:$I$89,3,0)*VLOOKUP('Données projet'!$B$12,Paramètres!$A$1:$I$89,5,0)</f>
        <v>118.89696000000008</v>
      </c>
      <c r="CA34" s="13">
        <f t="shared" si="39"/>
        <v>31.417595224301145</v>
      </c>
      <c r="CB34" s="20">
        <f t="shared" si="10"/>
        <v>261.79785034899129</v>
      </c>
      <c r="CC34" s="59">
        <f t="shared" si="11"/>
        <v>555.1311836823246</v>
      </c>
      <c r="CD34" s="59">
        <f ca="1">AVERAGE(OFFSET($CC$3,0,0,'Données projet'!$E$12+1,1))-AVERAGE(OFFSET($H$3,0,0,'Données projet'!$E$12+1,1))</f>
        <v>223.81948236065614</v>
      </c>
      <c r="CE34" s="59">
        <f t="shared" si="40"/>
        <v>320.1204011431372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3.012721966695366</v>
      </c>
      <c r="CL34" s="21">
        <f>EXP(-LN(2)/25)*CL33+(1-EXP(-LN(2)/25))/(LN(2)/25)*Calculateur!CG34*Calculateur!CI34*VLOOKUP('Données projet'!$B$12,Paramètres!$A$1:$I$89,3,0)*0.475*44/12</f>
        <v>17.208604980699224</v>
      </c>
      <c r="CM34" s="21">
        <f>EXP(-LN(2)/2)*CM33+(1-EXP(-LN(2)/2))/(LN(2)/2)*CG34*CJ34*VLOOKUP('Données projet'!$B$12,Paramètres!$A$1:$I$89,3,0)*0.475*44/12</f>
        <v>19.636360128356948</v>
      </c>
      <c r="CN34" s="22">
        <f t="shared" si="12"/>
        <v>39.857687075751542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13.8</v>
      </c>
      <c r="CT34" s="12">
        <f>IF('Données projet'!$A$140&gt;35,CT33+CS34-DB33,IF(A34&lt;'Données projet'!$A$140,$CQ$205^A34,IF(A34='Données projet'!$A$140,'Données projet'!$B$140,CT33+CS34-DB33)))</f>
        <v>189.8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12.1</v>
      </c>
      <c r="DO34" s="12">
        <f>IF('Données projet'!$A$166&gt;35,DO33+DN34-DW33,IF(A34&lt;'Données projet'!$A$166,$DL$205^A34,IF(A34='Données projet'!$A$166,'Données projet'!$B$166,DO33+DN34-DW33)))</f>
        <v>154.1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14.833333333333334</v>
      </c>
      <c r="N35" s="13">
        <f>IF('Données projet'!$A$36&gt;35,N34+M35-V34,IF(A35&lt;'Données projet'!$A$36,$K$205^A35,IF(A35='Données projet'!$A$36,'Données projet'!$B$36,N34+M35-V34)))</f>
        <v>214.33333333333337</v>
      </c>
      <c r="O35" s="13">
        <f>N35*VLOOKUP('Données projet'!$B$9,Paramètres!$A$1:$I$89,3,0)*VLOOKUP('Données projet'!$B$9,Paramètres!$A$1:$I$89,5,0)</f>
        <v>128.17133333333337</v>
      </c>
      <c r="P35" s="13">
        <f t="shared" si="33"/>
        <v>33.5734603980111</v>
      </c>
      <c r="Q35" s="20">
        <f t="shared" ref="Q35:Q66" si="53">(O35+P35)*0.475*44/12</f>
        <v>281.70551574875822</v>
      </c>
      <c r="R35" s="59">
        <f t="shared" si="0"/>
        <v>575.03884908209147</v>
      </c>
      <c r="S35" s="59">
        <f ca="1">AVERAGE(OFFSET($R$3,0,0,'Données projet'!$E$9+1,1))-AVERAGE(OFFSET($H$3,0,0,'Données projet'!$E$9+1,1))</f>
        <v>168.08890945052406</v>
      </c>
      <c r="T35" s="59">
        <f t="shared" si="34"/>
        <v>182.52462557642343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5.9710155739171737</v>
      </c>
      <c r="AA35" s="21">
        <f>EXP(-LN(2)/25)*AA34+(1-EXP(-LN(2)/25))/(LN(2)/25)*Calculateur!V35*Calculateur!X35*VLOOKUP('Données projet'!$B$9,Paramètres!$A$1:$I$89,3,0)*0.475*44/12</f>
        <v>11.66572544533572</v>
      </c>
      <c r="AB35" s="21">
        <f>EXP(-LN(2)/2)*AB34+(1-EXP(-LN(2)/2))/(LN(2)/2)*V35*Y35*VLOOKUP('Données projet'!$B$9,Paramètres!$A$1:$I$89,3,0)*0.475*44/12</f>
        <v>2.7228461870370753</v>
      </c>
      <c r="AC35" s="22">
        <f t="shared" si="3"/>
        <v>20.359587206289969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13.7</v>
      </c>
      <c r="AI35" s="13">
        <f>IF('Données projet'!$A$62&gt;35,AI34+AH35-AQ34,IF(A35&lt;'Données projet'!$A$62,$AF$205^A35,IF(A35='Données projet'!$A$62,'Données projet'!$B$62,AI34+AH35-AQ34)))</f>
        <v>175.39999999999998</v>
      </c>
      <c r="AJ35" s="13">
        <f>AI35*VLOOKUP('Données projet'!$B$10,Paramètres!$A$1:$I$89,3,0)*VLOOKUP('Données projet'!$B$10,Paramètres!$A$1:$I$89,5,0)</f>
        <v>104.8892</v>
      </c>
      <c r="AK35" s="13">
        <f t="shared" si="35"/>
        <v>28.123526406473545</v>
      </c>
      <c r="AL35" s="20">
        <f t="shared" si="4"/>
        <v>231.66383182460808</v>
      </c>
      <c r="AM35" s="59">
        <f t="shared" si="5"/>
        <v>524.99716515794137</v>
      </c>
      <c r="AN35" s="59">
        <f ca="1">AVERAGE(OFFSET($AM$3,0,0,'Données projet'!$E$10+1,1))-AVERAGE(OFFSET($H$3,0,0,'Données projet'!$E$10+1,1))</f>
        <v>216.94426559495264</v>
      </c>
      <c r="AO35" s="59">
        <f t="shared" si="36"/>
        <v>225.33715877618704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12.15614403802042</v>
      </c>
      <c r="AW35" s="21">
        <f>EXP(-LN(2)/2)*AW34+(1-EXP(-LN(2)/2))/(LN(2)/2)*AQ35*AT35*VLOOKUP('Données projet'!$B$10,Paramètres!$A$1:$I$89,3,0)*0.475*44/12</f>
        <v>11.864679936909486</v>
      </c>
      <c r="AX35" s="21">
        <f t="shared" si="6"/>
        <v>24.020823974929904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8.1999999999999993</v>
      </c>
      <c r="BD35" s="12">
        <f>IF('Données projet'!$A$88&gt;35,BD34+BC35-BL34,IF(A35&lt;'Données projet'!$A$88,$BA$205^A35,IF(A35='Données projet'!$A$88,'Données projet'!$B$88,BD34+BC35-BL34)))</f>
        <v>92.399999999999977</v>
      </c>
      <c r="BE35" s="13">
        <f>BD35*VLOOKUP('Données projet'!$B$11,Paramètres!$A$1:$I$89,3,0)*VLOOKUP('Données projet'!$B$11,Paramètres!$A$1:$I$89,5,0)</f>
        <v>83.603519999999975</v>
      </c>
      <c r="BF35" s="13">
        <f t="shared" si="37"/>
        <v>23.015991519299678</v>
      </c>
      <c r="BG35" s="20">
        <f t="shared" si="7"/>
        <v>185.69564922944687</v>
      </c>
      <c r="BH35" s="59">
        <f t="shared" si="8"/>
        <v>479.02898256278019</v>
      </c>
      <c r="BI35" s="59">
        <f ca="1">AVERAGE(OFFSET($BH$3,0,0,'Données projet'!$E$11+1,1))-AVERAGE(OFFSET($H$3,0,0,'Données projet'!$E$11+1,1))</f>
        <v>237.22177246688199</v>
      </c>
      <c r="BJ35" s="59">
        <f t="shared" si="38"/>
        <v>149.27472147904302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2.938396558341001</v>
      </c>
      <c r="BR35" s="21">
        <f>EXP(-LN(2)/2)*BR34+(1-EXP(-LN(2)/2))/(LN(2)/2)*BL35*BO35*VLOOKUP('Données projet'!$B$11,Paramètres!$A$1:$I$89,3,0)*0.475*44/12</f>
        <v>3.0946739272142132</v>
      </c>
      <c r="BS35" s="22">
        <f t="shared" si="9"/>
        <v>6.0330704855552142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10.1</v>
      </c>
      <c r="BY35" s="12">
        <f>IF('Données projet'!$A$114&gt;35,BY34+BX35-CG34,IF(A35&lt;'Données projet'!$A$114,$BV$205^A35,IF(A35='Données projet'!$A$114,'Données projet'!$B$114,BY34+BX35-CG34)))</f>
        <v>146.20000000000007</v>
      </c>
      <c r="BZ35" s="13">
        <f>BY35*VLOOKUP('Données projet'!$B$12,Paramètres!$A$1:$I$89,3,0)*VLOOKUP('Données projet'!$B$12,Paramètres!$A$1:$I$89,5,0)</f>
        <v>127.72032000000007</v>
      </c>
      <c r="CA35" s="13">
        <f t="shared" si="39"/>
        <v>33.469051060164432</v>
      </c>
      <c r="CB35" s="20">
        <f t="shared" si="10"/>
        <v>280.73815459645317</v>
      </c>
      <c r="CC35" s="59">
        <f t="shared" si="11"/>
        <v>574.07148792978649</v>
      </c>
      <c r="CD35" s="59">
        <f ca="1">AVERAGE(OFFSET($CC$3,0,0,'Données projet'!$E$12+1,1))-AVERAGE(OFFSET($H$3,0,0,'Données projet'!$E$12+1,1))</f>
        <v>223.81948236065614</v>
      </c>
      <c r="CE35" s="59">
        <f t="shared" si="40"/>
        <v>320.1204011431372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2.9536443265074235</v>
      </c>
      <c r="CL35" s="21">
        <f>EXP(-LN(2)/25)*CL34+(1-EXP(-LN(2)/25))/(LN(2)/25)*Calculateur!CG35*Calculateur!CI35*VLOOKUP('Données projet'!$B$12,Paramètres!$A$1:$I$89,3,0)*0.475*44/12</f>
        <v>16.7380347725408</v>
      </c>
      <c r="CM35" s="21">
        <f>EXP(-LN(2)/2)*CM34+(1-EXP(-LN(2)/2))/(LN(2)/2)*CG35*CJ35*VLOOKUP('Données projet'!$B$12,Paramètres!$A$1:$I$89,3,0)*0.475*44/12</f>
        <v>13.885003404582344</v>
      </c>
      <c r="CN35" s="22">
        <f t="shared" si="12"/>
        <v>33.576682503630565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13.8</v>
      </c>
      <c r="CT35" s="12">
        <f>IF('Données projet'!$A$140&gt;35,CT34+CS35-DB34,IF(A35&lt;'Données projet'!$A$140,$CQ$205^A35,IF(A35='Données projet'!$A$140,'Données projet'!$B$140,CT34+CS35-DB34)))</f>
        <v>203.60000000000002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12.1</v>
      </c>
      <c r="DO35" s="12">
        <f>IF('Données projet'!$A$166&gt;35,DO34+DN35-DW34,IF(A35&lt;'Données projet'!$A$166,$DL$205^A35,IF(A35='Données projet'!$A$166,'Données projet'!$B$166,DO34+DN35-DW34)))</f>
        <v>166.2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14.833333333333334</v>
      </c>
      <c r="N36" s="13">
        <f>IF('Données projet'!$A$36&gt;35,N35+M36-V35,IF(A36&lt;'Données projet'!$A$36,$K$205^A36,IF(A36='Données projet'!$A$36,'Données projet'!$B$36,N35+M36-V35)))</f>
        <v>229.16666666666671</v>
      </c>
      <c r="O36" s="13">
        <f>N36*VLOOKUP('Données projet'!$B$9,Paramètres!$A$1:$I$89,3,0)*VLOOKUP('Données projet'!$B$9,Paramètres!$A$1:$I$89,5,0)</f>
        <v>137.04166666666671</v>
      </c>
      <c r="P36" s="13">
        <f t="shared" si="33"/>
        <v>35.618452776877568</v>
      </c>
      <c r="Q36" s="20">
        <f t="shared" si="53"/>
        <v>300.7163746975063</v>
      </c>
      <c r="R36" s="59">
        <f t="shared" si="0"/>
        <v>594.04970803083961</v>
      </c>
      <c r="S36" s="59">
        <f ca="1">AVERAGE(OFFSET($R$3,0,0,'Données projet'!$E$9+1,1))-AVERAGE(OFFSET($H$3,0,0,'Données projet'!$E$9+1,1))</f>
        <v>168.08890945052406</v>
      </c>
      <c r="T36" s="59">
        <f t="shared" si="34"/>
        <v>182.52462557642343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5.8539276004725442</v>
      </c>
      <c r="AA36" s="21">
        <f>EXP(-LN(2)/25)*AA35+(1-EXP(-LN(2)/25))/(LN(2)/25)*Calculateur!V36*Calculateur!X36*VLOOKUP('Données projet'!$B$9,Paramètres!$A$1:$I$89,3,0)*0.475*44/12</f>
        <v>11.346725569559176</v>
      </c>
      <c r="AB36" s="21">
        <f>EXP(-LN(2)/2)*AB35+(1-EXP(-LN(2)/2))/(LN(2)/2)*V36*Y36*VLOOKUP('Données projet'!$B$9,Paramètres!$A$1:$I$89,3,0)*0.475*44/12</f>
        <v>1.9253430029818506</v>
      </c>
      <c r="AC36" s="22">
        <f t="shared" si="3"/>
        <v>19.125996173013572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13.7</v>
      </c>
      <c r="AI36" s="13">
        <f>IF('Données projet'!$A$62&gt;35,AI35+AH36-AQ35,IF(A36&lt;'Données projet'!$A$62,$AF$205^A36,IF(A36='Données projet'!$A$62,'Données projet'!$B$62,AI35+AH36-AQ35)))</f>
        <v>189.09999999999997</v>
      </c>
      <c r="AJ36" s="13">
        <f>AI36*VLOOKUP('Données projet'!$B$10,Paramètres!$A$1:$I$89,3,0)*VLOOKUP('Données projet'!$B$10,Paramètres!$A$1:$I$89,5,0)</f>
        <v>113.08179999999999</v>
      </c>
      <c r="AK36" s="13">
        <f t="shared" si="35"/>
        <v>30.055908915657483</v>
      </c>
      <c r="AL36" s="20">
        <f t="shared" si="4"/>
        <v>249.29817636143676</v>
      </c>
      <c r="AM36" s="59">
        <f t="shared" si="5"/>
        <v>542.6315096947701</v>
      </c>
      <c r="AN36" s="59">
        <f ca="1">AVERAGE(OFFSET($AM$3,0,0,'Données projet'!$E$10+1,1))-AVERAGE(OFFSET($H$3,0,0,'Données projet'!$E$10+1,1))</f>
        <v>216.94426559495264</v>
      </c>
      <c r="AO36" s="59">
        <f t="shared" si="36"/>
        <v>225.33715877618704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11.82373364003692</v>
      </c>
      <c r="AW36" s="21">
        <f>EXP(-LN(2)/2)*AW35+(1-EXP(-LN(2)/2))/(LN(2)/2)*AQ36*AT36*VLOOKUP('Données projet'!$B$10,Paramètres!$A$1:$I$89,3,0)*0.475*44/12</f>
        <v>8.389595639996676</v>
      </c>
      <c r="AX36" s="21">
        <f t="shared" si="6"/>
        <v>20.213329280033598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8.1999999999999993</v>
      </c>
      <c r="BD36" s="12">
        <f>IF('Données projet'!$A$88&gt;35,BD35+BC36-BL35,IF(A36&lt;'Données projet'!$A$88,$BA$205^A36,IF(A36='Données projet'!$A$88,'Données projet'!$B$88,BD35+BC36-BL35)))</f>
        <v>100.59999999999998</v>
      </c>
      <c r="BE36" s="13">
        <f>BD36*VLOOKUP('Données projet'!$B$11,Paramètres!$A$1:$I$89,3,0)*VLOOKUP('Données projet'!$B$11,Paramètres!$A$1:$I$89,5,0)</f>
        <v>91.022879999999972</v>
      </c>
      <c r="BF36" s="13">
        <f t="shared" si="37"/>
        <v>24.811756526220293</v>
      </c>
      <c r="BG36" s="20">
        <f t="shared" si="7"/>
        <v>201.74532528316695</v>
      </c>
      <c r="BH36" s="59">
        <f t="shared" si="8"/>
        <v>495.07865861650026</v>
      </c>
      <c r="BI36" s="59">
        <f ca="1">AVERAGE(OFFSET($BH$3,0,0,'Données projet'!$E$11+1,1))-AVERAGE(OFFSET($H$3,0,0,'Données projet'!$E$11+1,1))</f>
        <v>237.22177246688199</v>
      </c>
      <c r="BJ36" s="59">
        <f t="shared" si="38"/>
        <v>149.27472147904302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2.8580459499296071</v>
      </c>
      <c r="BR36" s="21">
        <f>EXP(-LN(2)/2)*BR35+(1-EXP(-LN(2)/2))/(LN(2)/2)*BL36*BO36*VLOOKUP('Données projet'!$B$11,Paramètres!$A$1:$I$89,3,0)*0.475*44/12</f>
        <v>2.1882649194943746</v>
      </c>
      <c r="BS36" s="22">
        <f t="shared" si="9"/>
        <v>5.0463108694239818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10.1</v>
      </c>
      <c r="BY36" s="12">
        <f>IF('Données projet'!$A$114&gt;35,BY35+BX36-CG35,IF(A36&lt;'Données projet'!$A$114,$BV$205^A36,IF(A36='Données projet'!$A$114,'Données projet'!$B$114,BY35+BX36-CG35)))</f>
        <v>156.30000000000007</v>
      </c>
      <c r="BZ36" s="13">
        <f>BY36*VLOOKUP('Données projet'!$B$12,Paramètres!$A$1:$I$89,3,0)*VLOOKUP('Données projet'!$B$12,Paramètres!$A$1:$I$89,5,0)</f>
        <v>136.54368000000008</v>
      </c>
      <c r="CA36" s="13">
        <f t="shared" si="39"/>
        <v>35.504062844328153</v>
      </c>
      <c r="CB36" s="20">
        <f t="shared" si="10"/>
        <v>299.64981878720499</v>
      </c>
      <c r="CC36" s="59">
        <f t="shared" si="11"/>
        <v>592.98315212053831</v>
      </c>
      <c r="CD36" s="59">
        <f ca="1">AVERAGE(OFFSET($CC$3,0,0,'Données projet'!$E$12+1,1))-AVERAGE(OFFSET($H$3,0,0,'Données projet'!$E$12+1,1))</f>
        <v>223.81948236065614</v>
      </c>
      <c r="CE36" s="59">
        <f t="shared" si="40"/>
        <v>320.1204011431372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2.8957251628097644</v>
      </c>
      <c r="CL36" s="21">
        <f>EXP(-LN(2)/25)*CL35+(1-EXP(-LN(2)/25))/(LN(2)/25)*Calculateur!CG36*Calculateur!CI36*VLOOKUP('Données projet'!$B$12,Paramètres!$A$1:$I$89,3,0)*0.475*44/12</f>
        <v>16.280332331470678</v>
      </c>
      <c r="CM36" s="21">
        <f>EXP(-LN(2)/2)*CM35+(1-EXP(-LN(2)/2))/(LN(2)/2)*CG36*CJ36*VLOOKUP('Données projet'!$B$12,Paramètres!$A$1:$I$89,3,0)*0.475*44/12</f>
        <v>9.8181800641784758</v>
      </c>
      <c r="CN36" s="22">
        <f t="shared" si="12"/>
        <v>28.99423755845892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13.8</v>
      </c>
      <c r="CT36" s="12">
        <f>IF('Données projet'!$A$140&gt;35,CT35+CS36-DB35,IF(A36&lt;'Données projet'!$A$140,$CQ$205^A36,IF(A36='Données projet'!$A$140,'Données projet'!$B$140,CT35+CS36-DB35)))</f>
        <v>217.40000000000003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12.1</v>
      </c>
      <c r="DO36" s="12">
        <f>IF('Données projet'!$A$166&gt;35,DO35+DN36-DW35,IF(A36&lt;'Données projet'!$A$166,$DL$205^A36,IF(A36='Données projet'!$A$166,'Données projet'!$B$166,DO35+DN36-DW35)))</f>
        <v>178.29999999999998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244</v>
      </c>
      <c r="L37" s="12">
        <f>VLOOKUP(A37,'Données projet'!$A$35:$I$55,9,0)</f>
        <v>14.833333333333334</v>
      </c>
      <c r="M37" s="12">
        <f t="array" ref="M37">INDEX(L:L,MIN(IF(ISNUMBER(L37:L233),ROW(L37:L233),"")))</f>
        <v>14.833333333333334</v>
      </c>
      <c r="N37" s="13">
        <f>IF('Données projet'!$A$36&gt;35,N36+M37-V36,IF(A37&lt;'Données projet'!$A$36,$K$205^A37,IF(A37='Données projet'!$A$36,'Données projet'!$B$36,N36+M37-V36)))</f>
        <v>244.00000000000006</v>
      </c>
      <c r="O37" s="13">
        <f>N37*VLOOKUP('Données projet'!$B$9,Paramètres!$A$1:$I$89,3,0)*VLOOKUP('Données projet'!$B$9,Paramètres!$A$1:$I$89,5,0)</f>
        <v>145.91200000000006</v>
      </c>
      <c r="P37" s="13">
        <f t="shared" si="33"/>
        <v>37.648084239987625</v>
      </c>
      <c r="Q37" s="20">
        <f t="shared" si="53"/>
        <v>319.7004800513119</v>
      </c>
      <c r="R37" s="59">
        <f t="shared" si="0"/>
        <v>613.03381338464521</v>
      </c>
      <c r="S37" s="59">
        <f ca="1">AVERAGE(OFFSET($R$3,0,0,'Données projet'!$E$9+1,1))-AVERAGE(OFFSET($H$3,0,0,'Données projet'!$E$9+1,1))</f>
        <v>168.08890945052406</v>
      </c>
      <c r="T37" s="59">
        <f t="shared" si="34"/>
        <v>182.52462557642343</v>
      </c>
      <c r="U37" s="15">
        <f>IF(ISNA(VLOOKUP(A37,'Données projet'!$A$35:$I$55,3,0)),0,VLOOKUP(A37,'Données projet'!$A$35:$I$55,3,0))</f>
        <v>5</v>
      </c>
      <c r="V37" s="15">
        <f>IF(ISNA(VLOOKUP(A37,'Données projet'!$A$35:$I$55,4,0)),0,VLOOKUP(A37,'Données projet'!$A$35:$I$55,4,0))</f>
        <v>46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5.7391356507705522</v>
      </c>
      <c r="AA37" s="21">
        <f>EXP(-LN(2)/25)*AA36+(1-EXP(-LN(2)/25))/(LN(2)/25)*Calculateur!V37*Calculateur!X37*VLOOKUP('Données projet'!$B$9,Paramètres!$A$1:$I$89,3,0)*0.475*44/12</f>
        <v>11.036448762161216</v>
      </c>
      <c r="AB37" s="21">
        <f>EXP(-LN(2)/2)*AB36+(1-EXP(-LN(2)/2))/(LN(2)/2)*V37*Y37*VLOOKUP('Données projet'!$B$9,Paramètres!$A$1:$I$89,3,0)*0.475*44/12</f>
        <v>1.3614230935185379</v>
      </c>
      <c r="AC37" s="22">
        <f t="shared" si="3"/>
        <v>18.137007506450306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13.7</v>
      </c>
      <c r="AI37" s="13">
        <f>IF('Données projet'!$A$62&gt;35,AI36+AH37-AQ36,IF(A37&lt;'Données projet'!$A$62,$AF$205^A37,IF(A37='Données projet'!$A$62,'Données projet'!$B$62,AI36+AH37-AQ36)))</f>
        <v>202.79999999999995</v>
      </c>
      <c r="AJ37" s="13">
        <f>AI37*VLOOKUP('Données projet'!$B$10,Paramètres!$A$1:$I$89,3,0)*VLOOKUP('Données projet'!$B$10,Paramètres!$A$1:$I$89,5,0)</f>
        <v>121.27439999999999</v>
      </c>
      <c r="AK37" s="13">
        <f t="shared" si="35"/>
        <v>31.972049173215385</v>
      </c>
      <c r="AL37" s="20">
        <f t="shared" si="4"/>
        <v>266.90423231001677</v>
      </c>
      <c r="AM37" s="59">
        <f t="shared" si="5"/>
        <v>560.23756564335008</v>
      </c>
      <c r="AN37" s="59">
        <f ca="1">AVERAGE(OFFSET($AM$3,0,0,'Données projet'!$E$10+1,1))-AVERAGE(OFFSET($H$3,0,0,'Données projet'!$E$10+1,1))</f>
        <v>216.94426559495264</v>
      </c>
      <c r="AO37" s="59">
        <f t="shared" si="36"/>
        <v>225.33715877618704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11.500413021866981</v>
      </c>
      <c r="AW37" s="21">
        <f>EXP(-LN(2)/2)*AW36+(1-EXP(-LN(2)/2))/(LN(2)/2)*AQ37*AT37*VLOOKUP('Données projet'!$B$10,Paramètres!$A$1:$I$89,3,0)*0.475*44/12</f>
        <v>5.9323399684547429</v>
      </c>
      <c r="AX37" s="21">
        <f t="shared" si="6"/>
        <v>17.432752990321724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8.1999999999999993</v>
      </c>
      <c r="BD37" s="12">
        <f>IF('Données projet'!$A$88&gt;35,BD36+BC37-BL36,IF(A37&lt;'Données projet'!$A$88,$BA$205^A37,IF(A37='Données projet'!$A$88,'Données projet'!$B$88,BD36+BC37-BL36)))</f>
        <v>108.79999999999998</v>
      </c>
      <c r="BE37" s="13">
        <f>BD37*VLOOKUP('Données projet'!$B$11,Paramètres!$A$1:$I$89,3,0)*VLOOKUP('Données projet'!$B$11,Paramètres!$A$1:$I$89,5,0)</f>
        <v>98.442239999999984</v>
      </c>
      <c r="BF37" s="13">
        <f t="shared" si="37"/>
        <v>26.590544283900247</v>
      </c>
      <c r="BG37" s="20">
        <f t="shared" si="7"/>
        <v>217.76543262779288</v>
      </c>
      <c r="BH37" s="59">
        <f t="shared" si="8"/>
        <v>511.09876596112622</v>
      </c>
      <c r="BI37" s="59">
        <f ca="1">AVERAGE(OFFSET($BH$3,0,0,'Données projet'!$E$11+1,1))-AVERAGE(OFFSET($H$3,0,0,'Données projet'!$E$11+1,1))</f>
        <v>237.22177246688199</v>
      </c>
      <c r="BJ37" s="59">
        <f t="shared" si="38"/>
        <v>149.27472147904302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2.7798925331306776</v>
      </c>
      <c r="BR37" s="21">
        <f>EXP(-LN(2)/2)*BR36+(1-EXP(-LN(2)/2))/(LN(2)/2)*BL37*BO37*VLOOKUP('Données projet'!$B$11,Paramètres!$A$1:$I$89,3,0)*0.475*44/12</f>
        <v>1.5473369636071068</v>
      </c>
      <c r="BS37" s="22">
        <f t="shared" si="9"/>
        <v>4.3272294967377842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10.1</v>
      </c>
      <c r="BY37" s="12">
        <f>IF('Données projet'!$A$114&gt;35,BY36+BX37-CG36,IF(A37&lt;'Données projet'!$A$114,$BV$205^A37,IF(A37='Données projet'!$A$114,'Données projet'!$B$114,BY36+BX37-CG36)))</f>
        <v>166.40000000000006</v>
      </c>
      <c r="BZ37" s="13">
        <f>BY37*VLOOKUP('Données projet'!$B$12,Paramètres!$A$1:$I$89,3,0)*VLOOKUP('Données projet'!$B$12,Paramètres!$A$1:$I$89,5,0)</f>
        <v>145.36704000000006</v>
      </c>
      <c r="CA37" s="13">
        <f t="shared" si="39"/>
        <v>37.523814117080832</v>
      </c>
      <c r="CB37" s="20">
        <f t="shared" si="10"/>
        <v>318.53490425391584</v>
      </c>
      <c r="CC37" s="59">
        <f t="shared" si="11"/>
        <v>611.86823758724915</v>
      </c>
      <c r="CD37" s="59">
        <f ca="1">AVERAGE(OFFSET($CC$3,0,0,'Données projet'!$E$12+1,1))-AVERAGE(OFFSET($H$3,0,0,'Données projet'!$E$12+1,1))</f>
        <v>223.81948236065614</v>
      </c>
      <c r="CE37" s="59">
        <f t="shared" si="40"/>
        <v>320.1204011431372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2.8389417585850145</v>
      </c>
      <c r="CL37" s="21">
        <f>EXP(-LN(2)/25)*CL36+(1-EXP(-LN(2)/25))/(LN(2)/25)*Calculateur!CG37*Calculateur!CI37*VLOOKUP('Données projet'!$B$12,Paramètres!$A$1:$I$89,3,0)*0.475*44/12</f>
        <v>15.835145787721144</v>
      </c>
      <c r="CM37" s="21">
        <f>EXP(-LN(2)/2)*CM36+(1-EXP(-LN(2)/2))/(LN(2)/2)*CG37*CJ37*VLOOKUP('Données projet'!$B$12,Paramètres!$A$1:$I$89,3,0)*0.475*44/12</f>
        <v>6.9425017022911728</v>
      </c>
      <c r="CN37" s="22">
        <f t="shared" si="12"/>
        <v>25.616589248597329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13.8</v>
      </c>
      <c r="CT37" s="12">
        <f>IF('Données projet'!$A$140&gt;35,CT36+CS37-DB36,IF(A37&lt;'Données projet'!$A$140,$CQ$205^A37,IF(A37='Données projet'!$A$140,'Données projet'!$B$140,CT36+CS37-DB36)))</f>
        <v>231.20000000000005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12.1</v>
      </c>
      <c r="DO37" s="12">
        <f>IF('Données projet'!$A$166&gt;35,DO36+DN37-DW36,IF(A37&lt;'Données projet'!$A$166,$DL$205^A37,IF(A37='Données projet'!$A$166,'Données projet'!$B$166,DO36+DN37-DW36)))</f>
        <v>190.39999999999998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12.833333333333334</v>
      </c>
      <c r="N38" s="13">
        <f>IF('Données projet'!$A$36&gt;35,N37+M38-V37,IF(A38&lt;'Données projet'!$A$36,$K$205^A38,IF(A38='Données projet'!$A$36,'Données projet'!$B$36,N37+M38-V37)))</f>
        <v>210.83333333333337</v>
      </c>
      <c r="O38" s="13">
        <f>N38*VLOOKUP('Données projet'!$B$9,Paramètres!$A$1:$I$89,3,0)*VLOOKUP('Données projet'!$B$9,Paramètres!$A$1:$I$89,5,0)</f>
        <v>126.07833333333336</v>
      </c>
      <c r="P38" s="13">
        <f t="shared" si="33"/>
        <v>33.08856817390501</v>
      </c>
      <c r="Q38" s="20">
        <f t="shared" si="53"/>
        <v>277.21568679177352</v>
      </c>
      <c r="R38" s="59">
        <f t="shared" si="0"/>
        <v>570.54902012510684</v>
      </c>
      <c r="S38" s="59">
        <f ca="1">AVERAGE(OFFSET($R$3,0,0,'Données projet'!$E$9+1,1))-AVERAGE(OFFSET($H$3,0,0,'Données projet'!$E$9+1,1))</f>
        <v>168.08890945052406</v>
      </c>
      <c r="T38" s="59">
        <f t="shared" si="34"/>
        <v>182.52462557642343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5.6265947011860407</v>
      </c>
      <c r="AA38" s="21">
        <f>EXP(-LN(2)/25)*AA37+(1-EXP(-LN(2)/25))/(LN(2)/25)*Calculateur!V38*Calculateur!X38*VLOOKUP('Données projet'!$B$9,Paramètres!$A$1:$I$89,3,0)*0.475*44/12</f>
        <v>10.734656490378301</v>
      </c>
      <c r="AB38" s="21">
        <f>EXP(-LN(2)/2)*AB37+(1-EXP(-LN(2)/2))/(LN(2)/2)*V38*Y38*VLOOKUP('Données projet'!$B$9,Paramètres!$A$1:$I$89,3,0)*0.475*44/12</f>
        <v>0.9626715014909254</v>
      </c>
      <c r="AC38" s="22">
        <f t="shared" si="3"/>
        <v>17.323922693055266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13.7</v>
      </c>
      <c r="AI38" s="13">
        <f>IF('Données projet'!$A$62&gt;35,AI37+AH38-AQ37,IF(A38&lt;'Données projet'!$A$62,$AF$205^A38,IF(A38='Données projet'!$A$62,'Données projet'!$B$62,AI37+AH38-AQ37)))</f>
        <v>216.49999999999994</v>
      </c>
      <c r="AJ38" s="13">
        <f>AI38*VLOOKUP('Données projet'!$B$10,Paramètres!$A$1:$I$89,3,0)*VLOOKUP('Données projet'!$B$10,Paramètres!$A$1:$I$89,5,0)</f>
        <v>129.46699999999998</v>
      </c>
      <c r="AK38" s="13">
        <f t="shared" si="35"/>
        <v>33.873169248083329</v>
      </c>
      <c r="AL38" s="20">
        <f t="shared" si="4"/>
        <v>284.48412810707845</v>
      </c>
      <c r="AM38" s="59">
        <f t="shared" si="5"/>
        <v>577.81746144041176</v>
      </c>
      <c r="AN38" s="59">
        <f ca="1">AVERAGE(OFFSET($AM$3,0,0,'Données projet'!$E$10+1,1))-AVERAGE(OFFSET($H$3,0,0,'Données projet'!$E$10+1,1))</f>
        <v>216.94426559495264</v>
      </c>
      <c r="AO38" s="59">
        <f t="shared" si="36"/>
        <v>225.33715877618704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11.185933623003592</v>
      </c>
      <c r="AW38" s="21">
        <f>EXP(-LN(2)/2)*AW37+(1-EXP(-LN(2)/2))/(LN(2)/2)*AQ38*AT38*VLOOKUP('Données projet'!$B$10,Paramètres!$A$1:$I$89,3,0)*0.475*44/12</f>
        <v>4.194797819998338</v>
      </c>
      <c r="AX38" s="21">
        <f t="shared" si="6"/>
        <v>15.380731443001931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8.1999999999999993</v>
      </c>
      <c r="BD38" s="12">
        <f>IF('Données projet'!$A$88&gt;35,BD37+BC38-BL37,IF(A38&lt;'Données projet'!$A$88,$BA$205^A38,IF(A38='Données projet'!$A$88,'Données projet'!$B$88,BD37+BC38-BL37)))</f>
        <v>116.99999999999999</v>
      </c>
      <c r="BE38" s="13">
        <f>BD38*VLOOKUP('Données projet'!$B$11,Paramètres!$A$1:$I$89,3,0)*VLOOKUP('Données projet'!$B$11,Paramètres!$A$1:$I$89,5,0)</f>
        <v>105.86159999999998</v>
      </c>
      <c r="BF38" s="13">
        <f t="shared" si="37"/>
        <v>28.353779818951288</v>
      </c>
      <c r="BG38" s="20">
        <f t="shared" si="7"/>
        <v>233.75845318467347</v>
      </c>
      <c r="BH38" s="59">
        <f t="shared" si="8"/>
        <v>527.09178651800676</v>
      </c>
      <c r="BI38" s="59">
        <f ca="1">AVERAGE(OFFSET($BH$3,0,0,'Données projet'!$E$11+1,1))-AVERAGE(OFFSET($H$3,0,0,'Données projet'!$E$11+1,1))</f>
        <v>237.22177246688199</v>
      </c>
      <c r="BJ38" s="59">
        <f t="shared" si="38"/>
        <v>149.27472147904302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2.7038762256240245</v>
      </c>
      <c r="BR38" s="21">
        <f>EXP(-LN(2)/2)*BR37+(1-EXP(-LN(2)/2))/(LN(2)/2)*BL38*BO38*VLOOKUP('Données projet'!$B$11,Paramètres!$A$1:$I$89,3,0)*0.475*44/12</f>
        <v>1.0941324597471873</v>
      </c>
      <c r="BS38" s="22">
        <f t="shared" si="9"/>
        <v>3.7980086853712116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10.1</v>
      </c>
      <c r="BY38" s="12">
        <f>IF('Données projet'!$A$114&gt;35,BY37+BX38-CG37,IF(A38&lt;'Données projet'!$A$114,$BV$205^A38,IF(A38='Données projet'!$A$114,'Données projet'!$B$114,BY37+BX38-CG37)))</f>
        <v>176.50000000000006</v>
      </c>
      <c r="BZ38" s="13">
        <f>BY38*VLOOKUP('Données projet'!$B$12,Paramètres!$A$1:$I$89,3,0)*VLOOKUP('Données projet'!$B$12,Paramètres!$A$1:$I$89,5,0)</f>
        <v>154.19040000000007</v>
      </c>
      <c r="CA38" s="13">
        <f t="shared" si="39"/>
        <v>39.529336625598283</v>
      </c>
      <c r="CB38" s="20">
        <f t="shared" si="10"/>
        <v>337.39520795625043</v>
      </c>
      <c r="CC38" s="59">
        <f t="shared" si="11"/>
        <v>630.72854128958375</v>
      </c>
      <c r="CD38" s="59">
        <f ca="1">AVERAGE(OFFSET($CC$3,0,0,'Données projet'!$E$12+1,1))-AVERAGE(OFFSET($H$3,0,0,'Données projet'!$E$12+1,1))</f>
        <v>223.81948236065614</v>
      </c>
      <c r="CE38" s="59">
        <f t="shared" si="40"/>
        <v>320.1204011431372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2.7832718422826557</v>
      </c>
      <c r="CL38" s="21">
        <f>EXP(-LN(2)/25)*CL37+(1-EXP(-LN(2)/25))/(LN(2)/25)*Calculateur!CG38*Calculateur!CI38*VLOOKUP('Données projet'!$B$12,Paramètres!$A$1:$I$89,3,0)*0.475*44/12</f>
        <v>15.402132893421784</v>
      </c>
      <c r="CM38" s="21">
        <f>EXP(-LN(2)/2)*CM37+(1-EXP(-LN(2)/2))/(LN(2)/2)*CG38*CJ38*VLOOKUP('Données projet'!$B$12,Paramètres!$A$1:$I$89,3,0)*0.475*44/12</f>
        <v>4.9090900320892388</v>
      </c>
      <c r="CN38" s="22">
        <f t="shared" si="12"/>
        <v>23.09449476779368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13.8</v>
      </c>
      <c r="CT38" s="12">
        <f>IF('Données projet'!$A$140&gt;35,CT37+CS38-DB37,IF(A38&lt;'Données projet'!$A$140,$CQ$205^A38,IF(A38='Données projet'!$A$140,'Données projet'!$B$140,CT37+CS38-DB37)))</f>
        <v>245.00000000000006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12.1</v>
      </c>
      <c r="DO38" s="12">
        <f>IF('Données projet'!$A$166&gt;35,DO37+DN38-DW37,IF(A38&lt;'Données projet'!$A$166,$DL$205^A38,IF(A38='Données projet'!$A$166,'Données projet'!$B$166,DO37+DN38-DW37)))</f>
        <v>202.49999999999997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12.833333333333334</v>
      </c>
      <c r="N39" s="13">
        <f>IF('Données projet'!$A$36&gt;35,N38+M39-V38,IF(A39&lt;'Données projet'!$A$36,$K$205^A39,IF(A39='Données projet'!$A$36,'Données projet'!$B$36,N38+M39-V38)))</f>
        <v>223.66666666666671</v>
      </c>
      <c r="O39" s="13">
        <f>N39*VLOOKUP('Données projet'!$B$9,Paramètres!$A$1:$I$89,3,0)*VLOOKUP('Données projet'!$B$9,Paramètres!$A$1:$I$89,5,0)</f>
        <v>133.75266666666673</v>
      </c>
      <c r="P39" s="13">
        <f t="shared" si="33"/>
        <v>34.86204901776788</v>
      </c>
      <c r="Q39" s="20">
        <f t="shared" si="53"/>
        <v>293.67062981705698</v>
      </c>
      <c r="R39" s="59">
        <f t="shared" si="0"/>
        <v>587.00396315039029</v>
      </c>
      <c r="S39" s="59">
        <f ca="1">AVERAGE(OFFSET($R$3,0,0,'Données projet'!$E$9+1,1))-AVERAGE(OFFSET($H$3,0,0,'Données projet'!$E$9+1,1))</f>
        <v>168.08890945052406</v>
      </c>
      <c r="T39" s="59">
        <f t="shared" si="34"/>
        <v>182.52462557642343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5.5162606109796801</v>
      </c>
      <c r="AA39" s="21">
        <f>EXP(-LN(2)/25)*AA38+(1-EXP(-LN(2)/25))/(LN(2)/25)*Calculateur!V39*Calculateur!X39*VLOOKUP('Données projet'!$B$9,Paramètres!$A$1:$I$89,3,0)*0.475*44/12</f>
        <v>10.441116744137856</v>
      </c>
      <c r="AB39" s="21">
        <f>EXP(-LN(2)/2)*AB38+(1-EXP(-LN(2)/2))/(LN(2)/2)*V39*Y39*VLOOKUP('Données projet'!$B$9,Paramètres!$A$1:$I$89,3,0)*0.475*44/12</f>
        <v>0.68071154675926904</v>
      </c>
      <c r="AC39" s="22">
        <f t="shared" si="3"/>
        <v>16.638088901876806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13.7</v>
      </c>
      <c r="AI39" s="13">
        <f>IF('Données projet'!$A$62&gt;35,AI38+AH39-AQ38,IF(A39&lt;'Données projet'!$A$62,$AF$205^A39,IF(A39='Données projet'!$A$62,'Données projet'!$B$62,AI38+AH39-AQ38)))</f>
        <v>230.19999999999993</v>
      </c>
      <c r="AJ39" s="13">
        <f>AI39*VLOOKUP('Données projet'!$B$10,Paramètres!$A$1:$I$89,3,0)*VLOOKUP('Données projet'!$B$10,Paramètres!$A$1:$I$89,5,0)</f>
        <v>137.65959999999995</v>
      </c>
      <c r="AK39" s="13">
        <f t="shared" si="35"/>
        <v>35.760327802577585</v>
      </c>
      <c r="AL39" s="20">
        <f t="shared" si="4"/>
        <v>302.03970758948918</v>
      </c>
      <c r="AM39" s="59">
        <f t="shared" si="5"/>
        <v>595.3730409228225</v>
      </c>
      <c r="AN39" s="59">
        <f ca="1">AVERAGE(OFFSET($AM$3,0,0,'Données projet'!$E$10+1,1))-AVERAGE(OFFSET($H$3,0,0,'Données projet'!$E$10+1,1))</f>
        <v>216.94426559495264</v>
      </c>
      <c r="AO39" s="59">
        <f t="shared" si="36"/>
        <v>225.33715877618704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10.880053679839875</v>
      </c>
      <c r="AW39" s="21">
        <f>EXP(-LN(2)/2)*AW38+(1-EXP(-LN(2)/2))/(LN(2)/2)*AQ39*AT39*VLOOKUP('Données projet'!$B$10,Paramètres!$A$1:$I$89,3,0)*0.475*44/12</f>
        <v>2.9661699842273714</v>
      </c>
      <c r="AX39" s="21">
        <f t="shared" si="6"/>
        <v>13.846223664067246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8.1999999999999993</v>
      </c>
      <c r="BD39" s="12">
        <f>IF('Données projet'!$A$88&gt;35,BD38+BC39-BL38,IF(A39&lt;'Données projet'!$A$88,$BA$205^A39,IF(A39='Données projet'!$A$88,'Données projet'!$B$88,BD38+BC39-BL38)))</f>
        <v>125.19999999999999</v>
      </c>
      <c r="BE39" s="13">
        <f>BD39*VLOOKUP('Données projet'!$B$11,Paramètres!$A$1:$I$89,3,0)*VLOOKUP('Données projet'!$B$11,Paramètres!$A$1:$I$89,5,0)</f>
        <v>113.28095999999998</v>
      </c>
      <c r="BF39" s="13">
        <f t="shared" si="37"/>
        <v>30.102677097724456</v>
      </c>
      <c r="BG39" s="20">
        <f t="shared" si="7"/>
        <v>249.72650127853672</v>
      </c>
      <c r="BH39" s="59">
        <f t="shared" si="8"/>
        <v>543.05983461186997</v>
      </c>
      <c r="BI39" s="59">
        <f ca="1">AVERAGE(OFFSET($BH$3,0,0,'Données projet'!$E$11+1,1))-AVERAGE(OFFSET($H$3,0,0,'Données projet'!$E$11+1,1))</f>
        <v>237.22177246688199</v>
      </c>
      <c r="BJ39" s="59">
        <f t="shared" si="38"/>
        <v>149.27472147904302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2.6299385880436645</v>
      </c>
      <c r="BR39" s="21">
        <f>EXP(-LN(2)/2)*BR38+(1-EXP(-LN(2)/2))/(LN(2)/2)*BL39*BO39*VLOOKUP('Données projet'!$B$11,Paramètres!$A$1:$I$89,3,0)*0.475*44/12</f>
        <v>0.77366848180355341</v>
      </c>
      <c r="BS39" s="22">
        <f t="shared" si="9"/>
        <v>3.4036070698472178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10.1</v>
      </c>
      <c r="BY39" s="12">
        <f>IF('Données projet'!$A$114&gt;35,BY38+BX39-CG38,IF(A39&lt;'Données projet'!$A$114,$BV$205^A39,IF(A39='Données projet'!$A$114,'Données projet'!$B$114,BY38+BX39-CG38)))</f>
        <v>186.60000000000005</v>
      </c>
      <c r="BZ39" s="13">
        <f>BY39*VLOOKUP('Données projet'!$B$12,Paramètres!$A$1:$I$89,3,0)*VLOOKUP('Données projet'!$B$12,Paramètres!$A$1:$I$89,5,0)</f>
        <v>163.01376000000008</v>
      </c>
      <c r="CA39" s="13">
        <f t="shared" si="39"/>
        <v>41.5215373664754</v>
      </c>
      <c r="CB39" s="20">
        <f t="shared" si="10"/>
        <v>356.23230957994474</v>
      </c>
      <c r="CC39" s="59">
        <f t="shared" si="11"/>
        <v>649.565642913278</v>
      </c>
      <c r="CD39" s="59">
        <f ca="1">AVERAGE(OFFSET($CC$3,0,0,'Données projet'!$E$12+1,1))-AVERAGE(OFFSET($H$3,0,0,'Données projet'!$E$12+1,1))</f>
        <v>223.81948236065614</v>
      </c>
      <c r="CE39" s="59">
        <f t="shared" si="40"/>
        <v>320.1204011431372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2.7286935790836897</v>
      </c>
      <c r="CL39" s="21">
        <f>EXP(-LN(2)/25)*CL38+(1-EXP(-LN(2)/25))/(LN(2)/25)*Calculateur!CG39*Calculateur!CI39*VLOOKUP('Données projet'!$B$12,Paramètres!$A$1:$I$89,3,0)*0.475*44/12</f>
        <v>14.980960759488198</v>
      </c>
      <c r="CM39" s="21">
        <f>EXP(-LN(2)/2)*CM38+(1-EXP(-LN(2)/2))/(LN(2)/2)*CG39*CJ39*VLOOKUP('Données projet'!$B$12,Paramètres!$A$1:$I$89,3,0)*0.475*44/12</f>
        <v>3.4712508511455873</v>
      </c>
      <c r="CN39" s="22">
        <f t="shared" si="12"/>
        <v>21.180905189717475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13.8</v>
      </c>
      <c r="CT39" s="12">
        <f>IF('Données projet'!$A$140&gt;35,CT38+CS39-DB38,IF(A39&lt;'Données projet'!$A$140,$CQ$205^A39,IF(A39='Données projet'!$A$140,'Données projet'!$B$140,CT38+CS39-DB38)))</f>
        <v>258.80000000000007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12.1</v>
      </c>
      <c r="DO39" s="12">
        <f>IF('Données projet'!$A$166&gt;35,DO38+DN39-DW38,IF(A39&lt;'Données projet'!$A$166,$DL$205^A39,IF(A39='Données projet'!$A$166,'Données projet'!$B$166,DO38+DN39-DW38)))</f>
        <v>214.59999999999997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12.833333333333334</v>
      </c>
      <c r="N40" s="13">
        <f>IF('Données projet'!$A$36&gt;35,N39+M40-V39,IF(A40&lt;'Données projet'!$A$36,$K$205^A40,IF(A40='Données projet'!$A$36,'Données projet'!$B$36,N39+M40-V39)))</f>
        <v>236.50000000000006</v>
      </c>
      <c r="O40" s="13">
        <f>N40*VLOOKUP('Données projet'!$B$9,Paramètres!$A$1:$I$89,3,0)*VLOOKUP('Données projet'!$B$9,Paramètres!$A$1:$I$89,5,0)</f>
        <v>141.42700000000005</v>
      </c>
      <c r="P40" s="13">
        <f t="shared" si="33"/>
        <v>36.623717959686019</v>
      </c>
      <c r="Q40" s="20">
        <f t="shared" si="53"/>
        <v>310.10500044645323</v>
      </c>
      <c r="R40" s="59">
        <f t="shared" si="0"/>
        <v>603.43833377978649</v>
      </c>
      <c r="S40" s="59">
        <f ca="1">AVERAGE(OFFSET($R$3,0,0,'Données projet'!$E$9+1,1))-AVERAGE(OFFSET($H$3,0,0,'Données projet'!$E$9+1,1))</f>
        <v>168.08890945052406</v>
      </c>
      <c r="T40" s="59">
        <f t="shared" si="34"/>
        <v>182.52462557642343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5.4080901049851162</v>
      </c>
      <c r="AA40" s="21">
        <f>EXP(-LN(2)/25)*AA39+(1-EXP(-LN(2)/25))/(LN(2)/25)*Calculateur!V40*Calculateur!X40*VLOOKUP('Données projet'!$B$9,Paramètres!$A$1:$I$89,3,0)*0.475*44/12</f>
        <v>10.15560385769494</v>
      </c>
      <c r="AB40" s="21">
        <f>EXP(-LN(2)/2)*AB39+(1-EXP(-LN(2)/2))/(LN(2)/2)*V40*Y40*VLOOKUP('Données projet'!$B$9,Paramètres!$A$1:$I$89,3,0)*0.475*44/12</f>
        <v>0.48133575074546281</v>
      </c>
      <c r="AC40" s="22">
        <f t="shared" si="3"/>
        <v>16.045029713425517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13.7</v>
      </c>
      <c r="AI40" s="13">
        <f>IF('Données projet'!$A$62&gt;35,AI39+AH40-AQ39,IF(A40&lt;'Données projet'!$A$62,$AF$205^A40,IF(A40='Données projet'!$A$62,'Données projet'!$B$62,AI39+AH40-AQ39)))</f>
        <v>243.89999999999992</v>
      </c>
      <c r="AJ40" s="13">
        <f>AI40*VLOOKUP('Données projet'!$B$10,Paramètres!$A$1:$I$89,3,0)*VLOOKUP('Données projet'!$B$10,Paramètres!$A$1:$I$89,5,0)</f>
        <v>145.85219999999998</v>
      </c>
      <c r="AK40" s="13">
        <f t="shared" si="35"/>
        <v>37.634450370795903</v>
      </c>
      <c r="AL40" s="20">
        <f t="shared" si="4"/>
        <v>319.57258272913612</v>
      </c>
      <c r="AM40" s="59">
        <f t="shared" si="5"/>
        <v>612.90591606246949</v>
      </c>
      <c r="AN40" s="59">
        <f ca="1">AVERAGE(OFFSET($AM$3,0,0,'Données projet'!$E$10+1,1))-AVERAGE(OFFSET($H$3,0,0,'Données projet'!$E$10+1,1))</f>
        <v>216.94426559495264</v>
      </c>
      <c r="AO40" s="59">
        <f t="shared" si="36"/>
        <v>225.33715877618704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10.582538039807497</v>
      </c>
      <c r="AW40" s="21">
        <f>EXP(-LN(2)/2)*AW39+(1-EXP(-LN(2)/2))/(LN(2)/2)*AQ40*AT40*VLOOKUP('Données projet'!$B$10,Paramètres!$A$1:$I$89,3,0)*0.475*44/12</f>
        <v>2.097398909999169</v>
      </c>
      <c r="AX40" s="21">
        <f t="shared" si="6"/>
        <v>12.679936949806667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8.1999999999999993</v>
      </c>
      <c r="BD40" s="12">
        <f>IF('Données projet'!$A$88&gt;35,BD39+BC40-BL39,IF(A40&lt;'Données projet'!$A$88,$BA$205^A40,IF(A40='Données projet'!$A$88,'Données projet'!$B$88,BD39+BC40-BL39)))</f>
        <v>133.39999999999998</v>
      </c>
      <c r="BE40" s="13">
        <f>BD40*VLOOKUP('Données projet'!$B$11,Paramètres!$A$1:$I$89,3,0)*VLOOKUP('Données projet'!$B$11,Paramètres!$A$1:$I$89,5,0)</f>
        <v>120.70031999999998</v>
      </c>
      <c r="BF40" s="13">
        <f t="shared" si="37"/>
        <v>31.838282075030818</v>
      </c>
      <c r="BG40" s="20">
        <f t="shared" si="7"/>
        <v>265.67139861401193</v>
      </c>
      <c r="BH40" s="59">
        <f t="shared" si="8"/>
        <v>559.00473194734525</v>
      </c>
      <c r="BI40" s="59">
        <f ca="1">AVERAGE(OFFSET($BH$3,0,0,'Données projet'!$E$11+1,1))-AVERAGE(OFFSET($H$3,0,0,'Données projet'!$E$11+1,1))</f>
        <v>237.22177246688199</v>
      </c>
      <c r="BJ40" s="59">
        <f t="shared" si="38"/>
        <v>149.27472147904302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2.5580227790511509</v>
      </c>
      <c r="BR40" s="21">
        <f>EXP(-LN(2)/2)*BR39+(1-EXP(-LN(2)/2))/(LN(2)/2)*BL40*BO40*VLOOKUP('Données projet'!$B$11,Paramètres!$A$1:$I$89,3,0)*0.475*44/12</f>
        <v>0.54706622987359366</v>
      </c>
      <c r="BS40" s="22">
        <f t="shared" si="9"/>
        <v>3.1050890089247445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10.1</v>
      </c>
      <c r="BY40" s="12">
        <f>IF('Données projet'!$A$114&gt;35,BY39+BX40-CG39,IF(A40&lt;'Données projet'!$A$114,$BV$205^A40,IF(A40='Données projet'!$A$114,'Données projet'!$B$114,BY39+BX40-CG39)))</f>
        <v>196.70000000000005</v>
      </c>
      <c r="BZ40" s="13">
        <f>BY40*VLOOKUP('Données projet'!$B$12,Paramètres!$A$1:$I$89,3,0)*VLOOKUP('Données projet'!$B$12,Paramètres!$A$1:$I$89,5,0)</f>
        <v>171.83712000000006</v>
      </c>
      <c r="CA40" s="13">
        <f t="shared" si="39"/>
        <v>43.501219605956322</v>
      </c>
      <c r="CB40" s="20">
        <f t="shared" si="10"/>
        <v>375.04760814704065</v>
      </c>
      <c r="CC40" s="59">
        <f t="shared" si="11"/>
        <v>668.38094148037396</v>
      </c>
      <c r="CD40" s="59">
        <f ca="1">AVERAGE(OFFSET($CC$3,0,0,'Données projet'!$E$12+1,1))-AVERAGE(OFFSET($H$3,0,0,'Données projet'!$E$12+1,1))</f>
        <v>223.81948236065614</v>
      </c>
      <c r="CE40" s="59">
        <f t="shared" si="40"/>
        <v>320.1204011431372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2.6751855623366021</v>
      </c>
      <c r="CL40" s="21">
        <f>EXP(-LN(2)/25)*CL39+(1-EXP(-LN(2)/25))/(LN(2)/25)*Calculateur!CG40*Calculateur!CI40*VLOOKUP('Données projet'!$B$12,Paramètres!$A$1:$I$89,3,0)*0.475*44/12</f>
        <v>14.571305599705507</v>
      </c>
      <c r="CM40" s="21">
        <f>EXP(-LN(2)/2)*CM39+(1-EXP(-LN(2)/2))/(LN(2)/2)*CG40*CJ40*VLOOKUP('Données projet'!$B$12,Paramètres!$A$1:$I$89,3,0)*0.475*44/12</f>
        <v>2.4545450160446198</v>
      </c>
      <c r="CN40" s="22">
        <f t="shared" si="12"/>
        <v>19.701036178086728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13.8</v>
      </c>
      <c r="CT40" s="12">
        <f>IF('Données projet'!$A$140&gt;35,CT39+CS40-DB39,IF(A40&lt;'Données projet'!$A$140,$CQ$205^A40,IF(A40='Données projet'!$A$140,'Données projet'!$B$140,CT39+CS40-DB39)))</f>
        <v>272.60000000000008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12.1</v>
      </c>
      <c r="DO40" s="12">
        <f>IF('Données projet'!$A$166&gt;35,DO39+DN40-DW39,IF(A40&lt;'Données projet'!$A$166,$DL$205^A40,IF(A40='Données projet'!$A$166,'Données projet'!$B$166,DO39+DN40-DW39)))</f>
        <v>226.69999999999996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12.833333333333334</v>
      </c>
      <c r="N41" s="13">
        <f>IF('Données projet'!$A$36&gt;35,N40+M41-V40,IF(A41&lt;'Données projet'!$A$36,$K$205^A41,IF(A41='Données projet'!$A$36,'Données projet'!$B$36,N40+M41-V40)))</f>
        <v>249.3333333333334</v>
      </c>
      <c r="O41" s="13">
        <f>N41*VLOOKUP('Données projet'!$B$9,Paramètres!$A$1:$I$89,3,0)*VLOOKUP('Données projet'!$B$9,Paramètres!$A$1:$I$89,5,0)</f>
        <v>149.1013333333334</v>
      </c>
      <c r="P41" s="13">
        <f t="shared" si="33"/>
        <v>38.37428902704788</v>
      </c>
      <c r="Q41" s="20">
        <f t="shared" si="53"/>
        <v>326.52004227766406</v>
      </c>
      <c r="R41" s="59">
        <f t="shared" si="0"/>
        <v>619.85337561099732</v>
      </c>
      <c r="S41" s="59">
        <f ca="1">AVERAGE(OFFSET($R$3,0,0,'Données projet'!$E$9+1,1))-AVERAGE(OFFSET($H$3,0,0,'Données projet'!$E$9+1,1))</f>
        <v>168.08890945052406</v>
      </c>
      <c r="T41" s="59">
        <f t="shared" si="34"/>
        <v>182.52462557642343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5.3020407566356118</v>
      </c>
      <c r="AA41" s="21">
        <f>EXP(-LN(2)/25)*AA40+(1-EXP(-LN(2)/25))/(LN(2)/25)*Calculateur!V41*Calculateur!X41*VLOOKUP('Données projet'!$B$9,Paramètres!$A$1:$I$89,3,0)*0.475*44/12</f>
        <v>9.8778983361462753</v>
      </c>
      <c r="AB41" s="21">
        <f>EXP(-LN(2)/2)*AB40+(1-EXP(-LN(2)/2))/(LN(2)/2)*V41*Y41*VLOOKUP('Données projet'!$B$9,Paramètres!$A$1:$I$89,3,0)*0.475*44/12</f>
        <v>0.34035577337963457</v>
      </c>
      <c r="AC41" s="22">
        <f t="shared" si="3"/>
        <v>15.520294866161521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13.7</v>
      </c>
      <c r="AI41" s="13">
        <f>IF('Données projet'!$A$62&gt;35,AI40+AH41-AQ40,IF(A41&lt;'Données projet'!$A$62,$AF$205^A41,IF(A41='Données projet'!$A$62,'Données projet'!$B$62,AI40+AH41-AQ40)))</f>
        <v>257.59999999999991</v>
      </c>
      <c r="AJ41" s="13">
        <f>AI41*VLOOKUP('Données projet'!$B$10,Paramètres!$A$1:$I$89,3,0)*VLOOKUP('Données projet'!$B$10,Paramètres!$A$1:$I$89,5,0)</f>
        <v>154.04479999999995</v>
      </c>
      <c r="AK41" s="13">
        <f t="shared" si="35"/>
        <v>39.496352638742984</v>
      </c>
      <c r="AL41" s="20">
        <f t="shared" si="4"/>
        <v>337.08417417914399</v>
      </c>
      <c r="AM41" s="59">
        <f t="shared" si="5"/>
        <v>630.4175075124773</v>
      </c>
      <c r="AN41" s="59">
        <f ca="1">AVERAGE(OFFSET($AM$3,0,0,'Données projet'!$E$10+1,1))-AVERAGE(OFFSET($H$3,0,0,'Données projet'!$E$10+1,1))</f>
        <v>216.94426559495264</v>
      </c>
      <c r="AO41" s="59">
        <f t="shared" si="36"/>
        <v>225.33715877618704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10.293157980597472</v>
      </c>
      <c r="AW41" s="21">
        <f>EXP(-LN(2)/2)*AW40+(1-EXP(-LN(2)/2))/(LN(2)/2)*AQ41*AT41*VLOOKUP('Données projet'!$B$10,Paramètres!$A$1:$I$89,3,0)*0.475*44/12</f>
        <v>1.4830849921136857</v>
      </c>
      <c r="AX41" s="21">
        <f t="shared" si="6"/>
        <v>11.776242972711158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8.1999999999999993</v>
      </c>
      <c r="BD41" s="12">
        <f>IF('Données projet'!$A$88&gt;35,BD40+BC41-BL40,IF(A41&lt;'Données projet'!$A$88,$BA$205^A41,IF(A41='Données projet'!$A$88,'Données projet'!$B$88,BD40+BC41-BL40)))</f>
        <v>141.59999999999997</v>
      </c>
      <c r="BE41" s="13">
        <f>BD41*VLOOKUP('Données projet'!$B$11,Paramètres!$A$1:$I$89,3,0)*VLOOKUP('Données projet'!$B$11,Paramètres!$A$1:$I$89,5,0)</f>
        <v>128.11967999999996</v>
      </c>
      <c r="BF41" s="13">
        <f t="shared" si="37"/>
        <v>33.561504850994297</v>
      </c>
      <c r="BG41" s="20">
        <f t="shared" si="7"/>
        <v>281.5947302821483</v>
      </c>
      <c r="BH41" s="59">
        <f t="shared" si="8"/>
        <v>574.92806361548162</v>
      </c>
      <c r="BI41" s="59">
        <f ca="1">AVERAGE(OFFSET($BH$3,0,0,'Données projet'!$E$11+1,1))-AVERAGE(OFFSET($H$3,0,0,'Données projet'!$E$11+1,1))</f>
        <v>237.22177246688199</v>
      </c>
      <c r="BJ41" s="59">
        <f t="shared" si="38"/>
        <v>149.27472147904302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2.4880735116374257</v>
      </c>
      <c r="BR41" s="21">
        <f>EXP(-LN(2)/2)*BR40+(1-EXP(-LN(2)/2))/(LN(2)/2)*BL41*BO41*VLOOKUP('Données projet'!$B$11,Paramètres!$A$1:$I$89,3,0)*0.475*44/12</f>
        <v>0.3868342409017767</v>
      </c>
      <c r="BS41" s="22">
        <f t="shared" si="9"/>
        <v>2.8749077525392024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10.1</v>
      </c>
      <c r="BY41" s="12">
        <f>IF('Données projet'!$A$114&gt;35,BY40+BX41-CG40,IF(A41&lt;'Données projet'!$A$114,$BV$205^A41,IF(A41='Données projet'!$A$114,'Données projet'!$B$114,BY40+BX41-CG40)))</f>
        <v>206.80000000000004</v>
      </c>
      <c r="BZ41" s="13">
        <f>BY41*VLOOKUP('Données projet'!$B$12,Paramètres!$A$1:$I$89,3,0)*VLOOKUP('Données projet'!$B$12,Paramètres!$A$1:$I$89,5,0)</f>
        <v>180.66048000000006</v>
      </c>
      <c r="CA41" s="13">
        <f t="shared" si="39"/>
        <v>45.469099459918802</v>
      </c>
      <c r="CB41" s="20">
        <f t="shared" si="10"/>
        <v>393.84235089269197</v>
      </c>
      <c r="CC41" s="59">
        <f t="shared" si="11"/>
        <v>687.17568422602528</v>
      </c>
      <c r="CD41" s="59">
        <f ca="1">AVERAGE(OFFSET($CC$3,0,0,'Données projet'!$E$12+1,1))-AVERAGE(OFFSET($H$3,0,0,'Données projet'!$E$12+1,1))</f>
        <v>223.81948236065614</v>
      </c>
      <c r="CE41" s="59">
        <f t="shared" si="40"/>
        <v>320.1204011431372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2.6227268051612573</v>
      </c>
      <c r="CL41" s="21">
        <f>EXP(-LN(2)/25)*CL40+(1-EXP(-LN(2)/25))/(LN(2)/25)*Calculateur!CG41*Calculateur!CI41*VLOOKUP('Données projet'!$B$12,Paramètres!$A$1:$I$89,3,0)*0.475*44/12</f>
        <v>14.172852481809901</v>
      </c>
      <c r="CM41" s="21">
        <f>EXP(-LN(2)/2)*CM40+(1-EXP(-LN(2)/2))/(LN(2)/2)*CG41*CJ41*VLOOKUP('Données projet'!$B$12,Paramètres!$A$1:$I$89,3,0)*0.475*44/12</f>
        <v>1.7356254255727939</v>
      </c>
      <c r="CN41" s="22">
        <f t="shared" si="12"/>
        <v>18.531204712543953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13.8</v>
      </c>
      <c r="CT41" s="12">
        <f>IF('Données projet'!$A$140&gt;35,CT40+CS41-DB40,IF(A41&lt;'Données projet'!$A$140,$CQ$205^A41,IF(A41='Données projet'!$A$140,'Données projet'!$B$140,CT40+CS41-DB40)))</f>
        <v>286.40000000000009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12.1</v>
      </c>
      <c r="DO41" s="12">
        <f>IF('Données projet'!$A$166&gt;35,DO40+DN41-DW40,IF(A41&lt;'Données projet'!$A$166,$DL$205^A41,IF(A41='Données projet'!$A$166,'Données projet'!$B$166,DO40+DN41-DW40)))</f>
        <v>238.79999999999995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12.833333333333334</v>
      </c>
      <c r="N42" s="13">
        <f>IF('Données projet'!$A$36&gt;35,N41+M42-V41,IF(A42&lt;'Données projet'!$A$36,$K$205^A42,IF(A42='Données projet'!$A$36,'Données projet'!$B$36,N41+M42-V41)))</f>
        <v>262.16666666666674</v>
      </c>
      <c r="O42" s="13">
        <f>N42*VLOOKUP('Données projet'!$B$9,Paramètres!$A$1:$I$89,3,0)*VLOOKUP('Données projet'!$B$9,Paramètres!$A$1:$I$89,5,0)</f>
        <v>156.77566666666672</v>
      </c>
      <c r="P42" s="13">
        <f t="shared" si="33"/>
        <v>40.114398592763365</v>
      </c>
      <c r="Q42" s="20">
        <f t="shared" si="53"/>
        <v>342.9168636601741</v>
      </c>
      <c r="R42" s="59">
        <f t="shared" si="0"/>
        <v>636.25019699350742</v>
      </c>
      <c r="S42" s="59">
        <f ca="1">AVERAGE(OFFSET($R$3,0,0,'Données projet'!$E$9+1,1))-AVERAGE(OFFSET($H$3,0,0,'Données projet'!$E$9+1,1))</f>
        <v>168.08890945052406</v>
      </c>
      <c r="T42" s="59">
        <f t="shared" si="34"/>
        <v>182.52462557642343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5.1980709713235251</v>
      </c>
      <c r="AA42" s="21">
        <f>EXP(-LN(2)/25)*AA41+(1-EXP(-LN(2)/25))/(LN(2)/25)*Calculateur!V42*Calculateur!X42*VLOOKUP('Données projet'!$B$9,Paramètres!$A$1:$I$89,3,0)*0.475*44/12</f>
        <v>9.6077866866882573</v>
      </c>
      <c r="AB42" s="21">
        <f>EXP(-LN(2)/2)*AB41+(1-EXP(-LN(2)/2))/(LN(2)/2)*V42*Y42*VLOOKUP('Données projet'!$B$9,Paramètres!$A$1:$I$89,3,0)*0.475*44/12</f>
        <v>0.24066787537273143</v>
      </c>
      <c r="AC42" s="22">
        <f t="shared" si="3"/>
        <v>15.046525533384512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13.7</v>
      </c>
      <c r="AI42" s="13">
        <f>IF('Données projet'!$A$62&gt;35,AI41+AH42-AQ41,IF(A42&lt;'Données projet'!$A$62,$AF$205^A42,IF(A42='Données projet'!$A$62,'Données projet'!$B$62,AI41+AH42-AQ41)))</f>
        <v>271.2999999999999</v>
      </c>
      <c r="AJ42" s="13">
        <f>AI42*VLOOKUP('Données projet'!$B$10,Paramètres!$A$1:$I$89,3,0)*VLOOKUP('Données projet'!$B$10,Paramètres!$A$1:$I$89,5,0)</f>
        <v>162.23739999999995</v>
      </c>
      <c r="AK42" s="13">
        <f t="shared" si="35"/>
        <v>41.346758630600348</v>
      </c>
      <c r="AL42" s="20">
        <f t="shared" si="4"/>
        <v>354.57574294829556</v>
      </c>
      <c r="AM42" s="59">
        <f t="shared" si="5"/>
        <v>647.90907628162881</v>
      </c>
      <c r="AN42" s="59">
        <f ca="1">AVERAGE(OFFSET($AM$3,0,0,'Données projet'!$E$10+1,1))-AVERAGE(OFFSET($H$3,0,0,'Données projet'!$E$10+1,1))</f>
        <v>216.94426559495264</v>
      </c>
      <c r="AO42" s="59">
        <f t="shared" si="36"/>
        <v>225.33715877618704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10.011691034324382</v>
      </c>
      <c r="AW42" s="21">
        <f>EXP(-LN(2)/2)*AW41+(1-EXP(-LN(2)/2))/(LN(2)/2)*AQ42*AT42*VLOOKUP('Données projet'!$B$10,Paramètres!$A$1:$I$89,3,0)*0.475*44/12</f>
        <v>1.0486994549995845</v>
      </c>
      <c r="AX42" s="21">
        <f t="shared" si="6"/>
        <v>11.060390489323966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8.1999999999999993</v>
      </c>
      <c r="BD42" s="12">
        <f>IF('Données projet'!$A$88&gt;35,BD41+BC42-BL41,IF(A42&lt;'Données projet'!$A$88,$BA$205^A42,IF(A42='Données projet'!$A$88,'Données projet'!$B$88,BD41+BC42-BL41)))</f>
        <v>149.79999999999995</v>
      </c>
      <c r="BE42" s="13">
        <f>BD42*VLOOKUP('Données projet'!$B$11,Paramètres!$A$1:$I$89,3,0)*VLOOKUP('Données projet'!$B$11,Paramètres!$A$1:$I$89,5,0)</f>
        <v>135.53903999999997</v>
      </c>
      <c r="BF42" s="13">
        <f t="shared" si="37"/>
        <v>35.273144164630104</v>
      </c>
      <c r="BG42" s="20">
        <f t="shared" si="7"/>
        <v>297.49788742006405</v>
      </c>
      <c r="BH42" s="59">
        <f t="shared" si="8"/>
        <v>590.83122075339736</v>
      </c>
      <c r="BI42" s="59">
        <f ca="1">AVERAGE(OFFSET($BH$3,0,0,'Données projet'!$E$11+1,1))-AVERAGE(OFFSET($H$3,0,0,'Données projet'!$E$11+1,1))</f>
        <v>237.22177246688199</v>
      </c>
      <c r="BJ42" s="59">
        <f t="shared" si="38"/>
        <v>149.27472147904302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2.420037010619601</v>
      </c>
      <c r="BR42" s="21">
        <f>EXP(-LN(2)/2)*BR41+(1-EXP(-LN(2)/2))/(LN(2)/2)*BL42*BO42*VLOOKUP('Données projet'!$B$11,Paramètres!$A$1:$I$89,3,0)*0.475*44/12</f>
        <v>0.27353311493679683</v>
      </c>
      <c r="BS42" s="22">
        <f t="shared" si="9"/>
        <v>2.693570125556398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10.1</v>
      </c>
      <c r="BY42" s="12">
        <f>IF('Données projet'!$A$114&gt;35,BY41+BX42-CG41,IF(A42&lt;'Données projet'!$A$114,$BV$205^A42,IF(A42='Données projet'!$A$114,'Données projet'!$B$114,BY41+BX42-CG41)))</f>
        <v>216.90000000000003</v>
      </c>
      <c r="BZ42" s="13">
        <f>BY42*VLOOKUP('Données projet'!$B$12,Paramètres!$A$1:$I$89,3,0)*VLOOKUP('Données projet'!$B$12,Paramètres!$A$1:$I$89,5,0)</f>
        <v>189.48384000000004</v>
      </c>
      <c r="CA42" s="13">
        <f t="shared" si="39"/>
        <v>47.425819142919799</v>
      </c>
      <c r="CB42" s="20">
        <f t="shared" si="10"/>
        <v>412.61765634058537</v>
      </c>
      <c r="CC42" s="59">
        <f t="shared" si="11"/>
        <v>705.95098967391868</v>
      </c>
      <c r="CD42" s="59">
        <f ca="1">AVERAGE(OFFSET($CC$3,0,0,'Données projet'!$E$12+1,1))-AVERAGE(OFFSET($H$3,0,0,'Données projet'!$E$12+1,1))</f>
        <v>223.81948236065614</v>
      </c>
      <c r="CE42" s="59">
        <f t="shared" si="40"/>
        <v>320.1204011431372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2.5712967322174385</v>
      </c>
      <c r="CL42" s="21">
        <f>EXP(-LN(2)/25)*CL41+(1-EXP(-LN(2)/25))/(LN(2)/25)*Calculateur!CG42*Calculateur!CI42*VLOOKUP('Données projet'!$B$12,Paramètres!$A$1:$I$89,3,0)*0.475*44/12</f>
        <v>13.785295085376889</v>
      </c>
      <c r="CM42" s="21">
        <f>EXP(-LN(2)/2)*CM41+(1-EXP(-LN(2)/2))/(LN(2)/2)*CG42*CJ42*VLOOKUP('Données projet'!$B$12,Paramètres!$A$1:$I$89,3,0)*0.475*44/12</f>
        <v>1.2272725080223101</v>
      </c>
      <c r="CN42" s="22">
        <f t="shared" si="12"/>
        <v>17.583864325616638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13.8</v>
      </c>
      <c r="CT42" s="12">
        <f>IF('Données projet'!$A$140&gt;35,CT41+CS42-DB41,IF(A42&lt;'Données projet'!$A$140,$CQ$205^A42,IF(A42='Données projet'!$A$140,'Données projet'!$B$140,CT41+CS42-DB41)))</f>
        <v>300.2000000000001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12.1</v>
      </c>
      <c r="DO42" s="12">
        <f>IF('Données projet'!$A$166&gt;35,DO41+DN42-DW41,IF(A42&lt;'Données projet'!$A$166,$DL$205^A42,IF(A42='Données projet'!$A$166,'Données projet'!$B$166,DO41+DN42-DW41)))</f>
        <v>250.89999999999995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275</v>
      </c>
      <c r="L43" s="12">
        <f>VLOOKUP(A43,'Données projet'!$A$35:$I$55,9,0)</f>
        <v>12.833333333333334</v>
      </c>
      <c r="M43" s="12">
        <f t="array" ref="M43">INDEX(L:L,MIN(IF(ISNUMBER(L43:L239),ROW(L43:L239),"")))</f>
        <v>12.833333333333334</v>
      </c>
      <c r="N43" s="13">
        <f>IF('Données projet'!$A$36&gt;35,N42+M43-V42,IF(A43&lt;'Données projet'!$A$36,$K$205^A43,IF(A43='Données projet'!$A$36,'Données projet'!$B$36,N42+M43-V42)))</f>
        <v>275.00000000000006</v>
      </c>
      <c r="O43" s="13">
        <f>N43*VLOOKUP('Données projet'!$B$9,Paramètres!$A$1:$I$89,3,0)*VLOOKUP('Données projet'!$B$9,Paramètres!$A$1:$I$89,5,0)</f>
        <v>164.45000000000005</v>
      </c>
      <c r="P43" s="13">
        <f t="shared" si="33"/>
        <v>41.844617207687371</v>
      </c>
      <c r="Q43" s="20">
        <f t="shared" si="53"/>
        <v>359.29645830338887</v>
      </c>
      <c r="R43" s="59">
        <f t="shared" si="0"/>
        <v>652.62979163672219</v>
      </c>
      <c r="S43" s="59">
        <f ca="1">AVERAGE(OFFSET($R$3,0,0,'Données projet'!$E$9+1,1))-AVERAGE(OFFSET($H$3,0,0,'Données projet'!$E$9+1,1))</f>
        <v>168.08890945052406</v>
      </c>
      <c r="T43" s="59">
        <f t="shared" si="34"/>
        <v>182.52462557642343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41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5.0961399700861012</v>
      </c>
      <c r="AA43" s="21">
        <f>EXP(-LN(2)/25)*AA42+(1-EXP(-LN(2)/25))/(LN(2)/25)*Calculateur!V43*Calculateur!X43*VLOOKUP('Données projet'!$B$9,Paramètres!$A$1:$I$89,3,0)*0.475*44/12</f>
        <v>9.3450612544892238</v>
      </c>
      <c r="AB43" s="21">
        <f>EXP(-LN(2)/2)*AB42+(1-EXP(-LN(2)/2))/(LN(2)/2)*V43*Y43*VLOOKUP('Données projet'!$B$9,Paramètres!$A$1:$I$89,3,0)*0.475*44/12</f>
        <v>0.17017788668981731</v>
      </c>
      <c r="AC43" s="22">
        <f t="shared" si="3"/>
        <v>14.611379111265142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285</v>
      </c>
      <c r="AG43" s="12">
        <f>VLOOKUP(A43,'Données projet'!$A$61:$I$81,9,0)</f>
        <v>13.7</v>
      </c>
      <c r="AH43" s="12">
        <f t="array" ref="AH43">INDEX(AG:AG,MIN(IF(ISNUMBER(AG43:AG239),ROW(AG43:AG239),"")))</f>
        <v>13.7</v>
      </c>
      <c r="AI43" s="13">
        <f>IF('Données projet'!$A$62&gt;35,AI42+AH43-AQ42,IF(A43&lt;'Données projet'!$A$62,$AF$205^A43,IF(A43='Données projet'!$A$62,'Données projet'!$B$62,AI42+AH43-AQ42)))</f>
        <v>284.99999999999989</v>
      </c>
      <c r="AJ43" s="13">
        <f>AI43*VLOOKUP('Données projet'!$B$10,Paramètres!$A$1:$I$89,3,0)*VLOOKUP('Données projet'!$B$10,Paramètres!$A$1:$I$89,5,0)</f>
        <v>170.42999999999995</v>
      </c>
      <c r="AK43" s="13">
        <f t="shared" si="35"/>
        <v>43.186315117079396</v>
      </c>
      <c r="AL43" s="20">
        <f t="shared" si="4"/>
        <v>372.04841549557983</v>
      </c>
      <c r="AM43" s="59">
        <f t="shared" si="5"/>
        <v>665.38174882891315</v>
      </c>
      <c r="AN43" s="59">
        <f ca="1">AVERAGE(OFFSET($AM$3,0,0,'Données projet'!$E$10+1,1))-AVERAGE(OFFSET($H$3,0,0,'Données projet'!$E$10+1,1))</f>
        <v>216.94426559495264</v>
      </c>
      <c r="AO43" s="59">
        <f t="shared" si="36"/>
        <v>225.33715877618704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70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9.737920816498832</v>
      </c>
      <c r="AW43" s="21">
        <f>EXP(-LN(2)/2)*AW42+(1-EXP(-LN(2)/2))/(LN(2)/2)*AQ43*AT43*VLOOKUP('Données projet'!$B$10,Paramètres!$A$1:$I$89,3,0)*0.475*44/12</f>
        <v>0.74154249605684286</v>
      </c>
      <c r="AX43" s="21">
        <f t="shared" si="6"/>
        <v>10.479463312555675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158</v>
      </c>
      <c r="BB43" s="12">
        <f>VLOOKUP(A43,'Données projet'!$A$87:$I$107,9,0)</f>
        <v>8.1999999999999993</v>
      </c>
      <c r="BC43" s="12">
        <f t="array" ref="BC43">INDEX(BB:BB,MIN(IF(ISNUMBER(BB43:BB239),ROW(BB43:BB239),"")))</f>
        <v>8.1999999999999993</v>
      </c>
      <c r="BD43" s="12">
        <f>IF('Données projet'!$A$88&gt;35,BD42+BC43-BL42,IF(A43&lt;'Données projet'!$A$88,$BA$205^A43,IF(A43='Données projet'!$A$88,'Données projet'!$B$88,BD42+BC43-BL42)))</f>
        <v>157.99999999999994</v>
      </c>
      <c r="BE43" s="13">
        <f>BD43*VLOOKUP('Données projet'!$B$11,Paramètres!$A$1:$I$89,3,0)*VLOOKUP('Données projet'!$B$11,Paramètres!$A$1:$I$89,5,0)</f>
        <v>142.95839999999993</v>
      </c>
      <c r="BF43" s="13">
        <f t="shared" si="37"/>
        <v>36.973906370811264</v>
      </c>
      <c r="BG43" s="20">
        <f t="shared" si="7"/>
        <v>313.38210026249618</v>
      </c>
      <c r="BH43" s="59">
        <f t="shared" si="8"/>
        <v>606.7154335958295</v>
      </c>
      <c r="BI43" s="59">
        <f ca="1">AVERAGE(OFFSET($BH$3,0,0,'Données projet'!$E$11+1,1))-AVERAGE(OFFSET($H$3,0,0,'Données projet'!$E$11+1,1))</f>
        <v>237.22177246688199</v>
      </c>
      <c r="BJ43" s="59">
        <f t="shared" si="38"/>
        <v>149.27472147904302</v>
      </c>
      <c r="BK43" s="15">
        <f>IF(ISNA(VLOOKUP(A43,'Données projet'!$A$87:$I$107,3,0)),0,VLOOKUP(A43,'Données projet'!$A$87:$I$107,3,0))</f>
        <v>2</v>
      </c>
      <c r="BL43" s="15">
        <f>IF(ISNA(VLOOKUP(A43,'Données projet'!$A$87:$I$107,4,0)),0,VLOOKUP(A43,'Données projet'!$A$87:$I$107,4,0))</f>
        <v>42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2.3538609712999925</v>
      </c>
      <c r="BR43" s="21">
        <f>EXP(-LN(2)/2)*BR42+(1-EXP(-LN(2)/2))/(LN(2)/2)*BL43*BO43*VLOOKUP('Données projet'!$B$11,Paramètres!$A$1:$I$89,3,0)*0.475*44/12</f>
        <v>0.19341712045088835</v>
      </c>
      <c r="BS43" s="22">
        <f t="shared" si="9"/>
        <v>2.547278091750881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227</v>
      </c>
      <c r="BW43" s="12">
        <f>VLOOKUP(A43,'Données projet'!$A$113:$I$133,9,0)</f>
        <v>10.1</v>
      </c>
      <c r="BX43" s="12">
        <f t="array" ref="BX43">INDEX(BW:BW,MIN(IF(ISNUMBER(BW43:BW239),ROW(BW43:BW239),"")))</f>
        <v>10.1</v>
      </c>
      <c r="BY43" s="12">
        <f>IF('Données projet'!$A$114&gt;35,BY42+BX43-CG42,IF(A43&lt;'Données projet'!$A$114,$BV$205^A43,IF(A43='Données projet'!$A$114,'Données projet'!$B$114,BY42+BX43-CG42)))</f>
        <v>227.00000000000003</v>
      </c>
      <c r="BZ43" s="13">
        <f>BY43*VLOOKUP('Données projet'!$B$12,Paramètres!$A$1:$I$89,3,0)*VLOOKUP('Données projet'!$B$12,Paramètres!$A$1:$I$89,5,0)</f>
        <v>198.30720000000005</v>
      </c>
      <c r="CA43" s="13">
        <f t="shared" si="39"/>
        <v>49.371957679623371</v>
      </c>
      <c r="CB43" s="20">
        <f t="shared" si="10"/>
        <v>431.37453295867743</v>
      </c>
      <c r="CC43" s="59">
        <f t="shared" si="11"/>
        <v>724.70786629201075</v>
      </c>
      <c r="CD43" s="59">
        <f ca="1">AVERAGE(OFFSET($CC$3,0,0,'Données projet'!$E$12+1,1))-AVERAGE(OFFSET($H$3,0,0,'Données projet'!$E$12+1,1))</f>
        <v>223.81948236065614</v>
      </c>
      <c r="CE43" s="59">
        <f t="shared" si="40"/>
        <v>320.1204011431372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69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2.5208751716348008</v>
      </c>
      <c r="CL43" s="21">
        <f>EXP(-LN(2)/25)*CL42+(1-EXP(-LN(2)/25))/(LN(2)/25)*Calculateur!CG43*Calculateur!CI43*VLOOKUP('Données projet'!$B$12,Paramètres!$A$1:$I$89,3,0)*0.475*44/12</f>
        <v>13.408335466330096</v>
      </c>
      <c r="CM43" s="21">
        <f>EXP(-LN(2)/2)*CM42+(1-EXP(-LN(2)/2))/(LN(2)/2)*CG43*CJ43*VLOOKUP('Données projet'!$B$12,Paramètres!$A$1:$I$89,3,0)*0.475*44/12</f>
        <v>0.86781271278639716</v>
      </c>
      <c r="CN43" s="22">
        <f t="shared" si="12"/>
        <v>16.797023350751292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314</v>
      </c>
      <c r="CR43" s="12">
        <f>VLOOKUP(A43,'Données projet'!$A$139:$I$159,9,0)</f>
        <v>13.8</v>
      </c>
      <c r="CS43" s="12">
        <f t="array" ref="CS43">INDEX(CR:CR,MIN(IF(ISNUMBER(CR43:CR239),ROW(CR43:CR239),"")))</f>
        <v>13.8</v>
      </c>
      <c r="CT43" s="12">
        <f>IF('Données projet'!$A$140&gt;35,CT42+CS43-DB42,IF(A43&lt;'Données projet'!$A$140,$CQ$205^A43,IF(A43='Données projet'!$A$140,'Données projet'!$B$140,CT42+CS43-DB42)))</f>
        <v>314.00000000000011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80</v>
      </c>
      <c r="DC43" s="16" t="e">
        <f>IF(ISNA(VLOOKUP(A43,'Données projet'!$A$139:$I$159,5,0)),0%,VLOOKUP(A43,'Données projet'!$A$139:$I$159,5,0)*VLOOKUP('Données projet'!$B$13,Paramètres!$A$1:$I$89,7,0))</f>
        <v>#N/A</v>
      </c>
      <c r="DD43" s="16" t="e">
        <f>IF(ISNA(VLOOKUP(A43,'Données projet'!$A$139:$I$159,6,0)),0%,VLOOKUP(A43,'Données projet'!$A$139:$I$159,6,0)*VLOOKUP('Données projet'!$B$13,Paramètres!$A$1:$I$89,7,0))</f>
        <v>#N/A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263</v>
      </c>
      <c r="DM43" s="12">
        <f>VLOOKUP(A43,'Données projet'!$A$165:$I$185,9,0)</f>
        <v>12.1</v>
      </c>
      <c r="DN43" s="12">
        <f t="array" ref="DN43">INDEX(DM:DM,MIN(IF(ISNUMBER(DM43:DM239),ROW(DM43:DM239),"")))</f>
        <v>12.1</v>
      </c>
      <c r="DO43" s="12">
        <f>IF('Données projet'!$A$166&gt;35,DO42+DN43-DW42,IF(A43&lt;'Données projet'!$A$166,$DL$205^A43,IF(A43='Données projet'!$A$166,'Données projet'!$B$166,DO42+DN43-DW42)))</f>
        <v>262.99999999999994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4</v>
      </c>
      <c r="DW43" s="15">
        <f>IF(ISNA(VLOOKUP(A43,'Données projet'!$A$165:$I$185,4,0)),0,VLOOKUP(A43,'Données projet'!$A$165:$I$185,4,0))</f>
        <v>70</v>
      </c>
      <c r="DX43" s="16" t="e">
        <f>IF(ISNA(VLOOKUP(A43,'Données projet'!$A$165:$I$185,5,0)),0%,VLOOKUP(A43,'Données projet'!$A$165:$I$185,5,0)*VLOOKUP('Données projet'!$B$14,Paramètres!$A$1:$I$89,7,0))</f>
        <v>#N/A</v>
      </c>
      <c r="DY43" s="16" t="e">
        <f>IF(ISNA(VLOOKUP(A43,'Données projet'!$A$165:$I$185,6,0)),0%,VLOOKUP(A43,'Données projet'!$A$165:$I$185,6,0)*VLOOKUP('Données projet'!$B$14,Paramètres!$A$1:$I$89,7,0))</f>
        <v>#N/A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9.8333333333333339</v>
      </c>
      <c r="N44" s="13">
        <f>IF('Données projet'!$A$36&gt;35,N43+M44-V43,IF(A44&lt;'Données projet'!$A$36,$K$205^A44,IF(A44='Données projet'!$A$36,'Données projet'!$B$36,N43+M44-V43)))</f>
        <v>243.83333333333337</v>
      </c>
      <c r="O44" s="13">
        <f>N44*VLOOKUP('Données projet'!$B$9,Paramètres!$A$1:$I$89,3,0)*VLOOKUP('Données projet'!$B$9,Paramètres!$A$1:$I$89,5,0)</f>
        <v>145.81233333333336</v>
      </c>
      <c r="P44" s="13">
        <f t="shared" si="33"/>
        <v>37.625360763194948</v>
      </c>
      <c r="Q44" s="20">
        <f t="shared" si="53"/>
        <v>319.4873172181201</v>
      </c>
      <c r="R44" s="59">
        <f t="shared" si="0"/>
        <v>612.82065055145335</v>
      </c>
      <c r="S44" s="59">
        <f ca="1">AVERAGE(OFFSET($R$3,0,0,'Données projet'!$E$9+1,1))-AVERAGE(OFFSET($H$3,0,0,'Données projet'!$E$9+1,1))</f>
        <v>168.08890945052406</v>
      </c>
      <c r="T44" s="59">
        <f t="shared" si="34"/>
        <v>182.52462557642343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4.9962077736111716</v>
      </c>
      <c r="AA44" s="21">
        <f>EXP(-LN(2)/25)*AA43+(1-EXP(-LN(2)/25))/(LN(2)/25)*Calculateur!V44*Calculateur!X44*VLOOKUP('Données projet'!$B$9,Paramètres!$A$1:$I$89,3,0)*0.475*44/12</f>
        <v>9.0895200630498039</v>
      </c>
      <c r="AB44" s="21">
        <f>EXP(-LN(2)/2)*AB43+(1-EXP(-LN(2)/2))/(LN(2)/2)*V44*Y44*VLOOKUP('Données projet'!$B$9,Paramètres!$A$1:$I$89,3,0)*0.475*44/12</f>
        <v>0.12033393768636574</v>
      </c>
      <c r="AC44" s="22">
        <f t="shared" si="3"/>
        <v>14.206061774347342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12.8</v>
      </c>
      <c r="AI44" s="13">
        <f>IF('Données projet'!$A$62&gt;35,AI43+AH44-AQ43,IF(A44&lt;'Données projet'!$A$62,$AF$205^A44,IF(A44='Données projet'!$A$62,'Données projet'!$B$62,AI43+AH44-AQ43)))</f>
        <v>227.7999999999999</v>
      </c>
      <c r="AJ44" s="13">
        <f>AI44*VLOOKUP('Données projet'!$B$10,Paramètres!$A$1:$I$89,3,0)*VLOOKUP('Données projet'!$B$10,Paramètres!$A$1:$I$89,5,0)</f>
        <v>136.22439999999995</v>
      </c>
      <c r="AK44" s="13">
        <f t="shared" si="35"/>
        <v>35.430697151629076</v>
      </c>
      <c r="AL44" s="20">
        <f t="shared" si="4"/>
        <v>298.96596087242057</v>
      </c>
      <c r="AM44" s="59">
        <f t="shared" si="5"/>
        <v>592.29929420575388</v>
      </c>
      <c r="AN44" s="59">
        <f ca="1">AVERAGE(OFFSET($AM$3,0,0,'Données projet'!$E$10+1,1))-AVERAGE(OFFSET($H$3,0,0,'Données projet'!$E$10+1,1))</f>
        <v>216.94426559495264</v>
      </c>
      <c r="AO44" s="59">
        <f t="shared" si="36"/>
        <v>225.33715877618704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9.4716368596766713</v>
      </c>
      <c r="AW44" s="21">
        <f>EXP(-LN(2)/2)*AW43+(1-EXP(-LN(2)/2))/(LN(2)/2)*AQ44*AT44*VLOOKUP('Données projet'!$B$10,Paramètres!$A$1:$I$89,3,0)*0.475*44/12</f>
        <v>0.52434972749979225</v>
      </c>
      <c r="AX44" s="21">
        <f t="shared" si="6"/>
        <v>9.9959865871764642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8.3000000000000007</v>
      </c>
      <c r="BD44" s="12">
        <f>IF('Données projet'!$A$88&gt;35,BD43+BC44-BL43,IF(A44&lt;'Données projet'!$A$88,$BA$205^A44,IF(A44='Données projet'!$A$88,'Données projet'!$B$88,BD43+BC44-BL43)))</f>
        <v>124.29999999999995</v>
      </c>
      <c r="BE44" s="13">
        <f>BD44*VLOOKUP('Données projet'!$B$11,Paramètres!$A$1:$I$89,3,0)*VLOOKUP('Données projet'!$B$11,Paramètres!$A$1:$I$89,5,0)</f>
        <v>112.46663999999996</v>
      </c>
      <c r="BF44" s="13">
        <f t="shared" si="37"/>
        <v>29.911391992758421</v>
      </c>
      <c r="BG44" s="20">
        <f t="shared" si="7"/>
        <v>247.97507238738748</v>
      </c>
      <c r="BH44" s="59">
        <f t="shared" si="8"/>
        <v>541.30840572072077</v>
      </c>
      <c r="BI44" s="59">
        <f ca="1">AVERAGE(OFFSET($BH$3,0,0,'Données projet'!$E$11+1,1))-AVERAGE(OFFSET($H$3,0,0,'Données projet'!$E$11+1,1))</f>
        <v>237.22177246688199</v>
      </c>
      <c r="BJ44" s="59">
        <f t="shared" si="38"/>
        <v>149.27472147904302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2.2894945192556255</v>
      </c>
      <c r="BR44" s="21">
        <f>EXP(-LN(2)/2)*BR43+(1-EXP(-LN(2)/2))/(LN(2)/2)*BL44*BO44*VLOOKUP('Données projet'!$B$11,Paramètres!$A$1:$I$89,3,0)*0.475*44/12</f>
        <v>0.13676655746839841</v>
      </c>
      <c r="BS44" s="22">
        <f t="shared" si="9"/>
        <v>2.4262610767240238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8.1999999999999993</v>
      </c>
      <c r="BY44" s="12">
        <f>IF('Données projet'!$A$114&gt;35,BY43+BX44-CG43,IF(A44&lt;'Données projet'!$A$114,$BV$205^A44,IF(A44='Données projet'!$A$114,'Données projet'!$B$114,BY43+BX44-CG43)))</f>
        <v>166.20000000000002</v>
      </c>
      <c r="BZ44" s="13">
        <f>BY44*VLOOKUP('Données projet'!$B$12,Paramètres!$A$1:$I$89,3,0)*VLOOKUP('Données projet'!$B$12,Paramètres!$A$1:$I$89,5,0)</f>
        <v>145.19232000000002</v>
      </c>
      <c r="CA44" s="13">
        <f t="shared" si="39"/>
        <v>37.48396031597408</v>
      </c>
      <c r="CB44" s="20">
        <f t="shared" si="10"/>
        <v>318.16118821698825</v>
      </c>
      <c r="CC44" s="59">
        <f t="shared" si="11"/>
        <v>611.49452155032156</v>
      </c>
      <c r="CD44" s="59">
        <f ca="1">AVERAGE(OFFSET($CC$3,0,0,'Données projet'!$E$12+1,1))-AVERAGE(OFFSET($H$3,0,0,'Données projet'!$E$12+1,1))</f>
        <v>223.81948236065614</v>
      </c>
      <c r="CE44" s="59">
        <f t="shared" si="40"/>
        <v>320.1204011431372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2.4714423471010734</v>
      </c>
      <c r="CL44" s="21">
        <f>EXP(-LN(2)/25)*CL43+(1-EXP(-LN(2)/25))/(LN(2)/25)*Calculateur!CG44*Calculateur!CI44*VLOOKUP('Données projet'!$B$12,Paramètres!$A$1:$I$89,3,0)*0.475*44/12</f>
        <v>13.041683827889582</v>
      </c>
      <c r="CM44" s="21">
        <f>EXP(-LN(2)/2)*CM43+(1-EXP(-LN(2)/2))/(LN(2)/2)*CG44*CJ44*VLOOKUP('Données projet'!$B$12,Paramètres!$A$1:$I$89,3,0)*0.475*44/12</f>
        <v>0.61363625401115518</v>
      </c>
      <c r="CN44" s="22">
        <f t="shared" si="12"/>
        <v>16.126762429001811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11.5</v>
      </c>
      <c r="CT44" s="12">
        <f>IF('Données projet'!$A$140&gt;35,CT43+CS44-DB43,IF(A44&lt;'Données projet'!$A$140,$CQ$205^A44,IF(A44='Données projet'!$A$140,'Données projet'!$B$140,CT43+CS44-DB43)))</f>
        <v>245.50000000000011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9.1999999999999993</v>
      </c>
      <c r="DO44" s="12">
        <f>IF('Données projet'!$A$166&gt;35,DO43+DN44-DW43,IF(A44&lt;'Données projet'!$A$166,$DL$205^A44,IF(A44='Données projet'!$A$166,'Données projet'!$B$166,DO43+DN44-DW43)))</f>
        <v>202.19999999999993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9.8333333333333339</v>
      </c>
      <c r="N45" s="13">
        <f>IF('Données projet'!$A$36&gt;35,N44+M45-V44,IF(A45&lt;'Données projet'!$A$36,$K$205^A45,IF(A45='Données projet'!$A$36,'Données projet'!$B$36,N44+M45-V44)))</f>
        <v>253.66666666666671</v>
      </c>
      <c r="O45" s="13">
        <f>N45*VLOOKUP('Données projet'!$B$9,Paramètres!$A$1:$I$89,3,0)*VLOOKUP('Données projet'!$B$9,Paramètres!$A$1:$I$89,5,0)</f>
        <v>151.6926666666667</v>
      </c>
      <c r="P45" s="13">
        <f t="shared" si="33"/>
        <v>38.96299861908853</v>
      </c>
      <c r="Q45" s="20">
        <f t="shared" si="53"/>
        <v>332.05861703935699</v>
      </c>
      <c r="R45" s="59">
        <f t="shared" si="0"/>
        <v>625.3919503726903</v>
      </c>
      <c r="S45" s="59">
        <f ca="1">AVERAGE(OFFSET($R$3,0,0,'Données projet'!$E$9+1,1))-AVERAGE(OFFSET($H$3,0,0,'Données projet'!$E$9+1,1))</f>
        <v>168.08890945052406</v>
      </c>
      <c r="T45" s="59">
        <f t="shared" si="34"/>
        <v>182.52462557642343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4.8982351865564944</v>
      </c>
      <c r="AA45" s="21">
        <f>EXP(-LN(2)/25)*AA44+(1-EXP(-LN(2)/25))/(LN(2)/25)*Calculateur!V45*Calculateur!X45*VLOOKUP('Données projet'!$B$9,Paramètres!$A$1:$I$89,3,0)*0.475*44/12</f>
        <v>8.8409666589286218</v>
      </c>
      <c r="AB45" s="21">
        <f>EXP(-LN(2)/2)*AB44+(1-EXP(-LN(2)/2))/(LN(2)/2)*V45*Y45*VLOOKUP('Données projet'!$B$9,Paramètres!$A$1:$I$89,3,0)*0.475*44/12</f>
        <v>8.5088943344908671E-2</v>
      </c>
      <c r="AC45" s="22">
        <f t="shared" si="3"/>
        <v>13.824290788830025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12.8</v>
      </c>
      <c r="AI45" s="13">
        <f>IF('Données projet'!$A$62&gt;35,AI44+AH45-AQ44,IF(A45&lt;'Données projet'!$A$62,$AF$205^A45,IF(A45='Données projet'!$A$62,'Données projet'!$B$62,AI44+AH45-AQ44)))</f>
        <v>240.59999999999991</v>
      </c>
      <c r="AJ45" s="13">
        <f>AI45*VLOOKUP('Données projet'!$B$10,Paramètres!$A$1:$I$89,3,0)*VLOOKUP('Données projet'!$B$10,Paramètres!$A$1:$I$89,5,0)</f>
        <v>143.87879999999996</v>
      </c>
      <c r="AK45" s="13">
        <f t="shared" si="35"/>
        <v>37.184165858158067</v>
      </c>
      <c r="AL45" s="20">
        <f t="shared" si="4"/>
        <v>315.35133220295853</v>
      </c>
      <c r="AM45" s="59">
        <f t="shared" si="5"/>
        <v>608.68466553629185</v>
      </c>
      <c r="AN45" s="59">
        <f ca="1">AVERAGE(OFFSET($AM$3,0,0,'Données projet'!$E$10+1,1))-AVERAGE(OFFSET($H$3,0,0,'Données projet'!$E$10+1,1))</f>
        <v>216.94426559495264</v>
      </c>
      <c r="AO45" s="59">
        <f t="shared" si="36"/>
        <v>225.33715877618704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9.2126344516570775</v>
      </c>
      <c r="AW45" s="21">
        <f>EXP(-LN(2)/2)*AW44+(1-EXP(-LN(2)/2))/(LN(2)/2)*AQ45*AT45*VLOOKUP('Données projet'!$B$10,Paramètres!$A$1:$I$89,3,0)*0.475*44/12</f>
        <v>0.37077124802842143</v>
      </c>
      <c r="AX45" s="21">
        <f t="shared" si="6"/>
        <v>9.5834056996854997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8.3000000000000007</v>
      </c>
      <c r="BD45" s="12">
        <f>IF('Données projet'!$A$88&gt;35,BD44+BC45-BL44,IF(A45&lt;'Données projet'!$A$88,$BA$205^A45,IF(A45='Données projet'!$A$88,'Données projet'!$B$88,BD44+BC45-BL44)))</f>
        <v>132.59999999999997</v>
      </c>
      <c r="BE45" s="13">
        <f>BD45*VLOOKUP('Données projet'!$B$11,Paramètres!$A$1:$I$89,3,0)*VLOOKUP('Données projet'!$B$11,Paramètres!$A$1:$I$89,5,0)</f>
        <v>119.97647999999997</v>
      </c>
      <c r="BF45" s="13">
        <f t="shared" si="37"/>
        <v>31.669513577784763</v>
      </c>
      <c r="BG45" s="20">
        <f t="shared" si="7"/>
        <v>264.11677214797504</v>
      </c>
      <c r="BH45" s="59">
        <f t="shared" si="8"/>
        <v>557.45010548130836</v>
      </c>
      <c r="BI45" s="59">
        <f ca="1">AVERAGE(OFFSET($BH$3,0,0,'Données projet'!$E$11+1,1))-AVERAGE(OFFSET($H$3,0,0,'Données projet'!$E$11+1,1))</f>
        <v>237.22177246688199</v>
      </c>
      <c r="BJ45" s="59">
        <f t="shared" si="38"/>
        <v>149.27472147904302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2.2268881712272965</v>
      </c>
      <c r="BR45" s="21">
        <f>EXP(-LN(2)/2)*BR44+(1-EXP(-LN(2)/2))/(LN(2)/2)*BL45*BO45*VLOOKUP('Données projet'!$B$11,Paramètres!$A$1:$I$89,3,0)*0.475*44/12</f>
        <v>9.6708560225444176E-2</v>
      </c>
      <c r="BS45" s="22">
        <f t="shared" si="9"/>
        <v>2.3235967314527408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8.1999999999999993</v>
      </c>
      <c r="BY45" s="12">
        <f>IF('Données projet'!$A$114&gt;35,BY44+BX45-CG44,IF(A45&lt;'Données projet'!$A$114,$BV$205^A45,IF(A45='Données projet'!$A$114,'Données projet'!$B$114,BY44+BX45-CG44)))</f>
        <v>174.4</v>
      </c>
      <c r="BZ45" s="13">
        <f>BY45*VLOOKUP('Données projet'!$B$12,Paramètres!$A$1:$I$89,3,0)*VLOOKUP('Données projet'!$B$12,Paramètres!$A$1:$I$89,5,0)</f>
        <v>152.35584000000003</v>
      </c>
      <c r="CA45" s="13">
        <f t="shared" si="39"/>
        <v>39.11347218476763</v>
      </c>
      <c r="CB45" s="20">
        <f t="shared" si="10"/>
        <v>333.47571872180367</v>
      </c>
      <c r="CC45" s="59">
        <f t="shared" si="11"/>
        <v>626.80905205513704</v>
      </c>
      <c r="CD45" s="59">
        <f ca="1">AVERAGE(OFFSET($CC$3,0,0,'Données projet'!$E$12+1,1))-AVERAGE(OFFSET($H$3,0,0,'Données projet'!$E$12+1,1))</f>
        <v>223.81948236065614</v>
      </c>
      <c r="CE45" s="59">
        <f t="shared" si="40"/>
        <v>320.1204011431372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2.4229788701054065</v>
      </c>
      <c r="CL45" s="21">
        <f>EXP(-LN(2)/25)*CL44+(1-EXP(-LN(2)/25))/(LN(2)/25)*Calculateur!CG45*Calculateur!CI45*VLOOKUP('Données projet'!$B$12,Paramètres!$A$1:$I$89,3,0)*0.475*44/12</f>
        <v>12.685058297783597</v>
      </c>
      <c r="CM45" s="21">
        <f>EXP(-LN(2)/2)*CM44+(1-EXP(-LN(2)/2))/(LN(2)/2)*CG45*CJ45*VLOOKUP('Données projet'!$B$12,Paramètres!$A$1:$I$89,3,0)*0.475*44/12</f>
        <v>0.43390635639319863</v>
      </c>
      <c r="CN45" s="22">
        <f t="shared" si="12"/>
        <v>15.541943524282201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11.5</v>
      </c>
      <c r="CT45" s="12">
        <f>IF('Données projet'!$A$140&gt;35,CT44+CS45-DB44,IF(A45&lt;'Données projet'!$A$140,$CQ$205^A45,IF(A45='Données projet'!$A$140,'Données projet'!$B$140,CT44+CS45-DB44)))</f>
        <v>257.00000000000011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9.1999999999999993</v>
      </c>
      <c r="DO45" s="12">
        <f>IF('Données projet'!$A$166&gt;35,DO44+DN45-DW44,IF(A45&lt;'Données projet'!$A$166,$DL$205^A45,IF(A45='Données projet'!$A$166,'Données projet'!$B$166,DO44+DN45-DW44)))</f>
        <v>211.39999999999992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9.8333333333333339</v>
      </c>
      <c r="N46" s="13">
        <f>IF('Données projet'!$A$36&gt;35,N45+M46-V45,IF(A46&lt;'Données projet'!$A$36,$K$205^A46,IF(A46='Données projet'!$A$36,'Données projet'!$B$36,N45+M46-V45)))</f>
        <v>263.50000000000006</v>
      </c>
      <c r="O46" s="13">
        <f>N46*VLOOKUP('Données projet'!$B$9,Paramètres!$A$1:$I$89,3,0)*VLOOKUP('Données projet'!$B$9,Paramètres!$A$1:$I$89,5,0)</f>
        <v>157.57300000000006</v>
      </c>
      <c r="P46" s="13">
        <f t="shared" si="33"/>
        <v>40.294612761030372</v>
      </c>
      <c r="Q46" s="20">
        <f t="shared" si="53"/>
        <v>344.61942555879472</v>
      </c>
      <c r="R46" s="59">
        <f t="shared" si="0"/>
        <v>637.95275889212803</v>
      </c>
      <c r="S46" s="59">
        <f ca="1">AVERAGE(OFFSET($R$3,0,0,'Données projet'!$E$9+1,1))-AVERAGE(OFFSET($H$3,0,0,'Données projet'!$E$9+1,1))</f>
        <v>168.08890945052406</v>
      </c>
      <c r="T46" s="59">
        <f t="shared" si="34"/>
        <v>182.52462557642343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4.8021837821765816</v>
      </c>
      <c r="AA46" s="21">
        <f>EXP(-LN(2)/25)*AA45+(1-EXP(-LN(2)/25))/(LN(2)/25)*Calculateur!V46*Calculateur!X46*VLOOKUP('Données projet'!$B$9,Paramètres!$A$1:$I$89,3,0)*0.475*44/12</f>
        <v>8.5992099607139885</v>
      </c>
      <c r="AB46" s="21">
        <f>EXP(-LN(2)/2)*AB45+(1-EXP(-LN(2)/2))/(LN(2)/2)*V46*Y46*VLOOKUP('Données projet'!$B$9,Paramètres!$A$1:$I$89,3,0)*0.475*44/12</f>
        <v>6.0166968843182879E-2</v>
      </c>
      <c r="AC46" s="22">
        <f t="shared" si="3"/>
        <v>13.461560711733751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12.8</v>
      </c>
      <c r="AI46" s="13">
        <f>IF('Données projet'!$A$62&gt;35,AI45+AH46-AQ45,IF(A46&lt;'Données projet'!$A$62,$AF$205^A46,IF(A46='Données projet'!$A$62,'Données projet'!$B$62,AI45+AH46-AQ45)))</f>
        <v>253.39999999999992</v>
      </c>
      <c r="AJ46" s="13">
        <f>AI46*VLOOKUP('Données projet'!$B$10,Paramètres!$A$1:$I$89,3,0)*VLOOKUP('Données projet'!$B$10,Paramètres!$A$1:$I$89,5,0)</f>
        <v>151.53319999999997</v>
      </c>
      <c r="AK46" s="13">
        <f t="shared" si="35"/>
        <v>38.926804334954284</v>
      </c>
      <c r="AL46" s="20">
        <f t="shared" si="4"/>
        <v>331.71784088337864</v>
      </c>
      <c r="AM46" s="59">
        <f t="shared" si="5"/>
        <v>625.05117421671196</v>
      </c>
      <c r="AN46" s="59">
        <f ca="1">AVERAGE(OFFSET($AM$3,0,0,'Données projet'!$E$10+1,1))-AVERAGE(OFFSET($H$3,0,0,'Données projet'!$E$10+1,1))</f>
        <v>216.94426559495264</v>
      </c>
      <c r="AO46" s="59">
        <f t="shared" si="36"/>
        <v>225.33715877618704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8.9607144781051247</v>
      </c>
      <c r="AW46" s="21">
        <f>EXP(-LN(2)/2)*AW45+(1-EXP(-LN(2)/2))/(LN(2)/2)*AQ46*AT46*VLOOKUP('Données projet'!$B$10,Paramètres!$A$1:$I$89,3,0)*0.475*44/12</f>
        <v>0.26217486374989613</v>
      </c>
      <c r="AX46" s="21">
        <f t="shared" si="6"/>
        <v>9.2228893418550211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8.3000000000000007</v>
      </c>
      <c r="BD46" s="12">
        <f>IF('Données projet'!$A$88&gt;35,BD45+BC46-BL45,IF(A46&lt;'Données projet'!$A$88,$BA$205^A46,IF(A46='Données projet'!$A$88,'Données projet'!$B$88,BD45+BC46-BL45)))</f>
        <v>140.89999999999998</v>
      </c>
      <c r="BE46" s="13">
        <f>BD46*VLOOKUP('Données projet'!$B$11,Paramètres!$A$1:$I$89,3,0)*VLOOKUP('Données projet'!$B$11,Paramètres!$A$1:$I$89,5,0)</f>
        <v>127.48631999999998</v>
      </c>
      <c r="BF46" s="13">
        <f t="shared" si="37"/>
        <v>33.414863287066048</v>
      </c>
      <c r="BG46" s="20">
        <f t="shared" si="7"/>
        <v>280.23622755830667</v>
      </c>
      <c r="BH46" s="59">
        <f t="shared" si="8"/>
        <v>573.56956089163998</v>
      </c>
      <c r="BI46" s="59">
        <f ca="1">AVERAGE(OFFSET($BH$3,0,0,'Données projet'!$E$11+1,1))-AVERAGE(OFFSET($H$3,0,0,'Données projet'!$E$11+1,1))</f>
        <v>237.22177246688199</v>
      </c>
      <c r="BJ46" s="59">
        <f t="shared" si="38"/>
        <v>149.27472147904302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2.1659937970781269</v>
      </c>
      <c r="BR46" s="21">
        <f>EXP(-LN(2)/2)*BR45+(1-EXP(-LN(2)/2))/(LN(2)/2)*BL46*BO46*VLOOKUP('Données projet'!$B$11,Paramètres!$A$1:$I$89,3,0)*0.475*44/12</f>
        <v>6.8383278734199207E-2</v>
      </c>
      <c r="BS46" s="22">
        <f t="shared" si="9"/>
        <v>2.234377075812326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8.1999999999999993</v>
      </c>
      <c r="BY46" s="12">
        <f>IF('Données projet'!$A$114&gt;35,BY45+BX46-CG45,IF(A46&lt;'Données projet'!$A$114,$BV$205^A46,IF(A46='Données projet'!$A$114,'Données projet'!$B$114,BY45+BX46-CG45)))</f>
        <v>182.6</v>
      </c>
      <c r="BZ46" s="13">
        <f>BY46*VLOOKUP('Données projet'!$B$12,Paramètres!$A$1:$I$89,3,0)*VLOOKUP('Données projet'!$B$12,Paramètres!$A$1:$I$89,5,0)</f>
        <v>159.51936000000001</v>
      </c>
      <c r="CA46" s="13">
        <f t="shared" si="39"/>
        <v>40.734086738277284</v>
      </c>
      <c r="CB46" s="20">
        <f t="shared" si="10"/>
        <v>348.77475306916625</v>
      </c>
      <c r="CC46" s="59">
        <f t="shared" si="11"/>
        <v>642.10808640249957</v>
      </c>
      <c r="CD46" s="59">
        <f ca="1">AVERAGE(OFFSET($CC$3,0,0,'Données projet'!$E$12+1,1))-AVERAGE(OFFSET($H$3,0,0,'Données projet'!$E$12+1,1))</f>
        <v>223.81948236065614</v>
      </c>
      <c r="CE46" s="59">
        <f t="shared" si="40"/>
        <v>320.1204011431372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2.3754657323338226</v>
      </c>
      <c r="CL46" s="21">
        <f>EXP(-LN(2)/25)*CL45+(1-EXP(-LN(2)/25))/(LN(2)/25)*Calculateur!CG46*Calculateur!CI46*VLOOKUP('Données projet'!$B$12,Paramètres!$A$1:$I$89,3,0)*0.475*44/12</f>
        <v>12.338184711552481</v>
      </c>
      <c r="CM46" s="21">
        <f>EXP(-LN(2)/2)*CM45+(1-EXP(-LN(2)/2))/(LN(2)/2)*CG46*CJ46*VLOOKUP('Données projet'!$B$12,Paramètres!$A$1:$I$89,3,0)*0.475*44/12</f>
        <v>0.30681812700557765</v>
      </c>
      <c r="CN46" s="22">
        <f t="shared" si="12"/>
        <v>15.020468570891881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11.5</v>
      </c>
      <c r="CT46" s="12">
        <f>IF('Données projet'!$A$140&gt;35,CT45+CS46-DB45,IF(A46&lt;'Données projet'!$A$140,$CQ$205^A46,IF(A46='Données projet'!$A$140,'Données projet'!$B$140,CT45+CS46-DB45)))</f>
        <v>268.50000000000011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9.1999999999999993</v>
      </c>
      <c r="DO46" s="12">
        <f>IF('Données projet'!$A$166&gt;35,DO45+DN46-DW45,IF(A46&lt;'Données projet'!$A$166,$DL$205^A46,IF(A46='Données projet'!$A$166,'Données projet'!$B$166,DO45+DN46-DW45)))</f>
        <v>220.59999999999991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9.8333333333333339</v>
      </c>
      <c r="N47" s="13">
        <f>IF('Données projet'!$A$36&gt;35,N46+M47-V46,IF(A47&lt;'Données projet'!$A$36,$K$205^A47,IF(A47='Données projet'!$A$36,'Données projet'!$B$36,N46+M47-V46)))</f>
        <v>273.33333333333337</v>
      </c>
      <c r="O47" s="13">
        <f>N47*VLOOKUP('Données projet'!$B$9,Paramètres!$A$1:$I$89,3,0)*VLOOKUP('Données projet'!$B$9,Paramètres!$A$1:$I$89,5,0)</f>
        <v>163.45333333333338</v>
      </c>
      <c r="P47" s="13">
        <f t="shared" si="33"/>
        <v>41.620453722976563</v>
      </c>
      <c r="Q47" s="20">
        <f t="shared" si="53"/>
        <v>357.17017912307307</v>
      </c>
      <c r="R47" s="59">
        <f t="shared" si="0"/>
        <v>650.50351245640638</v>
      </c>
      <c r="S47" s="59">
        <f ca="1">AVERAGE(OFFSET($R$3,0,0,'Données projet'!$E$9+1,1))-AVERAGE(OFFSET($H$3,0,0,'Données projet'!$E$9+1,1))</f>
        <v>168.08890945052406</v>
      </c>
      <c r="T47" s="59">
        <f t="shared" si="34"/>
        <v>182.52462557642343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4.708015887250987</v>
      </c>
      <c r="AA47" s="21">
        <f>EXP(-LN(2)/25)*AA46+(1-EXP(-LN(2)/25))/(LN(2)/25)*Calculateur!V47*Calculateur!X47*VLOOKUP('Données projet'!$B$9,Paramètres!$A$1:$I$89,3,0)*0.475*44/12</f>
        <v>8.3640641121254671</v>
      </c>
      <c r="AB47" s="21">
        <f>EXP(-LN(2)/2)*AB46+(1-EXP(-LN(2)/2))/(LN(2)/2)*V47*Y47*VLOOKUP('Données projet'!$B$9,Paramètres!$A$1:$I$89,3,0)*0.475*44/12</f>
        <v>4.2544471672454343E-2</v>
      </c>
      <c r="AC47" s="22">
        <f t="shared" si="3"/>
        <v>13.114624471048909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12.8</v>
      </c>
      <c r="AI47" s="13">
        <f>IF('Données projet'!$A$62&gt;35,AI46+AH47-AQ46,IF(A47&lt;'Données projet'!$A$62,$AF$205^A47,IF(A47='Données projet'!$A$62,'Données projet'!$B$62,AI46+AH47-AQ46)))</f>
        <v>266.19999999999993</v>
      </c>
      <c r="AJ47" s="13">
        <f>AI47*VLOOKUP('Données projet'!$B$10,Paramètres!$A$1:$I$89,3,0)*VLOOKUP('Données projet'!$B$10,Paramètres!$A$1:$I$89,5,0)</f>
        <v>159.18759999999997</v>
      </c>
      <c r="AK47" s="13">
        <f t="shared" si="35"/>
        <v>40.659222067351315</v>
      </c>
      <c r="AL47" s="20">
        <f t="shared" si="4"/>
        <v>348.06654843397018</v>
      </c>
      <c r="AM47" s="59">
        <f t="shared" si="5"/>
        <v>641.39988176730344</v>
      </c>
      <c r="AN47" s="59">
        <f ca="1">AVERAGE(OFFSET($AM$3,0,0,'Données projet'!$E$10+1,1))-AVERAGE(OFFSET($H$3,0,0,'Données projet'!$E$10+1,1))</f>
        <v>216.94426559495264</v>
      </c>
      <c r="AO47" s="59">
        <f t="shared" si="36"/>
        <v>225.33715877618704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8.7156832694778448</v>
      </c>
      <c r="AW47" s="21">
        <f>EXP(-LN(2)/2)*AW46+(1-EXP(-LN(2)/2))/(LN(2)/2)*AQ47*AT47*VLOOKUP('Données projet'!$B$10,Paramètres!$A$1:$I$89,3,0)*0.475*44/12</f>
        <v>0.18538562401421071</v>
      </c>
      <c r="AX47" s="21">
        <f t="shared" si="6"/>
        <v>8.9010688934920559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8.3000000000000007</v>
      </c>
      <c r="BD47" s="12">
        <f>IF('Données projet'!$A$88&gt;35,BD46+BC47-BL46,IF(A47&lt;'Données projet'!$A$88,$BA$205^A47,IF(A47='Données projet'!$A$88,'Données projet'!$B$88,BD46+BC47-BL46)))</f>
        <v>149.19999999999999</v>
      </c>
      <c r="BE47" s="13">
        <f>BD47*VLOOKUP('Données projet'!$B$11,Paramètres!$A$1:$I$89,3,0)*VLOOKUP('Données projet'!$B$11,Paramètres!$A$1:$I$89,5,0)</f>
        <v>134.99615999999997</v>
      </c>
      <c r="BF47" s="13">
        <f t="shared" si="37"/>
        <v>35.148279172043118</v>
      </c>
      <c r="BG47" s="20">
        <f t="shared" si="7"/>
        <v>296.33489822464168</v>
      </c>
      <c r="BH47" s="59">
        <f t="shared" si="8"/>
        <v>589.66823155797499</v>
      </c>
      <c r="BI47" s="59">
        <f ca="1">AVERAGE(OFFSET($BH$3,0,0,'Données projet'!$E$11+1,1))-AVERAGE(OFFSET($H$3,0,0,'Données projet'!$E$11+1,1))</f>
        <v>237.22177246688199</v>
      </c>
      <c r="BJ47" s="59">
        <f t="shared" si="38"/>
        <v>149.27472147904302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2.106764582792362</v>
      </c>
      <c r="BR47" s="21">
        <f>EXP(-LN(2)/2)*BR46+(1-EXP(-LN(2)/2))/(LN(2)/2)*BL47*BO47*VLOOKUP('Données projet'!$B$11,Paramètres!$A$1:$I$89,3,0)*0.475*44/12</f>
        <v>4.8354280112722088E-2</v>
      </c>
      <c r="BS47" s="22">
        <f t="shared" si="9"/>
        <v>2.1551188629050841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8.1999999999999993</v>
      </c>
      <c r="BY47" s="12">
        <f>IF('Données projet'!$A$114&gt;35,BY46+BX47-CG46,IF(A47&lt;'Données projet'!$A$114,$BV$205^A47,IF(A47='Données projet'!$A$114,'Données projet'!$B$114,BY46+BX47-CG46)))</f>
        <v>190.79999999999998</v>
      </c>
      <c r="BZ47" s="13">
        <f>BY47*VLOOKUP('Données projet'!$B$12,Paramètres!$A$1:$I$89,3,0)*VLOOKUP('Données projet'!$B$12,Paramètres!$A$1:$I$89,5,0)</f>
        <v>166.68288000000001</v>
      </c>
      <c r="CA47" s="13">
        <f t="shared" si="39"/>
        <v>42.346249176975</v>
      </c>
      <c r="CB47" s="20">
        <f t="shared" si="10"/>
        <v>364.05906664989811</v>
      </c>
      <c r="CC47" s="59">
        <f t="shared" si="11"/>
        <v>657.39239998323137</v>
      </c>
      <c r="CD47" s="59">
        <f ca="1">AVERAGE(OFFSET($CC$3,0,0,'Données projet'!$E$12+1,1))-AVERAGE(OFFSET($H$3,0,0,'Données projet'!$E$12+1,1))</f>
        <v>223.81948236065614</v>
      </c>
      <c r="CE47" s="59">
        <f t="shared" si="40"/>
        <v>320.1204011431372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2.328884298213787</v>
      </c>
      <c r="CL47" s="21">
        <f>EXP(-LN(2)/25)*CL46+(1-EXP(-LN(2)/25))/(LN(2)/25)*Calculateur!CG47*Calculateur!CI47*VLOOKUP('Données projet'!$B$12,Paramètres!$A$1:$I$89,3,0)*0.475*44/12</f>
        <v>12.000796401778144</v>
      </c>
      <c r="CM47" s="21">
        <f>EXP(-LN(2)/2)*CM46+(1-EXP(-LN(2)/2))/(LN(2)/2)*CG47*CJ47*VLOOKUP('Données projet'!$B$12,Paramètres!$A$1:$I$89,3,0)*0.475*44/12</f>
        <v>0.21695317819659934</v>
      </c>
      <c r="CN47" s="22">
        <f t="shared" si="12"/>
        <v>14.54663387818853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11.5</v>
      </c>
      <c r="CT47" s="12">
        <f>IF('Données projet'!$A$140&gt;35,CT46+CS47-DB46,IF(A47&lt;'Données projet'!$A$140,$CQ$205^A47,IF(A47='Données projet'!$A$140,'Données projet'!$B$140,CT46+CS47-DB46)))</f>
        <v>280.00000000000011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9.1999999999999993</v>
      </c>
      <c r="DO47" s="12">
        <f>IF('Données projet'!$A$166&gt;35,DO46+DN47-DW46,IF(A47&lt;'Données projet'!$A$166,$DL$205^A47,IF(A47='Données projet'!$A$166,'Données projet'!$B$166,DO46+DN47-DW46)))</f>
        <v>229.7999999999999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9.8333333333333339</v>
      </c>
      <c r="N48" s="13">
        <f>IF('Données projet'!$A$36&gt;35,N47+M48-V47,IF(A48&lt;'Données projet'!$A$36,$K$205^A48,IF(A48='Données projet'!$A$36,'Données projet'!$B$36,N47+M48-V47)))</f>
        <v>283.16666666666669</v>
      </c>
      <c r="O48" s="13">
        <f>N48*VLOOKUP('Données projet'!$B$9,Paramètres!$A$1:$I$89,3,0)*VLOOKUP('Données projet'!$B$9,Paramètres!$A$1:$I$89,5,0)</f>
        <v>169.33366666666672</v>
      </c>
      <c r="P48" s="13">
        <f t="shared" si="33"/>
        <v>42.940752990888512</v>
      </c>
      <c r="Q48" s="20">
        <f t="shared" si="53"/>
        <v>369.7112809035753</v>
      </c>
      <c r="R48" s="59">
        <f t="shared" si="0"/>
        <v>663.04461423690861</v>
      </c>
      <c r="S48" s="59">
        <f ca="1">AVERAGE(OFFSET($R$3,0,0,'Données projet'!$E$9+1,1))-AVERAGE(OFFSET($H$3,0,0,'Données projet'!$E$9+1,1))</f>
        <v>168.08890945052406</v>
      </c>
      <c r="T48" s="59">
        <f t="shared" si="34"/>
        <v>182.52462557642343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4.6156945673081387</v>
      </c>
      <c r="AA48" s="21">
        <f>EXP(-LN(2)/25)*AA47+(1-EXP(-LN(2)/25))/(LN(2)/25)*Calculateur!V48*Calculateur!X48*VLOOKUP('Données projet'!$B$9,Paramètres!$A$1:$I$89,3,0)*0.475*44/12</f>
        <v>8.1353483391323813</v>
      </c>
      <c r="AB48" s="21">
        <f>EXP(-LN(2)/2)*AB47+(1-EXP(-LN(2)/2))/(LN(2)/2)*V48*Y48*VLOOKUP('Données projet'!$B$9,Paramètres!$A$1:$I$89,3,0)*0.475*44/12</f>
        <v>3.0083484421591443E-2</v>
      </c>
      <c r="AC48" s="22">
        <f t="shared" si="3"/>
        <v>12.781126390862113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12.8</v>
      </c>
      <c r="AI48" s="13">
        <f>IF('Données projet'!$A$62&gt;35,AI47+AH48-AQ47,IF(A48&lt;'Données projet'!$A$62,$AF$205^A48,IF(A48='Données projet'!$A$62,'Données projet'!$B$62,AI47+AH48-AQ47)))</f>
        <v>278.99999999999994</v>
      </c>
      <c r="AJ48" s="13">
        <f>AI48*VLOOKUP('Données projet'!$B$10,Paramètres!$A$1:$I$89,3,0)*VLOOKUP('Données projet'!$B$10,Paramètres!$A$1:$I$89,5,0)</f>
        <v>166.84199999999998</v>
      </c>
      <c r="AK48" s="13">
        <f t="shared" si="35"/>
        <v>42.381966615760334</v>
      </c>
      <c r="AL48" s="20">
        <f t="shared" si="4"/>
        <v>364.39840852244924</v>
      </c>
      <c r="AM48" s="59">
        <f t="shared" si="5"/>
        <v>657.7317418557825</v>
      </c>
      <c r="AN48" s="59">
        <f ca="1">AVERAGE(OFFSET($AM$3,0,0,'Données projet'!$E$10+1,1))-AVERAGE(OFFSET($H$3,0,0,'Données projet'!$E$10+1,1))</f>
        <v>216.94426559495264</v>
      </c>
      <c r="AO48" s="59">
        <f t="shared" si="36"/>
        <v>225.33715877618704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8.4773524521361097</v>
      </c>
      <c r="AW48" s="21">
        <f>EXP(-LN(2)/2)*AW47+(1-EXP(-LN(2)/2))/(LN(2)/2)*AQ48*AT48*VLOOKUP('Données projet'!$B$10,Paramètres!$A$1:$I$89,3,0)*0.475*44/12</f>
        <v>0.13108743187494806</v>
      </c>
      <c r="AX48" s="21">
        <f t="shared" si="6"/>
        <v>8.608439884011057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8.3000000000000007</v>
      </c>
      <c r="BD48" s="12">
        <f>IF('Données projet'!$A$88&gt;35,BD47+BC48-BL47,IF(A48&lt;'Données projet'!$A$88,$BA$205^A48,IF(A48='Données projet'!$A$88,'Données projet'!$B$88,BD47+BC48-BL47)))</f>
        <v>157.5</v>
      </c>
      <c r="BE48" s="13">
        <f>BD48*VLOOKUP('Données projet'!$B$11,Paramètres!$A$1:$I$89,3,0)*VLOOKUP('Données projet'!$B$11,Paramètres!$A$1:$I$89,5,0)</f>
        <v>142.506</v>
      </c>
      <c r="BF48" s="13">
        <f t="shared" si="37"/>
        <v>36.870500776307537</v>
      </c>
      <c r="BG48" s="20">
        <f t="shared" si="7"/>
        <v>312.41407218540223</v>
      </c>
      <c r="BH48" s="59">
        <f t="shared" si="8"/>
        <v>605.7474055187356</v>
      </c>
      <c r="BI48" s="59">
        <f ca="1">AVERAGE(OFFSET($BH$3,0,0,'Données projet'!$E$11+1,1))-AVERAGE(OFFSET($H$3,0,0,'Données projet'!$E$11+1,1))</f>
        <v>237.22177246688199</v>
      </c>
      <c r="BJ48" s="59">
        <f t="shared" si="38"/>
        <v>149.27472147904302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2.0491549944859706</v>
      </c>
      <c r="BR48" s="21">
        <f>EXP(-LN(2)/2)*BR47+(1-EXP(-LN(2)/2))/(LN(2)/2)*BL48*BO48*VLOOKUP('Données projet'!$B$11,Paramètres!$A$1:$I$89,3,0)*0.475*44/12</f>
        <v>3.4191639367099604E-2</v>
      </c>
      <c r="BS48" s="22">
        <f t="shared" si="9"/>
        <v>2.0833466338530702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8.1999999999999993</v>
      </c>
      <c r="BY48" s="12">
        <f>IF('Données projet'!$A$114&gt;35,BY47+BX48-CG47,IF(A48&lt;'Données projet'!$A$114,$BV$205^A48,IF(A48='Données projet'!$A$114,'Données projet'!$B$114,BY47+BX48-CG47)))</f>
        <v>198.99999999999997</v>
      </c>
      <c r="BZ48" s="13">
        <f>BY48*VLOOKUP('Données projet'!$B$12,Paramètres!$A$1:$I$89,3,0)*VLOOKUP('Données projet'!$B$12,Paramètres!$A$1:$I$89,5,0)</f>
        <v>173.84639999999999</v>
      </c>
      <c r="CA48" s="13">
        <f t="shared" si="39"/>
        <v>43.950364270382295</v>
      </c>
      <c r="CB48" s="20">
        <f t="shared" si="10"/>
        <v>379.32936443758246</v>
      </c>
      <c r="CC48" s="59">
        <f t="shared" si="11"/>
        <v>672.66269777091577</v>
      </c>
      <c r="CD48" s="59">
        <f ca="1">AVERAGE(OFFSET($CC$3,0,0,'Données projet'!$E$12+1,1))-AVERAGE(OFFSET($H$3,0,0,'Données projet'!$E$12+1,1))</f>
        <v>223.81948236065614</v>
      </c>
      <c r="CE48" s="59">
        <f t="shared" si="40"/>
        <v>320.1204011431372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2.2832162976049757</v>
      </c>
      <c r="CL48" s="21">
        <f>EXP(-LN(2)/25)*CL47+(1-EXP(-LN(2)/25))/(LN(2)/25)*Calculateur!CG48*Calculateur!CI48*VLOOKUP('Données projet'!$B$12,Paramètres!$A$1:$I$89,3,0)*0.475*44/12</f>
        <v>11.672633993077067</v>
      </c>
      <c r="CM48" s="21">
        <f>EXP(-LN(2)/2)*CM47+(1-EXP(-LN(2)/2))/(LN(2)/2)*CG48*CJ48*VLOOKUP('Données projet'!$B$12,Paramètres!$A$1:$I$89,3,0)*0.475*44/12</f>
        <v>0.15340906350278882</v>
      </c>
      <c r="CN48" s="22">
        <f t="shared" si="12"/>
        <v>14.109259354184832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11.5</v>
      </c>
      <c r="CT48" s="12">
        <f>IF('Données projet'!$A$140&gt;35,CT47+CS48-DB47,IF(A48&lt;'Données projet'!$A$140,$CQ$205^A48,IF(A48='Données projet'!$A$140,'Données projet'!$B$140,CT47+CS48-DB47)))</f>
        <v>291.50000000000011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9.1999999999999993</v>
      </c>
      <c r="DO48" s="12">
        <f>IF('Données projet'!$A$166&gt;35,DO47+DN48-DW47,IF(A48&lt;'Données projet'!$A$166,$DL$205^A48,IF(A48='Données projet'!$A$166,'Données projet'!$B$166,DO47+DN48-DW47)))</f>
        <v>238.99999999999989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293</v>
      </c>
      <c r="L49" s="12">
        <f>VLOOKUP(A49,'Données projet'!$A$35:$I$55,9,0)</f>
        <v>9.8333333333333339</v>
      </c>
      <c r="M49" s="12">
        <f t="array" ref="M49">INDEX(L:L,MIN(IF(ISNUMBER(L49:L245),ROW(L49:L245),"")))</f>
        <v>9.8333333333333339</v>
      </c>
      <c r="N49" s="13">
        <f>IF('Données projet'!$A$36&gt;35,N48+M49-V48,IF(A49&lt;'Données projet'!$A$36,$K$205^A49,IF(A49='Données projet'!$A$36,'Données projet'!$B$36,N48+M49-V48)))</f>
        <v>293</v>
      </c>
      <c r="O49" s="13">
        <f>N49*VLOOKUP('Données projet'!$B$9,Paramètres!$A$1:$I$89,3,0)*VLOOKUP('Données projet'!$B$9,Paramètres!$A$1:$I$89,5,0)</f>
        <v>175.214</v>
      </c>
      <c r="P49" s="13">
        <f t="shared" si="33"/>
        <v>44.255725061661991</v>
      </c>
      <c r="Q49" s="20">
        <f t="shared" si="53"/>
        <v>382.24310448239459</v>
      </c>
      <c r="R49" s="59">
        <f t="shared" si="0"/>
        <v>675.5764378157279</v>
      </c>
      <c r="S49" s="59">
        <f ca="1">AVERAGE(OFFSET($R$3,0,0,'Données projet'!$E$9+1,1))-AVERAGE(OFFSET($H$3,0,0,'Données projet'!$E$9+1,1))</f>
        <v>168.08890945052406</v>
      </c>
      <c r="T49" s="59">
        <f t="shared" si="34"/>
        <v>182.52462557642343</v>
      </c>
      <c r="U49" s="15">
        <f>IF(ISNA(VLOOKUP(A49,'Données projet'!$A$35:$I$55,3,0)),0,VLOOKUP(A49,'Données projet'!$A$35:$I$55,3,0))</f>
        <v>7</v>
      </c>
      <c r="V49" s="15">
        <f>IF(ISNA(VLOOKUP(A49,'Données projet'!$A$35:$I$55,4,0)),0,VLOOKUP(A49,'Données projet'!$A$35:$I$55,4,0))</f>
        <v>29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4.5251836121389246</v>
      </c>
      <c r="AA49" s="21">
        <f>EXP(-LN(2)/25)*AA48+(1-EXP(-LN(2)/25))/(LN(2)/25)*Calculateur!V49*Calculateur!X49*VLOOKUP('Données projet'!$B$9,Paramètres!$A$1:$I$89,3,0)*0.475*44/12</f>
        <v>7.9128868109794306</v>
      </c>
      <c r="AB49" s="21">
        <f>EXP(-LN(2)/2)*AB48+(1-EXP(-LN(2)/2))/(LN(2)/2)*V49*Y49*VLOOKUP('Données projet'!$B$9,Paramètres!$A$1:$I$89,3,0)*0.475*44/12</f>
        <v>2.1272235836227175E-2</v>
      </c>
      <c r="AC49" s="22">
        <f t="shared" si="3"/>
        <v>12.459342658954581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12.8</v>
      </c>
      <c r="AI49" s="13">
        <f>IF('Données projet'!$A$62&gt;35,AI48+AH49-AQ48,IF(A49&lt;'Données projet'!$A$62,$AF$205^A49,IF(A49='Données projet'!$A$62,'Données projet'!$B$62,AI48+AH49-AQ48)))</f>
        <v>291.79999999999995</v>
      </c>
      <c r="AJ49" s="13">
        <f>AI49*VLOOKUP('Données projet'!$B$10,Paramètres!$A$1:$I$89,3,0)*VLOOKUP('Données projet'!$B$10,Paramètres!$A$1:$I$89,5,0)</f>
        <v>174.49639999999999</v>
      </c>
      <c r="AK49" s="13">
        <f t="shared" si="35"/>
        <v>44.095532458716939</v>
      </c>
      <c r="AL49" s="20">
        <f t="shared" si="4"/>
        <v>380.71428236559865</v>
      </c>
      <c r="AM49" s="59">
        <f t="shared" si="5"/>
        <v>674.04761569893196</v>
      </c>
      <c r="AN49" s="59">
        <f ca="1">AVERAGE(OFFSET($AM$3,0,0,'Données projet'!$E$10+1,1))-AVERAGE(OFFSET($H$3,0,0,'Données projet'!$E$10+1,1))</f>
        <v>216.94426559495264</v>
      </c>
      <c r="AO49" s="59">
        <f t="shared" si="36"/>
        <v>225.33715877618704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8.2455388035278574</v>
      </c>
      <c r="AW49" s="21">
        <f>EXP(-LN(2)/2)*AW48+(1-EXP(-LN(2)/2))/(LN(2)/2)*AQ49*AT49*VLOOKUP('Données projet'!$B$10,Paramètres!$A$1:$I$89,3,0)*0.475*44/12</f>
        <v>9.2692812007105357E-2</v>
      </c>
      <c r="AX49" s="21">
        <f t="shared" si="6"/>
        <v>8.3382316155349621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8.3000000000000007</v>
      </c>
      <c r="BD49" s="12">
        <f>IF('Données projet'!$A$88&gt;35,BD48+BC49-BL48,IF(A49&lt;'Données projet'!$A$88,$BA$205^A49,IF(A49='Données projet'!$A$88,'Données projet'!$B$88,BD48+BC49-BL48)))</f>
        <v>165.8</v>
      </c>
      <c r="BE49" s="13">
        <f>BD49*VLOOKUP('Données projet'!$B$11,Paramètres!$A$1:$I$89,3,0)*VLOOKUP('Données projet'!$B$11,Paramètres!$A$1:$I$89,5,0)</f>
        <v>150.01584</v>
      </c>
      <c r="BF49" s="13">
        <f t="shared" si="37"/>
        <v>38.582185295570788</v>
      </c>
      <c r="BG49" s="20">
        <f t="shared" si="7"/>
        <v>328.47489405645246</v>
      </c>
      <c r="BH49" s="59">
        <f t="shared" si="8"/>
        <v>621.80822738978577</v>
      </c>
      <c r="BI49" s="59">
        <f ca="1">AVERAGE(OFFSET($BH$3,0,0,'Données projet'!$E$11+1,1))-AVERAGE(OFFSET($H$3,0,0,'Données projet'!$E$11+1,1))</f>
        <v>237.22177246688199</v>
      </c>
      <c r="BJ49" s="59">
        <f t="shared" si="38"/>
        <v>149.27472147904302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1.993120743401374</v>
      </c>
      <c r="BR49" s="21">
        <f>EXP(-LN(2)/2)*BR48+(1-EXP(-LN(2)/2))/(LN(2)/2)*BL49*BO49*VLOOKUP('Données projet'!$B$11,Paramètres!$A$1:$I$89,3,0)*0.475*44/12</f>
        <v>2.4177140056361044E-2</v>
      </c>
      <c r="BS49" s="22">
        <f t="shared" si="9"/>
        <v>2.0172978834577351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8.1999999999999993</v>
      </c>
      <c r="BY49" s="12">
        <f>IF('Données projet'!$A$114&gt;35,BY48+BX49-CG48,IF(A49&lt;'Données projet'!$A$114,$BV$205^A49,IF(A49='Données projet'!$A$114,'Données projet'!$B$114,BY48+BX49-CG48)))</f>
        <v>207.19999999999996</v>
      </c>
      <c r="BZ49" s="13">
        <f>BY49*VLOOKUP('Données projet'!$B$12,Paramètres!$A$1:$I$89,3,0)*VLOOKUP('Données projet'!$B$12,Paramètres!$A$1:$I$89,5,0)</f>
        <v>181.00991999999997</v>
      </c>
      <c r="CA49" s="13">
        <f t="shared" si="39"/>
        <v>45.546801542636274</v>
      </c>
      <c r="CB49" s="20">
        <f t="shared" si="10"/>
        <v>394.58629002009144</v>
      </c>
      <c r="CC49" s="59">
        <f t="shared" si="11"/>
        <v>687.91962335342475</v>
      </c>
      <c r="CD49" s="59">
        <f ca="1">AVERAGE(OFFSET($CC$3,0,0,'Données projet'!$E$12+1,1))-AVERAGE(OFFSET($H$3,0,0,'Données projet'!$E$12+1,1))</f>
        <v>223.81948236065614</v>
      </c>
      <c r="CE49" s="59">
        <f t="shared" si="40"/>
        <v>320.1204011431372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2.2384438186333733</v>
      </c>
      <c r="CL49" s="21">
        <f>EXP(-LN(2)/25)*CL48+(1-EXP(-LN(2)/25))/(LN(2)/25)*Calculateur!CG49*Calculateur!CI49*VLOOKUP('Données projet'!$B$12,Paramètres!$A$1:$I$89,3,0)*0.475*44/12</f>
        <v>11.353445202699231</v>
      </c>
      <c r="CM49" s="21">
        <f>EXP(-LN(2)/2)*CM48+(1-EXP(-LN(2)/2))/(LN(2)/2)*CG49*CJ49*VLOOKUP('Données projet'!$B$12,Paramètres!$A$1:$I$89,3,0)*0.475*44/12</f>
        <v>0.10847658909829967</v>
      </c>
      <c r="CN49" s="22">
        <f t="shared" si="12"/>
        <v>13.700365610430904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11.5</v>
      </c>
      <c r="CT49" s="12">
        <f>IF('Données projet'!$A$140&gt;35,CT48+CS49-DB48,IF(A49&lt;'Données projet'!$A$140,$CQ$205^A49,IF(A49='Données projet'!$A$140,'Données projet'!$B$140,CT48+CS49-DB48)))</f>
        <v>303.00000000000011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9.1999999999999993</v>
      </c>
      <c r="DO49" s="12">
        <f>IF('Données projet'!$A$166&gt;35,DO48+DN49-DW48,IF(A49&lt;'Données projet'!$A$166,$DL$205^A49,IF(A49='Données projet'!$A$166,'Données projet'!$B$166,DO48+DN49-DW48)))</f>
        <v>248.19999999999987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5.875</v>
      </c>
      <c r="N50" s="13">
        <f>IF('Données projet'!$A$36&gt;35,N49+M50-V49,IF(A50&lt;'Données projet'!$A$36,$K$205^A50,IF(A50='Données projet'!$A$36,'Données projet'!$B$36,N49+M50-V49)))</f>
        <v>269.875</v>
      </c>
      <c r="O50" s="13">
        <f>N50*VLOOKUP('Données projet'!$B$9,Paramètres!$A$1:$I$89,3,0)*VLOOKUP('Données projet'!$B$9,Paramètres!$A$1:$I$89,5,0)</f>
        <v>161.38525000000001</v>
      </c>
      <c r="P50" s="13">
        <f t="shared" si="33"/>
        <v>41.154805478559268</v>
      </c>
      <c r="Q50" s="20">
        <f t="shared" si="53"/>
        <v>352.75726329182407</v>
      </c>
      <c r="R50" s="59">
        <f t="shared" si="0"/>
        <v>646.09059662515733</v>
      </c>
      <c r="S50" s="59">
        <f ca="1">AVERAGE(OFFSET($R$3,0,0,'Données projet'!$E$9+1,1))-AVERAGE(OFFSET($H$3,0,0,'Données projet'!$E$9+1,1))</f>
        <v>168.08890945052406</v>
      </c>
      <c r="T50" s="59">
        <f t="shared" si="34"/>
        <v>182.52462557642343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4.4364475215943475</v>
      </c>
      <c r="AA50" s="21">
        <f>EXP(-LN(2)/25)*AA49+(1-EXP(-LN(2)/25))/(LN(2)/25)*Calculateur!V50*Calculateur!X50*VLOOKUP('Données projet'!$B$9,Paramètres!$A$1:$I$89,3,0)*0.475*44/12</f>
        <v>7.6965085050125657</v>
      </c>
      <c r="AB50" s="21">
        <f>EXP(-LN(2)/2)*AB49+(1-EXP(-LN(2)/2))/(LN(2)/2)*V50*Y50*VLOOKUP('Données projet'!$B$9,Paramètres!$A$1:$I$89,3,0)*0.475*44/12</f>
        <v>1.5041742210795725E-2</v>
      </c>
      <c r="AC50" s="22">
        <f t="shared" si="3"/>
        <v>12.147997768817708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12.8</v>
      </c>
      <c r="AI50" s="13">
        <f>IF('Données projet'!$A$62&gt;35,AI49+AH50-AQ49,IF(A50&lt;'Données projet'!$A$62,$AF$205^A50,IF(A50='Données projet'!$A$62,'Données projet'!$B$62,AI49+AH50-AQ49)))</f>
        <v>304.59999999999997</v>
      </c>
      <c r="AJ50" s="13">
        <f>AI50*VLOOKUP('Données projet'!$B$10,Paramètres!$A$1:$I$89,3,0)*VLOOKUP('Données projet'!$B$10,Paramètres!$A$1:$I$89,5,0)</f>
        <v>182.15079999999998</v>
      </c>
      <c r="AK50" s="13">
        <f t="shared" si="35"/>
        <v>45.800368240506849</v>
      </c>
      <c r="AL50" s="20">
        <f t="shared" si="4"/>
        <v>397.01495135221603</v>
      </c>
      <c r="AM50" s="59">
        <f t="shared" si="5"/>
        <v>690.34828468554929</v>
      </c>
      <c r="AN50" s="59">
        <f ca="1">AVERAGE(OFFSET($AM$3,0,0,'Données projet'!$E$10+1,1))-AVERAGE(OFFSET($H$3,0,0,'Données projet'!$E$10+1,1))</f>
        <v>216.94426559495264</v>
      </c>
      <c r="AO50" s="59">
        <f t="shared" si="36"/>
        <v>225.33715877618704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8.0200641113313473</v>
      </c>
      <c r="AW50" s="21">
        <f>EXP(-LN(2)/2)*AW49+(1-EXP(-LN(2)/2))/(LN(2)/2)*AQ50*AT50*VLOOKUP('Données projet'!$B$10,Paramètres!$A$1:$I$89,3,0)*0.475*44/12</f>
        <v>6.5543715937474031E-2</v>
      </c>
      <c r="AX50" s="21">
        <f t="shared" si="6"/>
        <v>8.0856078272688219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8.3000000000000007</v>
      </c>
      <c r="BD50" s="12">
        <f>IF('Données projet'!$A$88&gt;35,BD49+BC50-BL49,IF(A50&lt;'Données projet'!$A$88,$BA$205^A50,IF(A50='Données projet'!$A$88,'Données projet'!$B$88,BD49+BC50-BL49)))</f>
        <v>174.10000000000002</v>
      </c>
      <c r="BE50" s="13">
        <f>BD50*VLOOKUP('Données projet'!$B$11,Paramètres!$A$1:$I$89,3,0)*VLOOKUP('Données projet'!$B$11,Paramètres!$A$1:$I$89,5,0)</f>
        <v>157.52568000000002</v>
      </c>
      <c r="BF50" s="13">
        <f t="shared" si="37"/>
        <v>40.283920409774808</v>
      </c>
      <c r="BG50" s="20">
        <f t="shared" si="7"/>
        <v>344.51838738035781</v>
      </c>
      <c r="BH50" s="59">
        <f t="shared" si="8"/>
        <v>637.85172071369107</v>
      </c>
      <c r="BI50" s="59">
        <f ca="1">AVERAGE(OFFSET($BH$3,0,0,'Données projet'!$E$11+1,1))-AVERAGE(OFFSET($H$3,0,0,'Données projet'!$E$11+1,1))</f>
        <v>237.22177246688199</v>
      </c>
      <c r="BJ50" s="59">
        <f t="shared" si="38"/>
        <v>149.27472147904302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1.9386187518593989</v>
      </c>
      <c r="BR50" s="21">
        <f>EXP(-LN(2)/2)*BR49+(1-EXP(-LN(2)/2))/(LN(2)/2)*BL50*BO50*VLOOKUP('Données projet'!$B$11,Paramètres!$A$1:$I$89,3,0)*0.475*44/12</f>
        <v>1.7095819683549802E-2</v>
      </c>
      <c r="BS50" s="22">
        <f t="shared" si="9"/>
        <v>1.9557145715429487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8.1999999999999993</v>
      </c>
      <c r="BY50" s="12">
        <f>IF('Données projet'!$A$114&gt;35,BY49+BX50-CG49,IF(A50&lt;'Données projet'!$A$114,$BV$205^A50,IF(A50='Données projet'!$A$114,'Données projet'!$B$114,BY49+BX50-CG49)))</f>
        <v>215.39999999999995</v>
      </c>
      <c r="BZ50" s="13">
        <f>BY50*VLOOKUP('Données projet'!$B$12,Paramètres!$A$1:$I$89,3,0)*VLOOKUP('Données projet'!$B$12,Paramètres!$A$1:$I$89,5,0)</f>
        <v>188.17343999999997</v>
      </c>
      <c r="CA50" s="13">
        <f t="shared" si="39"/>
        <v>47.135899614073118</v>
      </c>
      <c r="CB50" s="20">
        <f t="shared" si="10"/>
        <v>409.83043316117727</v>
      </c>
      <c r="CC50" s="59">
        <f t="shared" si="11"/>
        <v>703.16376649451058</v>
      </c>
      <c r="CD50" s="59">
        <f ca="1">AVERAGE(OFFSET($CC$3,0,0,'Données projet'!$E$12+1,1))-AVERAGE(OFFSET($H$3,0,0,'Données projet'!$E$12+1,1))</f>
        <v>223.81948236065614</v>
      </c>
      <c r="CE50" s="59">
        <f t="shared" si="40"/>
        <v>320.1204011431372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2.1945493006658885</v>
      </c>
      <c r="CL50" s="21">
        <f>EXP(-LN(2)/25)*CL49+(1-EXP(-LN(2)/25))/(LN(2)/25)*Calculateur!CG50*Calculateur!CI50*VLOOKUP('Données projet'!$B$12,Paramètres!$A$1:$I$89,3,0)*0.475*44/12</f>
        <v>11.042984646579686</v>
      </c>
      <c r="CM50" s="21">
        <f>EXP(-LN(2)/2)*CM49+(1-EXP(-LN(2)/2))/(LN(2)/2)*CG50*CJ50*VLOOKUP('Données projet'!$B$12,Paramètres!$A$1:$I$89,3,0)*0.475*44/12</f>
        <v>7.6704531751394411E-2</v>
      </c>
      <c r="CN50" s="22">
        <f t="shared" si="12"/>
        <v>13.31423847899697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11.5</v>
      </c>
      <c r="CT50" s="12">
        <f>IF('Données projet'!$A$140&gt;35,CT49+CS50-DB49,IF(A50&lt;'Données projet'!$A$140,$CQ$205^A50,IF(A50='Données projet'!$A$140,'Données projet'!$B$140,CT49+CS50-DB49)))</f>
        <v>314.50000000000011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9.1999999999999993</v>
      </c>
      <c r="DO50" s="12">
        <f>IF('Données projet'!$A$166&gt;35,DO49+DN50-DW49,IF(A50&lt;'Données projet'!$A$166,$DL$205^A50,IF(A50='Données projet'!$A$166,'Données projet'!$B$166,DO49+DN50-DW49)))</f>
        <v>257.39999999999986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5.875</v>
      </c>
      <c r="N51" s="13">
        <f>IF('Données projet'!$A$36&gt;35,N50+M51-V50,IF(A51&lt;'Données projet'!$A$36,$K$205^A51,IF(A51='Données projet'!$A$36,'Données projet'!$B$36,N50+M51-V50)))</f>
        <v>275.75</v>
      </c>
      <c r="O51" s="13">
        <f>N51*VLOOKUP('Données projet'!$B$9,Paramètres!$A$1:$I$89,3,0)*VLOOKUP('Données projet'!$B$9,Paramètres!$A$1:$I$89,5,0)</f>
        <v>164.89850000000001</v>
      </c>
      <c r="P51" s="13">
        <f t="shared" si="33"/>
        <v>41.94543913753872</v>
      </c>
      <c r="Q51" s="20">
        <f t="shared" si="53"/>
        <v>360.25319399788003</v>
      </c>
      <c r="R51" s="59">
        <f t="shared" si="0"/>
        <v>653.58652733121335</v>
      </c>
      <c r="S51" s="59">
        <f ca="1">AVERAGE(OFFSET($R$3,0,0,'Données projet'!$E$9+1,1))-AVERAGE(OFFSET($H$3,0,0,'Données projet'!$E$9+1,1))</f>
        <v>168.08890945052406</v>
      </c>
      <c r="T51" s="59">
        <f t="shared" si="34"/>
        <v>182.52462557642343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4.3494514916616787</v>
      </c>
      <c r="AA51" s="21">
        <f>EXP(-LN(2)/25)*AA50+(1-EXP(-LN(2)/25))/(LN(2)/25)*Calculateur!V51*Calculateur!X51*VLOOKUP('Données projet'!$B$9,Paramètres!$A$1:$I$89,3,0)*0.475*44/12</f>
        <v>7.4860470752012054</v>
      </c>
      <c r="AB51" s="21">
        <f>EXP(-LN(2)/2)*AB50+(1-EXP(-LN(2)/2))/(LN(2)/2)*V51*Y51*VLOOKUP('Données projet'!$B$9,Paramètres!$A$1:$I$89,3,0)*0.475*44/12</f>
        <v>1.0636117918113589E-2</v>
      </c>
      <c r="AC51" s="22">
        <f t="shared" si="3"/>
        <v>11.846134684780999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12.8</v>
      </c>
      <c r="AI51" s="13">
        <f>IF('Données projet'!$A$62&gt;35,AI50+AH51-AQ50,IF(A51&lt;'Données projet'!$A$62,$AF$205^A51,IF(A51='Données projet'!$A$62,'Données projet'!$B$62,AI50+AH51-AQ50)))</f>
        <v>317.39999999999998</v>
      </c>
      <c r="AJ51" s="13">
        <f>AI51*VLOOKUP('Données projet'!$B$10,Paramètres!$A$1:$I$89,3,0)*VLOOKUP('Données projet'!$B$10,Paramètres!$A$1:$I$89,5,0)</f>
        <v>189.80519999999999</v>
      </c>
      <c r="AK51" s="13">
        <f t="shared" si="35"/>
        <v>47.496882766206909</v>
      </c>
      <c r="AL51" s="20">
        <f t="shared" si="4"/>
        <v>413.30112748447704</v>
      </c>
      <c r="AM51" s="59">
        <f t="shared" si="5"/>
        <v>706.63446081781035</v>
      </c>
      <c r="AN51" s="59">
        <f ca="1">AVERAGE(OFFSET($AM$3,0,0,'Données projet'!$E$10+1,1))-AVERAGE(OFFSET($H$3,0,0,'Données projet'!$E$10+1,1))</f>
        <v>216.94426559495264</v>
      </c>
      <c r="AO51" s="59">
        <f t="shared" si="36"/>
        <v>225.33715877618704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7.8007550364501501</v>
      </c>
      <c r="AW51" s="21">
        <f>EXP(-LN(2)/2)*AW50+(1-EXP(-LN(2)/2))/(LN(2)/2)*AQ51*AT51*VLOOKUP('Données projet'!$B$10,Paramètres!$A$1:$I$89,3,0)*0.475*44/12</f>
        <v>4.6346406003552679E-2</v>
      </c>
      <c r="AX51" s="21">
        <f t="shared" si="6"/>
        <v>7.8471014424537024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8.3000000000000007</v>
      </c>
      <c r="BD51" s="12">
        <f>IF('Données projet'!$A$88&gt;35,BD50+BC51-BL50,IF(A51&lt;'Données projet'!$A$88,$BA$205^A51,IF(A51='Données projet'!$A$88,'Données projet'!$B$88,BD50+BC51-BL50)))</f>
        <v>182.40000000000003</v>
      </c>
      <c r="BE51" s="13">
        <f>BD51*VLOOKUP('Données projet'!$B$11,Paramètres!$A$1:$I$89,3,0)*VLOOKUP('Données projet'!$B$11,Paramètres!$A$1:$I$89,5,0)</f>
        <v>165.03552000000002</v>
      </c>
      <c r="BF51" s="13">
        <f t="shared" si="37"/>
        <v>41.976234598846517</v>
      </c>
      <c r="BG51" s="20">
        <f t="shared" si="7"/>
        <v>360.54547259299108</v>
      </c>
      <c r="BH51" s="59">
        <f t="shared" si="8"/>
        <v>653.87880592632439</v>
      </c>
      <c r="BI51" s="59">
        <f ca="1">AVERAGE(OFFSET($BH$3,0,0,'Données projet'!$E$11+1,1))-AVERAGE(OFFSET($H$3,0,0,'Données projet'!$E$11+1,1))</f>
        <v>237.22177246688199</v>
      </c>
      <c r="BJ51" s="59">
        <f t="shared" si="38"/>
        <v>149.27472147904302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1.8856071201422742</v>
      </c>
      <c r="BR51" s="21">
        <f>EXP(-LN(2)/2)*BR50+(1-EXP(-LN(2)/2))/(LN(2)/2)*BL51*BO51*VLOOKUP('Données projet'!$B$11,Paramètres!$A$1:$I$89,3,0)*0.475*44/12</f>
        <v>1.2088570028180522E-2</v>
      </c>
      <c r="BS51" s="22">
        <f t="shared" si="9"/>
        <v>1.8976956901704547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8.1999999999999993</v>
      </c>
      <c r="BY51" s="12">
        <f>IF('Données projet'!$A$114&gt;35,BY50+BX51-CG50,IF(A51&lt;'Données projet'!$A$114,$BV$205^A51,IF(A51='Données projet'!$A$114,'Données projet'!$B$114,BY50+BX51-CG50)))</f>
        <v>223.59999999999994</v>
      </c>
      <c r="BZ51" s="13">
        <f>BY51*VLOOKUP('Données projet'!$B$12,Paramètres!$A$1:$I$89,3,0)*VLOOKUP('Données projet'!$B$12,Paramètres!$A$1:$I$89,5,0)</f>
        <v>195.33695999999998</v>
      </c>
      <c r="CA51" s="13">
        <f t="shared" si="39"/>
        <v>48.717969863105445</v>
      </c>
      <c r="CB51" s="20">
        <f t="shared" si="10"/>
        <v>425.06233617824199</v>
      </c>
      <c r="CC51" s="59">
        <f t="shared" si="11"/>
        <v>718.39566951157531</v>
      </c>
      <c r="CD51" s="59">
        <f ca="1">AVERAGE(OFFSET($CC$3,0,0,'Données projet'!$E$12+1,1))-AVERAGE(OFFSET($H$3,0,0,'Données projet'!$E$12+1,1))</f>
        <v>223.81948236065614</v>
      </c>
      <c r="CE51" s="59">
        <f t="shared" si="40"/>
        <v>320.1204011431372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2.1515155274227338</v>
      </c>
      <c r="CL51" s="21">
        <f>EXP(-LN(2)/25)*CL50+(1-EXP(-LN(2)/25))/(LN(2)/25)*Calculateur!CG51*Calculateur!CI51*VLOOKUP('Données projet'!$B$12,Paramètres!$A$1:$I$89,3,0)*0.475*44/12</f>
        <v>10.741013650693642</v>
      </c>
      <c r="CM51" s="21">
        <f>EXP(-LN(2)/2)*CM50+(1-EXP(-LN(2)/2))/(LN(2)/2)*CG51*CJ51*VLOOKUP('Données projet'!$B$12,Paramètres!$A$1:$I$89,3,0)*0.475*44/12</f>
        <v>5.4238294549149836E-2</v>
      </c>
      <c r="CN51" s="22">
        <f t="shared" si="12"/>
        <v>12.946767472665526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11.5</v>
      </c>
      <c r="CT51" s="12">
        <f>IF('Données projet'!$A$140&gt;35,CT50+CS51-DB50,IF(A51&lt;'Données projet'!$A$140,$CQ$205^A51,IF(A51='Données projet'!$A$140,'Données projet'!$B$140,CT50+CS51-DB50)))</f>
        <v>326.00000000000011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9.1999999999999993</v>
      </c>
      <c r="DO51" s="12">
        <f>IF('Données projet'!$A$166&gt;35,DO50+DN51-DW50,IF(A51&lt;'Données projet'!$A$166,$DL$205^A51,IF(A51='Données projet'!$A$166,'Données projet'!$B$166,DO50+DN51-DW50)))</f>
        <v>266.59999999999985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5.875</v>
      </c>
      <c r="N52" s="13">
        <f>IF('Données projet'!$A$36&gt;35,N51+M52-V51,IF(A52&lt;'Données projet'!$A$36,$K$205^A52,IF(A52='Données projet'!$A$36,'Données projet'!$B$36,N51+M52-V51)))</f>
        <v>281.625</v>
      </c>
      <c r="O52" s="13">
        <f>N52*VLOOKUP('Données projet'!$B$9,Paramètres!$A$1:$I$89,3,0)*VLOOKUP('Données projet'!$B$9,Paramètres!$A$1:$I$89,5,0)</f>
        <v>168.41175000000001</v>
      </c>
      <c r="P52" s="13">
        <f t="shared" si="33"/>
        <v>42.73411432638013</v>
      </c>
      <c r="Q52" s="20">
        <f t="shared" si="53"/>
        <v>367.74571370177881</v>
      </c>
      <c r="R52" s="59">
        <f t="shared" si="0"/>
        <v>661.07904703511213</v>
      </c>
      <c r="S52" s="59">
        <f ca="1">AVERAGE(OFFSET($R$3,0,0,'Données projet'!$E$9+1,1))-AVERAGE(OFFSET($H$3,0,0,'Données projet'!$E$9+1,1))</f>
        <v>168.08890945052406</v>
      </c>
      <c r="T52" s="59">
        <f t="shared" si="34"/>
        <v>182.52462557642343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4.2641614008136504</v>
      </c>
      <c r="AA52" s="21">
        <f>EXP(-LN(2)/25)*AA51+(1-EXP(-LN(2)/25))/(LN(2)/25)*Calculateur!V52*Calculateur!X52*VLOOKUP('Données projet'!$B$9,Paramètres!$A$1:$I$89,3,0)*0.475*44/12</f>
        <v>7.2813407242557222</v>
      </c>
      <c r="AB52" s="21">
        <f>EXP(-LN(2)/2)*AB51+(1-EXP(-LN(2)/2))/(LN(2)/2)*V52*Y52*VLOOKUP('Données projet'!$B$9,Paramètres!$A$1:$I$89,3,0)*0.475*44/12</f>
        <v>7.5208711053978633E-3</v>
      </c>
      <c r="AC52" s="22">
        <f t="shared" si="3"/>
        <v>11.55302299617477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12.8</v>
      </c>
      <c r="AI52" s="13">
        <f>IF('Données projet'!$A$62&gt;35,AI51+AH52-AQ51,IF(A52&lt;'Données projet'!$A$62,$AF$205^A52,IF(A52='Données projet'!$A$62,'Données projet'!$B$62,AI51+AH52-AQ51)))</f>
        <v>330.2</v>
      </c>
      <c r="AJ52" s="13">
        <f>AI52*VLOOKUP('Données projet'!$B$10,Paramètres!$A$1:$I$89,3,0)*VLOOKUP('Données projet'!$B$10,Paramètres!$A$1:$I$89,5,0)</f>
        <v>197.45959999999999</v>
      </c>
      <c r="AK52" s="13">
        <f t="shared" si="35"/>
        <v>49.185450002435452</v>
      </c>
      <c r="AL52" s="20">
        <f t="shared" si="4"/>
        <v>429.57346208757502</v>
      </c>
      <c r="AM52" s="59">
        <f t="shared" si="5"/>
        <v>722.90679542090834</v>
      </c>
      <c r="AN52" s="59">
        <f ca="1">AVERAGE(OFFSET($AM$3,0,0,'Données projet'!$E$10+1,1))-AVERAGE(OFFSET($H$3,0,0,'Données projet'!$E$10+1,1))</f>
        <v>216.94426559495264</v>
      </c>
      <c r="AO52" s="59">
        <f t="shared" si="36"/>
        <v>225.33715877618704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7.5874429797545426</v>
      </c>
      <c r="AW52" s="21">
        <f>EXP(-LN(2)/2)*AW51+(1-EXP(-LN(2)/2))/(LN(2)/2)*AQ52*AT52*VLOOKUP('Données projet'!$B$10,Paramètres!$A$1:$I$89,3,0)*0.475*44/12</f>
        <v>3.2771857968737016E-2</v>
      </c>
      <c r="AX52" s="21">
        <f t="shared" si="6"/>
        <v>7.6202148377232799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8.3000000000000007</v>
      </c>
      <c r="BD52" s="12">
        <f>IF('Données projet'!$A$88&gt;35,BD51+BC52-BL51,IF(A52&lt;'Données projet'!$A$88,$BA$205^A52,IF(A52='Données projet'!$A$88,'Données projet'!$B$88,BD51+BC52-BL51)))</f>
        <v>190.70000000000005</v>
      </c>
      <c r="BE52" s="13">
        <f>BD52*VLOOKUP('Données projet'!$B$11,Paramètres!$A$1:$I$89,3,0)*VLOOKUP('Données projet'!$B$11,Paramètres!$A$1:$I$89,5,0)</f>
        <v>172.54536000000004</v>
      </c>
      <c r="BF52" s="13">
        <f t="shared" si="37"/>
        <v>43.65960552772448</v>
      </c>
      <c r="BG52" s="20">
        <f t="shared" si="7"/>
        <v>376.55698162745358</v>
      </c>
      <c r="BH52" s="59">
        <f t="shared" si="8"/>
        <v>669.8903149607869</v>
      </c>
      <c r="BI52" s="59">
        <f ca="1">AVERAGE(OFFSET($BH$3,0,0,'Données projet'!$E$11+1,1))-AVERAGE(OFFSET($H$3,0,0,'Données projet'!$E$11+1,1))</f>
        <v>237.22177246688199</v>
      </c>
      <c r="BJ52" s="59">
        <f t="shared" si="38"/>
        <v>149.27472147904302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1.8340450942822148</v>
      </c>
      <c r="BR52" s="21">
        <f>EXP(-LN(2)/2)*BR51+(1-EXP(-LN(2)/2))/(LN(2)/2)*BL52*BO52*VLOOKUP('Données projet'!$B$11,Paramètres!$A$1:$I$89,3,0)*0.475*44/12</f>
        <v>8.5479098417749009E-3</v>
      </c>
      <c r="BS52" s="22">
        <f t="shared" si="9"/>
        <v>1.8425930041239897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8.1999999999999993</v>
      </c>
      <c r="BY52" s="12">
        <f>IF('Données projet'!$A$114&gt;35,BY51+BX52-CG51,IF(A52&lt;'Données projet'!$A$114,$BV$205^A52,IF(A52='Données projet'!$A$114,'Données projet'!$B$114,BY51+BX52-CG51)))</f>
        <v>231.79999999999993</v>
      </c>
      <c r="BZ52" s="13">
        <f>BY52*VLOOKUP('Données projet'!$B$12,Paramètres!$A$1:$I$89,3,0)*VLOOKUP('Données projet'!$B$12,Paramètres!$A$1:$I$89,5,0)</f>
        <v>202.50047999999995</v>
      </c>
      <c r="CA52" s="13">
        <f t="shared" si="39"/>
        <v>50.293299535837903</v>
      </c>
      <c r="CB52" s="20">
        <f t="shared" si="10"/>
        <v>440.28249935825096</v>
      </c>
      <c r="CC52" s="59">
        <f t="shared" si="11"/>
        <v>733.61583269158427</v>
      </c>
      <c r="CD52" s="59">
        <f ca="1">AVERAGE(OFFSET($CC$3,0,0,'Données projet'!$E$12+1,1))-AVERAGE(OFFSET($H$3,0,0,'Données projet'!$E$12+1,1))</f>
        <v>223.81948236065614</v>
      </c>
      <c r="CE52" s="59">
        <f t="shared" si="40"/>
        <v>320.1204011431372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2.1093256202248671</v>
      </c>
      <c r="CL52" s="21">
        <f>EXP(-LN(2)/25)*CL51+(1-EXP(-LN(2)/25))/(LN(2)/25)*Calculateur!CG52*Calculateur!CI52*VLOOKUP('Données projet'!$B$12,Paramètres!$A$1:$I$89,3,0)*0.475*44/12</f>
        <v>10.447300067570065</v>
      </c>
      <c r="CM52" s="21">
        <f>EXP(-LN(2)/2)*CM51+(1-EXP(-LN(2)/2))/(LN(2)/2)*CG52*CJ52*VLOOKUP('Données projet'!$B$12,Paramètres!$A$1:$I$89,3,0)*0.475*44/12</f>
        <v>3.8352265875697206E-2</v>
      </c>
      <c r="CN52" s="22">
        <f t="shared" si="12"/>
        <v>12.594977953670631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11.5</v>
      </c>
      <c r="CT52" s="12">
        <f>IF('Données projet'!$A$140&gt;35,CT51+CS52-DB51,IF(A52&lt;'Données projet'!$A$140,$CQ$205^A52,IF(A52='Données projet'!$A$140,'Données projet'!$B$140,CT51+CS52-DB51)))</f>
        <v>337.50000000000011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9.1999999999999993</v>
      </c>
      <c r="DO52" s="12">
        <f>IF('Données projet'!$A$166&gt;35,DO51+DN52-DW51,IF(A52&lt;'Données projet'!$A$166,$DL$205^A52,IF(A52='Données projet'!$A$166,'Données projet'!$B$166,DO51+DN52-DW51)))</f>
        <v>275.79999999999984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5.875</v>
      </c>
      <c r="N53" s="13">
        <f>IF('Données projet'!$A$36&gt;35,N52+M53-V52,IF(A53&lt;'Données projet'!$A$36,$K$205^A53,IF(A53='Données projet'!$A$36,'Données projet'!$B$36,N52+M53-V52)))</f>
        <v>287.5</v>
      </c>
      <c r="O53" s="13">
        <f>N53*VLOOKUP('Données projet'!$B$9,Paramètres!$A$1:$I$89,3,0)*VLOOKUP('Données projet'!$B$9,Paramètres!$A$1:$I$89,5,0)</f>
        <v>171.92500000000001</v>
      </c>
      <c r="P53" s="13">
        <f t="shared" si="33"/>
        <v>43.520876607827979</v>
      </c>
      <c r="Q53" s="20">
        <f t="shared" si="53"/>
        <v>375.23490175863367</v>
      </c>
      <c r="R53" s="59">
        <f t="shared" si="0"/>
        <v>668.56823509196693</v>
      </c>
      <c r="S53" s="59">
        <f ca="1">AVERAGE(OFFSET($R$3,0,0,'Données projet'!$E$9+1,1))-AVERAGE(OFFSET($H$3,0,0,'Données projet'!$E$9+1,1))</f>
        <v>168.08890945052406</v>
      </c>
      <c r="T53" s="59">
        <f t="shared" si="34"/>
        <v>182.52462557642343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4.1805437966253338</v>
      </c>
      <c r="AA53" s="21">
        <f>EXP(-LN(2)/25)*AA52+(1-EXP(-LN(2)/25))/(LN(2)/25)*Calculateur!V53*Calculateur!X53*VLOOKUP('Données projet'!$B$9,Paramètres!$A$1:$I$89,3,0)*0.475*44/12</f>
        <v>7.0822320792418827</v>
      </c>
      <c r="AB53" s="21">
        <f>EXP(-LN(2)/2)*AB52+(1-EXP(-LN(2)/2))/(LN(2)/2)*V53*Y53*VLOOKUP('Données projet'!$B$9,Paramètres!$A$1:$I$89,3,0)*0.475*44/12</f>
        <v>5.3180589590567954E-3</v>
      </c>
      <c r="AC53" s="22">
        <f t="shared" si="3"/>
        <v>11.268093934826274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343</v>
      </c>
      <c r="AG53" s="12">
        <f>VLOOKUP(A53,'Données projet'!$A$61:$I$81,9,0)</f>
        <v>12.8</v>
      </c>
      <c r="AH53" s="12">
        <f t="array" ref="AH53">INDEX(AG:AG,MIN(IF(ISNUMBER(AG53:AG249),ROW(AG53:AG249),"")))</f>
        <v>12.8</v>
      </c>
      <c r="AI53" s="13">
        <f>IF('Données projet'!$A$62&gt;35,AI52+AH53-AQ52,IF(A53&lt;'Données projet'!$A$62,$AF$205^A53,IF(A53='Données projet'!$A$62,'Données projet'!$B$62,AI52+AH53-AQ52)))</f>
        <v>343</v>
      </c>
      <c r="AJ53" s="13">
        <f>AI53*VLOOKUP('Données projet'!$B$10,Paramètres!$A$1:$I$89,3,0)*VLOOKUP('Données projet'!$B$10,Paramètres!$A$1:$I$89,5,0)</f>
        <v>205.114</v>
      </c>
      <c r="AK53" s="13">
        <f t="shared" si="35"/>
        <v>50.86641328088507</v>
      </c>
      <c r="AL53" s="20">
        <f t="shared" si="4"/>
        <v>445.83255313087483</v>
      </c>
      <c r="AM53" s="59">
        <f t="shared" si="5"/>
        <v>739.16588646420814</v>
      </c>
      <c r="AN53" s="59">
        <f ca="1">AVERAGE(OFFSET($AM$3,0,0,'Données projet'!$E$10+1,1))-AVERAGE(OFFSET($H$3,0,0,'Données projet'!$E$10+1,1))</f>
        <v>216.94426559495264</v>
      </c>
      <c r="AO53" s="59">
        <f t="shared" si="36"/>
        <v>225.33715877618704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70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7.3799639524668699</v>
      </c>
      <c r="AW53" s="21">
        <f>EXP(-LN(2)/2)*AW52+(1-EXP(-LN(2)/2))/(LN(2)/2)*AQ53*AT53*VLOOKUP('Données projet'!$B$10,Paramètres!$A$1:$I$89,3,0)*0.475*44/12</f>
        <v>2.3173203001776339E-2</v>
      </c>
      <c r="AX53" s="21">
        <f t="shared" si="6"/>
        <v>7.403137155468646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199</v>
      </c>
      <c r="BB53" s="12">
        <f>VLOOKUP(A53,'Données projet'!$A$87:$I$107,9,0)</f>
        <v>8.3000000000000007</v>
      </c>
      <c r="BC53" s="12">
        <f t="array" ref="BC53">INDEX(BB:BB,MIN(IF(ISNUMBER(BB53:BB249),ROW(BB53:BB249),"")))</f>
        <v>8.3000000000000007</v>
      </c>
      <c r="BD53" s="12">
        <f>IF('Données projet'!$A$88&gt;35,BD52+BC53-BL52,IF(A53&lt;'Données projet'!$A$88,$BA$205^A53,IF(A53='Données projet'!$A$88,'Données projet'!$B$88,BD52+BC53-BL52)))</f>
        <v>199.00000000000006</v>
      </c>
      <c r="BE53" s="13">
        <f>BD53*VLOOKUP('Données projet'!$B$11,Paramètres!$A$1:$I$89,3,0)*VLOOKUP('Données projet'!$B$11,Paramètres!$A$1:$I$89,5,0)</f>
        <v>180.05520000000004</v>
      </c>
      <c r="BF53" s="13">
        <f t="shared" si="37"/>
        <v>45.334466930398399</v>
      </c>
      <c r="BG53" s="20">
        <f t="shared" si="7"/>
        <v>392.55366990377729</v>
      </c>
      <c r="BH53" s="59">
        <f t="shared" si="8"/>
        <v>685.88700323711055</v>
      </c>
      <c r="BI53" s="59">
        <f ca="1">AVERAGE(OFFSET($BH$3,0,0,'Données projet'!$E$11+1,1))-AVERAGE(OFFSET($H$3,0,0,'Données projet'!$E$11+1,1))</f>
        <v>237.22177246688199</v>
      </c>
      <c r="BJ53" s="59">
        <f t="shared" si="38"/>
        <v>149.27472147904302</v>
      </c>
      <c r="BK53" s="15">
        <f>IF(ISNA(VLOOKUP(A53,'Données projet'!$A$87:$I$107,3,0)),0,VLOOKUP(A53,'Données projet'!$A$87:$I$107,3,0))</f>
        <v>3</v>
      </c>
      <c r="BL53" s="15">
        <f>IF(ISNA(VLOOKUP(A53,'Données projet'!$A$87:$I$107,4,0)),0,VLOOKUP(A53,'Données projet'!$A$87:$I$107,4,0))</f>
        <v>42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1.7838930347308279</v>
      </c>
      <c r="BR53" s="21">
        <f>EXP(-LN(2)/2)*BR52+(1-EXP(-LN(2)/2))/(LN(2)/2)*BL53*BO53*VLOOKUP('Données projet'!$B$11,Paramètres!$A$1:$I$89,3,0)*0.475*44/12</f>
        <v>6.044285014090261E-3</v>
      </c>
      <c r="BS53" s="22">
        <f t="shared" si="9"/>
        <v>1.7899373197449182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240</v>
      </c>
      <c r="BW53" s="12">
        <f>VLOOKUP(A53,'Données projet'!$A$113:$I$133,9,0)</f>
        <v>8.1999999999999993</v>
      </c>
      <c r="BX53" s="12">
        <f t="array" ref="BX53">INDEX(BW:BW,MIN(IF(ISNUMBER(BW53:BW249),ROW(BW53:BW249),"")))</f>
        <v>8.1999999999999993</v>
      </c>
      <c r="BY53" s="12">
        <f>IF('Données projet'!$A$114&gt;35,BY52+BX53-CG52,IF(A53&lt;'Données projet'!$A$114,$BV$205^A53,IF(A53='Données projet'!$A$114,'Données projet'!$B$114,BY52+BX53-CG52)))</f>
        <v>239.99999999999991</v>
      </c>
      <c r="BZ53" s="13">
        <f>BY53*VLOOKUP('Données projet'!$B$12,Paramètres!$A$1:$I$89,3,0)*VLOOKUP('Données projet'!$B$12,Paramètres!$A$1:$I$89,5,0)</f>
        <v>209.66399999999996</v>
      </c>
      <c r="CA53" s="13">
        <f t="shared" si="39"/>
        <v>51.862154403304487</v>
      </c>
      <c r="CB53" s="20">
        <f t="shared" si="10"/>
        <v>455.49138558575515</v>
      </c>
      <c r="CC53" s="59">
        <f t="shared" si="11"/>
        <v>748.82471891908847</v>
      </c>
      <c r="CD53" s="59">
        <f ca="1">AVERAGE(OFFSET($CC$3,0,0,'Données projet'!$E$12+1,1))-AVERAGE(OFFSET($H$3,0,0,'Données projet'!$E$12+1,1))</f>
        <v>223.81948236065614</v>
      </c>
      <c r="CE53" s="59">
        <f t="shared" si="40"/>
        <v>320.1204011431372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59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2.0679630313738486</v>
      </c>
      <c r="CL53" s="21">
        <f>EXP(-LN(2)/25)*CL52+(1-EXP(-LN(2)/25))/(LN(2)/25)*Calculateur!CG53*Calculateur!CI53*VLOOKUP('Données projet'!$B$12,Paramètres!$A$1:$I$89,3,0)*0.475*44/12</f>
        <v>10.161618097822728</v>
      </c>
      <c r="CM53" s="21">
        <f>EXP(-LN(2)/2)*CM52+(1-EXP(-LN(2)/2))/(LN(2)/2)*CG53*CJ53*VLOOKUP('Données projet'!$B$12,Paramètres!$A$1:$I$89,3,0)*0.475*44/12</f>
        <v>2.7119147274574918E-2</v>
      </c>
      <c r="CN53" s="22">
        <f t="shared" si="12"/>
        <v>12.256700276471152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349</v>
      </c>
      <c r="CR53" s="12">
        <f>VLOOKUP(A53,'Données projet'!$A$139:$I$159,9,0)</f>
        <v>11.5</v>
      </c>
      <c r="CS53" s="12">
        <f t="array" ref="CS53">INDEX(CR:CR,MIN(IF(ISNUMBER(CR53:CR249),ROW(CR53:CR249),"")))</f>
        <v>11.5</v>
      </c>
      <c r="CT53" s="12">
        <f>IF('Données projet'!$A$140&gt;35,CT52+CS53-DB52,IF(A53&lt;'Données projet'!$A$140,$CQ$205^A53,IF(A53='Données projet'!$A$140,'Données projet'!$B$140,CT52+CS53-DB52)))</f>
        <v>349.00000000000011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65</v>
      </c>
      <c r="DC53" s="16" t="e">
        <f>IF(ISNA(VLOOKUP(A53,'Données projet'!$A$139:$I$159,5,0)),0%,VLOOKUP(A53,'Données projet'!$A$139:$I$159,5,0)*VLOOKUP('Données projet'!$B$13,Paramètres!$A$1:$I$89,7,0))</f>
        <v>#N/A</v>
      </c>
      <c r="DD53" s="16" t="e">
        <f>IF(ISNA(VLOOKUP(A53,'Données projet'!$A$139:$I$159,6,0)),0%,VLOOKUP(A53,'Données projet'!$A$139:$I$159,6,0)*VLOOKUP('Données projet'!$B$13,Paramètres!$A$1:$I$89,7,0))</f>
        <v>#N/A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285</v>
      </c>
      <c r="DM53" s="12">
        <f>VLOOKUP(A53,'Données projet'!$A$165:$I$185,9,0)</f>
        <v>9.1999999999999993</v>
      </c>
      <c r="DN53" s="12">
        <f t="array" ref="DN53">INDEX(DM:DM,MIN(IF(ISNUMBER(DM53:DM249),ROW(DM53:DM249),"")))</f>
        <v>9.1999999999999993</v>
      </c>
      <c r="DO53" s="12">
        <f>IF('Données projet'!$A$166&gt;35,DO52+DN53-DW52,IF(A53&lt;'Données projet'!$A$166,$DL$205^A53,IF(A53='Données projet'!$A$166,'Données projet'!$B$166,DO52+DN53-DW52)))</f>
        <v>284.99999999999983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5</v>
      </c>
      <c r="DW53" s="15">
        <f>IF(ISNA(VLOOKUP(A53,'Données projet'!$A$165:$I$185,4,0)),0,VLOOKUP(A53,'Données projet'!$A$165:$I$185,4,0))</f>
        <v>43</v>
      </c>
      <c r="DX53" s="16" t="e">
        <f>IF(ISNA(VLOOKUP(A53,'Données projet'!$A$165:$I$185,5,0)),0%,VLOOKUP(A53,'Données projet'!$A$165:$I$185,5,0)*VLOOKUP('Données projet'!$B$14,Paramètres!$A$1:$I$89,7,0))</f>
        <v>#N/A</v>
      </c>
      <c r="DY53" s="16" t="e">
        <f>IF(ISNA(VLOOKUP(A53,'Données projet'!$A$165:$I$185,6,0)),0%,VLOOKUP(A53,'Données projet'!$A$165:$I$185,6,0)*VLOOKUP('Données projet'!$B$14,Paramètres!$A$1:$I$89,7,0))</f>
        <v>#N/A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5.875</v>
      </c>
      <c r="N54" s="13">
        <f>IF('Données projet'!$A$36&gt;35,N53+M54-V53,IF(A54&lt;'Données projet'!$A$36,$K$205^A54,IF(A54='Données projet'!$A$36,'Données projet'!$B$36,N53+M54-V53)))</f>
        <v>293.375</v>
      </c>
      <c r="O54" s="13">
        <f>N54*VLOOKUP('Données projet'!$B$9,Paramètres!$A$1:$I$89,3,0)*VLOOKUP('Données projet'!$B$9,Paramètres!$A$1:$I$89,5,0)</f>
        <v>175.43825000000004</v>
      </c>
      <c r="P54" s="13">
        <f t="shared" si="33"/>
        <v>44.305769576051844</v>
      </c>
      <c r="Q54" s="20">
        <f t="shared" si="53"/>
        <v>382.72083409495696</v>
      </c>
      <c r="R54" s="59">
        <f t="shared" si="0"/>
        <v>676.05416742829027</v>
      </c>
      <c r="S54" s="59">
        <f ca="1">AVERAGE(OFFSET($R$3,0,0,'Données projet'!$E$9+1,1))-AVERAGE(OFFSET($H$3,0,0,'Données projet'!$E$9+1,1))</f>
        <v>168.08890945052406</v>
      </c>
      <c r="T54" s="59">
        <f t="shared" si="34"/>
        <v>182.52462557642343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4.098565882653447</v>
      </c>
      <c r="AA54" s="21">
        <f>EXP(-LN(2)/25)*AA53+(1-EXP(-LN(2)/25))/(LN(2)/25)*Calculateur!V54*Calculateur!X54*VLOOKUP('Données projet'!$B$9,Paramètres!$A$1:$I$89,3,0)*0.475*44/12</f>
        <v>6.888568070596615</v>
      </c>
      <c r="AB54" s="21">
        <f>EXP(-LN(2)/2)*AB53+(1-EXP(-LN(2)/2))/(LN(2)/2)*V54*Y54*VLOOKUP('Données projet'!$B$9,Paramètres!$A$1:$I$89,3,0)*0.475*44/12</f>
        <v>3.7604355526989325E-3</v>
      </c>
      <c r="AC54" s="22">
        <f t="shared" si="3"/>
        <v>10.990894388802761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11.4</v>
      </c>
      <c r="AI54" s="13">
        <f>IF('Données projet'!$A$62&gt;35,AI53+AH54-AQ53,IF(A54&lt;'Données projet'!$A$62,$AF$205^A54,IF(A54='Données projet'!$A$62,'Données projet'!$B$62,AI53+AH54-AQ53)))</f>
        <v>284.39999999999998</v>
      </c>
      <c r="AJ54" s="13">
        <f>AI54*VLOOKUP('Données projet'!$B$10,Paramètres!$A$1:$I$89,3,0)*VLOOKUP('Données projet'!$B$10,Paramètres!$A$1:$I$89,5,0)</f>
        <v>170.07119999999998</v>
      </c>
      <c r="AK54" s="13">
        <f t="shared" si="35"/>
        <v>43.105969628155904</v>
      </c>
      <c r="AL54" s="20">
        <f t="shared" si="4"/>
        <v>371.2835704357048</v>
      </c>
      <c r="AM54" s="59">
        <f t="shared" si="5"/>
        <v>664.61690376903812</v>
      </c>
      <c r="AN54" s="59">
        <f ca="1">AVERAGE(OFFSET($AM$3,0,0,'Données projet'!$E$10+1,1))-AVERAGE(OFFSET($H$3,0,0,'Données projet'!$E$10+1,1))</f>
        <v>216.94426559495264</v>
      </c>
      <c r="AO54" s="59">
        <f t="shared" si="36"/>
        <v>225.33715877618704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7.1781584500912263</v>
      </c>
      <c r="AW54" s="21">
        <f>EXP(-LN(2)/2)*AW53+(1-EXP(-LN(2)/2))/(LN(2)/2)*AQ54*AT54*VLOOKUP('Données projet'!$B$10,Paramètres!$A$1:$I$89,3,0)*0.475*44/12</f>
        <v>1.6385928984368508E-2</v>
      </c>
      <c r="AX54" s="21">
        <f t="shared" si="6"/>
        <v>7.1945443790755945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7.8</v>
      </c>
      <c r="BD54" s="12">
        <f>IF('Données projet'!$A$88&gt;35,BD53+BC54-BL53,IF(A54&lt;'Données projet'!$A$88,$BA$205^A54,IF(A54='Données projet'!$A$88,'Données projet'!$B$88,BD53+BC54-BL53)))</f>
        <v>164.80000000000007</v>
      </c>
      <c r="BE54" s="13">
        <f>BD54*VLOOKUP('Données projet'!$B$11,Paramètres!$A$1:$I$89,3,0)*VLOOKUP('Données projet'!$B$11,Paramètres!$A$1:$I$89,5,0)</f>
        <v>149.11104000000006</v>
      </c>
      <c r="BF54" s="13">
        <f t="shared" si="37"/>
        <v>38.376496436982386</v>
      </c>
      <c r="BG54" s="20">
        <f t="shared" si="7"/>
        <v>326.54079262774445</v>
      </c>
      <c r="BH54" s="59">
        <f t="shared" si="8"/>
        <v>619.87412596107777</v>
      </c>
      <c r="BI54" s="59">
        <f ca="1">AVERAGE(OFFSET($BH$3,0,0,'Données projet'!$E$11+1,1))-AVERAGE(OFFSET($H$3,0,0,'Données projet'!$E$11+1,1))</f>
        <v>237.22177246688199</v>
      </c>
      <c r="BJ54" s="59">
        <f t="shared" si="38"/>
        <v>149.27472147904302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1.735112385885256</v>
      </c>
      <c r="BR54" s="21">
        <f>EXP(-LN(2)/2)*BR53+(1-EXP(-LN(2)/2))/(LN(2)/2)*BL54*BO54*VLOOKUP('Données projet'!$B$11,Paramètres!$A$1:$I$89,3,0)*0.475*44/12</f>
        <v>4.2739549208874504E-3</v>
      </c>
      <c r="BS54" s="22">
        <f t="shared" si="9"/>
        <v>1.7393863408061434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6.4</v>
      </c>
      <c r="BY54" s="12">
        <f>IF('Données projet'!$A$114&gt;35,BY53+BX54-CG53,IF(A54&lt;'Données projet'!$A$114,$BV$205^A54,IF(A54='Données projet'!$A$114,'Données projet'!$B$114,BY53+BX54-CG53)))</f>
        <v>187.39999999999992</v>
      </c>
      <c r="BZ54" s="13">
        <f>BY54*VLOOKUP('Données projet'!$B$12,Paramètres!$A$1:$I$89,3,0)*VLOOKUP('Données projet'!$B$12,Paramètres!$A$1:$I$89,5,0)</f>
        <v>163.71263999999994</v>
      </c>
      <c r="CA54" s="13">
        <f t="shared" si="39"/>
        <v>41.67879048791994</v>
      </c>
      <c r="CB54" s="20">
        <f t="shared" si="10"/>
        <v>357.72340809979374</v>
      </c>
      <c r="CC54" s="59">
        <f t="shared" si="11"/>
        <v>651.05674143312706</v>
      </c>
      <c r="CD54" s="59">
        <f ca="1">AVERAGE(OFFSET($CC$3,0,0,'Données projet'!$E$12+1,1))-AVERAGE(OFFSET($H$3,0,0,'Données projet'!$E$12+1,1))</f>
        <v>223.81948236065614</v>
      </c>
      <c r="CE54" s="59">
        <f t="shared" si="40"/>
        <v>320.1204011431372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2.0274115376615103</v>
      </c>
      <c r="CL54" s="21">
        <f>EXP(-LN(2)/25)*CL53+(1-EXP(-LN(2)/25))/(LN(2)/25)*Calculateur!CG54*Calculateur!CI54*VLOOKUP('Données projet'!$B$12,Paramètres!$A$1:$I$89,3,0)*0.475*44/12</f>
        <v>9.8837481165614953</v>
      </c>
      <c r="CM54" s="21">
        <f>EXP(-LN(2)/2)*CM53+(1-EXP(-LN(2)/2))/(LN(2)/2)*CG54*CJ54*VLOOKUP('Données projet'!$B$12,Paramètres!$A$1:$I$89,3,0)*0.475*44/12</f>
        <v>1.9176132937848603E-2</v>
      </c>
      <c r="CN54" s="22">
        <f t="shared" si="12"/>
        <v>11.930335787160855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9.8000000000000007</v>
      </c>
      <c r="CT54" s="12">
        <f>IF('Données projet'!$A$140&gt;35,CT53+CS54-DB53,IF(A54&lt;'Données projet'!$A$140,$CQ$205^A54,IF(A54='Données projet'!$A$140,'Données projet'!$B$140,CT53+CS54-DB53)))</f>
        <v>293.80000000000013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6.8</v>
      </c>
      <c r="DO54" s="12">
        <f>IF('Données projet'!$A$166&gt;35,DO53+DN54-DW53,IF(A54&lt;'Données projet'!$A$166,$DL$205^A54,IF(A54='Données projet'!$A$166,'Données projet'!$B$166,DO53+DN54-DW53)))</f>
        <v>248.79999999999984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5.875</v>
      </c>
      <c r="N55" s="13">
        <f>IF('Données projet'!$A$36&gt;35,N54+M55-V54,IF(A55&lt;'Données projet'!$A$36,$K$205^A55,IF(A55='Données projet'!$A$36,'Données projet'!$B$36,N54+M55-V54)))</f>
        <v>299.25</v>
      </c>
      <c r="O55" s="13">
        <f>N55*VLOOKUP('Données projet'!$B$9,Paramètres!$A$1:$I$89,3,0)*VLOOKUP('Données projet'!$B$9,Paramètres!$A$1:$I$89,5,0)</f>
        <v>178.95150000000001</v>
      </c>
      <c r="P55" s="13">
        <f t="shared" si="33"/>
        <v>45.088834979390157</v>
      </c>
      <c r="Q55" s="20">
        <f t="shared" si="53"/>
        <v>390.20358342243782</v>
      </c>
      <c r="R55" s="59">
        <f t="shared" si="0"/>
        <v>683.53691675577113</v>
      </c>
      <c r="S55" s="59">
        <f ca="1">AVERAGE(OFFSET($R$3,0,0,'Données projet'!$E$9+1,1))-AVERAGE(OFFSET($H$3,0,0,'Données projet'!$E$9+1,1))</f>
        <v>168.08890945052406</v>
      </c>
      <c r="T55" s="59">
        <f t="shared" si="34"/>
        <v>182.52462557642343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4.018195505572959</v>
      </c>
      <c r="AA55" s="21">
        <f>EXP(-LN(2)/25)*AA54+(1-EXP(-LN(2)/25))/(LN(2)/25)*Calculateur!V55*Calculateur!X55*VLOOKUP('Données projet'!$B$9,Paramètres!$A$1:$I$89,3,0)*0.475*44/12</f>
        <v>6.7001998144521</v>
      </c>
      <c r="AB55" s="21">
        <f>EXP(-LN(2)/2)*AB54+(1-EXP(-LN(2)/2))/(LN(2)/2)*V55*Y55*VLOOKUP('Données projet'!$B$9,Paramètres!$A$1:$I$89,3,0)*0.475*44/12</f>
        <v>2.6590294795283981E-3</v>
      </c>
      <c r="AC55" s="22">
        <f t="shared" si="3"/>
        <v>10.721054349504588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11.4</v>
      </c>
      <c r="AI55" s="13">
        <f>IF('Données projet'!$A$62&gt;35,AI54+AH55-AQ54,IF(A55&lt;'Données projet'!$A$62,$AF$205^A55,IF(A55='Données projet'!$A$62,'Données projet'!$B$62,AI54+AH55-AQ54)))</f>
        <v>295.79999999999995</v>
      </c>
      <c r="AJ55" s="13">
        <f>AI55*VLOOKUP('Données projet'!$B$10,Paramètres!$A$1:$I$89,3,0)*VLOOKUP('Données projet'!$B$10,Paramètres!$A$1:$I$89,5,0)</f>
        <v>176.88839999999999</v>
      </c>
      <c r="AK55" s="13">
        <f t="shared" si="35"/>
        <v>44.629211487047861</v>
      </c>
      <c r="AL55" s="20">
        <f t="shared" si="4"/>
        <v>385.80984000660828</v>
      </c>
      <c r="AM55" s="59">
        <f t="shared" si="5"/>
        <v>679.14317333994154</v>
      </c>
      <c r="AN55" s="59">
        <f ca="1">AVERAGE(OFFSET($AM$3,0,0,'Données projet'!$E$10+1,1))-AVERAGE(OFFSET($H$3,0,0,'Données projet'!$E$10+1,1))</f>
        <v>216.94426559495264</v>
      </c>
      <c r="AO55" s="59">
        <f t="shared" si="36"/>
        <v>225.33715877618704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6.9818713297905344</v>
      </c>
      <c r="AW55" s="21">
        <f>EXP(-LN(2)/2)*AW54+(1-EXP(-LN(2)/2))/(LN(2)/2)*AQ55*AT55*VLOOKUP('Données projet'!$B$10,Paramètres!$A$1:$I$89,3,0)*0.475*44/12</f>
        <v>1.158660150088817E-2</v>
      </c>
      <c r="AX55" s="21">
        <f t="shared" si="6"/>
        <v>6.9934579312914229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7.8</v>
      </c>
      <c r="BD55" s="12">
        <f>IF('Données projet'!$A$88&gt;35,BD54+BC55-BL54,IF(A55&lt;'Données projet'!$A$88,$BA$205^A55,IF(A55='Données projet'!$A$88,'Données projet'!$B$88,BD54+BC55-BL54)))</f>
        <v>172.60000000000008</v>
      </c>
      <c r="BE55" s="13">
        <f>BD55*VLOOKUP('Données projet'!$B$11,Paramètres!$A$1:$I$89,3,0)*VLOOKUP('Données projet'!$B$11,Paramètres!$A$1:$I$89,5,0)</f>
        <v>156.16848000000005</v>
      </c>
      <c r="BF55" s="13">
        <f t="shared" si="37"/>
        <v>39.977090041212335</v>
      </c>
      <c r="BG55" s="20">
        <f t="shared" si="7"/>
        <v>341.62020115511154</v>
      </c>
      <c r="BH55" s="59">
        <f t="shared" si="8"/>
        <v>634.9535344884448</v>
      </c>
      <c r="BI55" s="59">
        <f ca="1">AVERAGE(OFFSET($BH$3,0,0,'Données projet'!$E$11+1,1))-AVERAGE(OFFSET($H$3,0,0,'Données projet'!$E$11+1,1))</f>
        <v>237.22177246688199</v>
      </c>
      <c r="BJ55" s="59">
        <f t="shared" si="38"/>
        <v>149.27472147904302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1.687665646447629</v>
      </c>
      <c r="BR55" s="21">
        <f>EXP(-LN(2)/2)*BR54+(1-EXP(-LN(2)/2))/(LN(2)/2)*BL55*BO55*VLOOKUP('Données projet'!$B$11,Paramètres!$A$1:$I$89,3,0)*0.475*44/12</f>
        <v>3.0221425070451305E-3</v>
      </c>
      <c r="BS55" s="22">
        <f t="shared" si="9"/>
        <v>1.6906877889546741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6.4</v>
      </c>
      <c r="BY55" s="12">
        <f>IF('Données projet'!$A$114&gt;35,BY54+BX55-CG54,IF(A55&lt;'Données projet'!$A$114,$BV$205^A55,IF(A55='Données projet'!$A$114,'Données projet'!$B$114,BY54+BX55-CG54)))</f>
        <v>193.79999999999993</v>
      </c>
      <c r="BZ55" s="13">
        <f>BY55*VLOOKUP('Données projet'!$B$12,Paramètres!$A$1:$I$89,3,0)*VLOOKUP('Données projet'!$B$12,Paramètres!$A$1:$I$89,5,0)</f>
        <v>169.30367999999996</v>
      </c>
      <c r="CA55" s="13">
        <f t="shared" si="39"/>
        <v>42.934033834973214</v>
      </c>
      <c r="CB55" s="20">
        <f t="shared" si="10"/>
        <v>369.64735159591163</v>
      </c>
      <c r="CC55" s="59">
        <f t="shared" si="11"/>
        <v>662.98068492924494</v>
      </c>
      <c r="CD55" s="59">
        <f ca="1">AVERAGE(OFFSET($CC$3,0,0,'Données projet'!$E$12+1,1))-AVERAGE(OFFSET($H$3,0,0,'Données projet'!$E$12+1,1))</f>
        <v>223.81948236065614</v>
      </c>
      <c r="CE55" s="59">
        <f t="shared" si="40"/>
        <v>320.1204011431372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1.987655234006902</v>
      </c>
      <c r="CL55" s="21">
        <f>EXP(-LN(2)/25)*CL54+(1-EXP(-LN(2)/25))/(LN(2)/25)*Calculateur!CG55*Calculateur!CI55*VLOOKUP('Données projet'!$B$12,Paramètres!$A$1:$I$89,3,0)*0.475*44/12</f>
        <v>9.6134765045503983</v>
      </c>
      <c r="CM55" s="21">
        <f>EXP(-LN(2)/2)*CM54+(1-EXP(-LN(2)/2))/(LN(2)/2)*CG55*CJ55*VLOOKUP('Données projet'!$B$12,Paramètres!$A$1:$I$89,3,0)*0.475*44/12</f>
        <v>1.3559573637287459E-2</v>
      </c>
      <c r="CN55" s="22">
        <f t="shared" si="12"/>
        <v>11.614691312194587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9.8000000000000007</v>
      </c>
      <c r="CT55" s="12">
        <f>IF('Données projet'!$A$140&gt;35,CT54+CS55-DB54,IF(A55&lt;'Données projet'!$A$140,$CQ$205^A55,IF(A55='Données projet'!$A$140,'Données projet'!$B$140,CT54+CS55-DB54)))</f>
        <v>303.60000000000014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6.8</v>
      </c>
      <c r="DO55" s="12">
        <f>IF('Données projet'!$A$166&gt;35,DO54+DN55-DW54,IF(A55&lt;'Données projet'!$A$166,$DL$205^A55,IF(A55='Données projet'!$A$166,'Données projet'!$B$166,DO54+DN55-DW54)))</f>
        <v>255.59999999999985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5.875</v>
      </c>
      <c r="N56" s="13">
        <f>IF('Données projet'!$A$36&gt;35,N55+M56-V55,IF(A56&lt;'Données projet'!$A$36,$K$205^A56,IF(A56='Données projet'!$A$36,'Données projet'!$B$36,N55+M56-V55)))</f>
        <v>305.125</v>
      </c>
      <c r="O56" s="13">
        <f>N56*VLOOKUP('Données projet'!$B$9,Paramètres!$A$1:$I$89,3,0)*VLOOKUP('Données projet'!$B$9,Paramètres!$A$1:$I$89,5,0)</f>
        <v>182.46475000000004</v>
      </c>
      <c r="P56" s="13">
        <f t="shared" si="33"/>
        <v>45.870112833182944</v>
      </c>
      <c r="Q56" s="20">
        <f t="shared" si="53"/>
        <v>397.68321943446034</v>
      </c>
      <c r="R56" s="59">
        <f t="shared" si="0"/>
        <v>691.01655276779366</v>
      </c>
      <c r="S56" s="59">
        <f ca="1">AVERAGE(OFFSET($R$3,0,0,'Données projet'!$E$9+1,1))-AVERAGE(OFFSET($H$3,0,0,'Données projet'!$E$9+1,1))</f>
        <v>168.08890945052406</v>
      </c>
      <c r="T56" s="59">
        <f t="shared" si="34"/>
        <v>182.52462557642343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3.9394011425659294</v>
      </c>
      <c r="AA56" s="21">
        <f>EXP(-LN(2)/25)*AA55+(1-EXP(-LN(2)/25))/(LN(2)/25)*Calculateur!V56*Calculateur!X56*VLOOKUP('Données projet'!$B$9,Paramètres!$A$1:$I$89,3,0)*0.475*44/12</f>
        <v>6.5169824981777129</v>
      </c>
      <c r="AB56" s="21">
        <f>EXP(-LN(2)/2)*AB55+(1-EXP(-LN(2)/2))/(LN(2)/2)*V56*Y56*VLOOKUP('Données projet'!$B$9,Paramètres!$A$1:$I$89,3,0)*0.475*44/12</f>
        <v>1.8802177763494665E-3</v>
      </c>
      <c r="AC56" s="22">
        <f t="shared" si="3"/>
        <v>10.458263858519992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11.4</v>
      </c>
      <c r="AI56" s="13">
        <f>IF('Données projet'!$A$62&gt;35,AI55+AH56-AQ55,IF(A56&lt;'Données projet'!$A$62,$AF$205^A56,IF(A56='Données projet'!$A$62,'Données projet'!$B$62,AI55+AH56-AQ55)))</f>
        <v>307.19999999999993</v>
      </c>
      <c r="AJ56" s="13">
        <f>AI56*VLOOKUP('Données projet'!$B$10,Paramètres!$A$1:$I$89,3,0)*VLOOKUP('Données projet'!$B$10,Paramètres!$A$1:$I$89,5,0)</f>
        <v>183.70559999999998</v>
      </c>
      <c r="AK56" s="13">
        <f t="shared" si="35"/>
        <v>46.145633597806309</v>
      </c>
      <c r="AL56" s="20">
        <f t="shared" si="4"/>
        <v>400.32423184951267</v>
      </c>
      <c r="AM56" s="59">
        <f t="shared" si="5"/>
        <v>693.65756518284593</v>
      </c>
      <c r="AN56" s="59">
        <f ca="1">AVERAGE(OFFSET($AM$3,0,0,'Données projet'!$E$10+1,1))-AVERAGE(OFFSET($H$3,0,0,'Données projet'!$E$10+1,1))</f>
        <v>216.94426559495264</v>
      </c>
      <c r="AO56" s="59">
        <f t="shared" si="36"/>
        <v>225.33715877618704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6.7909516911167565</v>
      </c>
      <c r="AW56" s="21">
        <f>EXP(-LN(2)/2)*AW55+(1-EXP(-LN(2)/2))/(LN(2)/2)*AQ56*AT56*VLOOKUP('Données projet'!$B$10,Paramètres!$A$1:$I$89,3,0)*0.475*44/12</f>
        <v>8.1929644921842539E-3</v>
      </c>
      <c r="AX56" s="21">
        <f t="shared" si="6"/>
        <v>6.7991446556089405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7.8</v>
      </c>
      <c r="BD56" s="12">
        <f>IF('Données projet'!$A$88&gt;35,BD55+BC56-BL55,IF(A56&lt;'Données projet'!$A$88,$BA$205^A56,IF(A56='Données projet'!$A$88,'Données projet'!$B$88,BD55+BC56-BL55)))</f>
        <v>180.40000000000009</v>
      </c>
      <c r="BE56" s="13">
        <f>BD56*VLOOKUP('Données projet'!$B$11,Paramètres!$A$1:$I$89,3,0)*VLOOKUP('Données projet'!$B$11,Paramètres!$A$1:$I$89,5,0)</f>
        <v>163.22592000000009</v>
      </c>
      <c r="BF56" s="13">
        <f t="shared" si="37"/>
        <v>41.569283201466128</v>
      </c>
      <c r="BG56" s="20">
        <f t="shared" si="7"/>
        <v>356.68497890922026</v>
      </c>
      <c r="BH56" s="59">
        <f t="shared" si="8"/>
        <v>650.01831224255352</v>
      </c>
      <c r="BI56" s="59">
        <f ca="1">AVERAGE(OFFSET($BH$3,0,0,'Données projet'!$E$11+1,1))-AVERAGE(OFFSET($H$3,0,0,'Données projet'!$E$11+1,1))</f>
        <v>237.22177246688199</v>
      </c>
      <c r="BJ56" s="59">
        <f t="shared" si="38"/>
        <v>149.27472147904302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1.6415163405950395</v>
      </c>
      <c r="BR56" s="21">
        <f>EXP(-LN(2)/2)*BR55+(1-EXP(-LN(2)/2))/(LN(2)/2)*BL56*BO56*VLOOKUP('Données projet'!$B$11,Paramètres!$A$1:$I$89,3,0)*0.475*44/12</f>
        <v>2.1369774604437252E-3</v>
      </c>
      <c r="BS56" s="22">
        <f t="shared" si="9"/>
        <v>1.6436533180554833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6.4</v>
      </c>
      <c r="BY56" s="12">
        <f>IF('Données projet'!$A$114&gt;35,BY55+BX56-CG55,IF(A56&lt;'Données projet'!$A$114,$BV$205^A56,IF(A56='Données projet'!$A$114,'Données projet'!$B$114,BY55+BX56-CG55)))</f>
        <v>200.19999999999993</v>
      </c>
      <c r="BZ56" s="13">
        <f>BY56*VLOOKUP('Données projet'!$B$12,Paramètres!$A$1:$I$89,3,0)*VLOOKUP('Données projet'!$B$12,Paramètres!$A$1:$I$89,5,0)</f>
        <v>174.89471999999995</v>
      </c>
      <c r="CA56" s="13">
        <f t="shared" si="39"/>
        <v>44.184460410211564</v>
      </c>
      <c r="CB56" s="20">
        <f t="shared" si="10"/>
        <v>381.56290588111841</v>
      </c>
      <c r="CC56" s="59">
        <f t="shared" si="11"/>
        <v>674.89623921445173</v>
      </c>
      <c r="CD56" s="59">
        <f ca="1">AVERAGE(OFFSET($CC$3,0,0,'Données projet'!$E$12+1,1))-AVERAGE(OFFSET($H$3,0,0,'Données projet'!$E$12+1,1))</f>
        <v>223.81948236065614</v>
      </c>
      <c r="CE56" s="59">
        <f t="shared" si="40"/>
        <v>320.1204011431372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1.9486785272180098</v>
      </c>
      <c r="CL56" s="21">
        <f>EXP(-LN(2)/25)*CL55+(1-EXP(-LN(2)/25))/(LN(2)/25)*Calculateur!CG56*Calculateur!CI56*VLOOKUP('Données projet'!$B$12,Paramètres!$A$1:$I$89,3,0)*0.475*44/12</f>
        <v>9.3505954839827101</v>
      </c>
      <c r="CM56" s="21">
        <f>EXP(-LN(2)/2)*CM55+(1-EXP(-LN(2)/2))/(LN(2)/2)*CG56*CJ56*VLOOKUP('Données projet'!$B$12,Paramètres!$A$1:$I$89,3,0)*0.475*44/12</f>
        <v>9.5880664689243014E-3</v>
      </c>
      <c r="CN56" s="22">
        <f t="shared" si="12"/>
        <v>11.308862077669643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9.8000000000000007</v>
      </c>
      <c r="CT56" s="12">
        <f>IF('Données projet'!$A$140&gt;35,CT55+CS56-DB55,IF(A56&lt;'Données projet'!$A$140,$CQ$205^A56,IF(A56='Données projet'!$A$140,'Données projet'!$B$140,CT55+CS56-DB55)))</f>
        <v>313.40000000000015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6.8</v>
      </c>
      <c r="DO56" s="12">
        <f>IF('Données projet'!$A$166&gt;35,DO55+DN56-DW55,IF(A56&lt;'Données projet'!$A$166,$DL$205^A56,IF(A56='Données projet'!$A$166,'Données projet'!$B$166,DO55+DN56-DW55)))</f>
        <v>262.39999999999986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311</v>
      </c>
      <c r="L57" s="12">
        <f>VLOOKUP(A57,'Données projet'!$A$35:$I$55,9,0)</f>
        <v>5.875</v>
      </c>
      <c r="M57" s="12">
        <f t="array" ref="M57">INDEX(L:L,MIN(IF(ISNUMBER(L57:L253),ROW(L57:L253),"")))</f>
        <v>5.875</v>
      </c>
      <c r="N57" s="13">
        <f>IF('Données projet'!$A$36&gt;35,N56+M57-V56,IF(A57&lt;'Données projet'!$A$36,$K$205^A57,IF(A57='Données projet'!$A$36,'Données projet'!$B$36,N56+M57-V56)))</f>
        <v>311</v>
      </c>
      <c r="O57" s="13">
        <f>N57*VLOOKUP('Données projet'!$B$9,Paramètres!$A$1:$I$89,3,0)*VLOOKUP('Données projet'!$B$9,Paramètres!$A$1:$I$89,5,0)</f>
        <v>185.97800000000001</v>
      </c>
      <c r="P57" s="13">
        <f t="shared" si="33"/>
        <v>46.649641523668571</v>
      </c>
      <c r="Q57" s="20">
        <f t="shared" si="53"/>
        <v>405.15980898705612</v>
      </c>
      <c r="R57" s="59">
        <f t="shared" si="0"/>
        <v>698.49314232038944</v>
      </c>
      <c r="S57" s="59">
        <f ca="1">AVERAGE(OFFSET($R$3,0,0,'Données projet'!$E$9+1,1))-AVERAGE(OFFSET($H$3,0,0,'Données projet'!$E$9+1,1))</f>
        <v>168.08890945052406</v>
      </c>
      <c r="T57" s="59">
        <f t="shared" si="34"/>
        <v>182.52462557642343</v>
      </c>
      <c r="U57" s="15">
        <f>IF(ISNA(VLOOKUP(A57,'Données projet'!$A$35:$I$55,3,0)),0,VLOOKUP(A57,'Données projet'!$A$35:$I$55,3,0))</f>
        <v>8</v>
      </c>
      <c r="V57" s="15">
        <f>IF(ISNA(VLOOKUP(A57,'Données projet'!$A$35:$I$55,4,0)),0,VLOOKUP(A57,'Données projet'!$A$35:$I$55,4,0))</f>
        <v>16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3.8621518889576518</v>
      </c>
      <c r="AA57" s="21">
        <f>EXP(-LN(2)/25)*AA56+(1-EXP(-LN(2)/25))/(LN(2)/25)*Calculateur!V57*Calculateur!X57*VLOOKUP('Données projet'!$B$9,Paramètres!$A$1:$I$89,3,0)*0.475*44/12</f>
        <v>6.3387752690518289</v>
      </c>
      <c r="AB57" s="21">
        <f>EXP(-LN(2)/2)*AB56+(1-EXP(-LN(2)/2))/(LN(2)/2)*V57*Y57*VLOOKUP('Données projet'!$B$9,Paramètres!$A$1:$I$89,3,0)*0.475*44/12</f>
        <v>1.3295147397641993E-3</v>
      </c>
      <c r="AC57" s="22">
        <f t="shared" si="3"/>
        <v>10.202256672749245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11.4</v>
      </c>
      <c r="AI57" s="13">
        <f>IF('Données projet'!$A$62&gt;35,AI56+AH57-AQ56,IF(A57&lt;'Données projet'!$A$62,$AF$205^A57,IF(A57='Données projet'!$A$62,'Données projet'!$B$62,AI56+AH57-AQ56)))</f>
        <v>318.59999999999991</v>
      </c>
      <c r="AJ57" s="13">
        <f>AI57*VLOOKUP('Données projet'!$B$10,Paramètres!$A$1:$I$89,3,0)*VLOOKUP('Données projet'!$B$10,Paramètres!$A$1:$I$89,5,0)</f>
        <v>190.52279999999996</v>
      </c>
      <c r="AK57" s="13">
        <f t="shared" si="35"/>
        <v>47.655518017541539</v>
      </c>
      <c r="AL57" s="20">
        <f t="shared" si="4"/>
        <v>414.82723721388476</v>
      </c>
      <c r="AM57" s="59">
        <f t="shared" si="5"/>
        <v>708.16057054721807</v>
      </c>
      <c r="AN57" s="59">
        <f ca="1">AVERAGE(OFFSET($AM$3,0,0,'Données projet'!$E$10+1,1))-AVERAGE(OFFSET($H$3,0,0,'Données projet'!$E$10+1,1))</f>
        <v>216.94426559495264</v>
      </c>
      <c r="AO57" s="59">
        <f t="shared" si="36"/>
        <v>225.33715877618704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6.6052527600025401</v>
      </c>
      <c r="AW57" s="21">
        <f>EXP(-LN(2)/2)*AW56+(1-EXP(-LN(2)/2))/(LN(2)/2)*AQ57*AT57*VLOOKUP('Données projet'!$B$10,Paramètres!$A$1:$I$89,3,0)*0.475*44/12</f>
        <v>5.7933007504440848E-3</v>
      </c>
      <c r="AX57" s="21">
        <f t="shared" si="6"/>
        <v>6.611046060752984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7.8</v>
      </c>
      <c r="BD57" s="12">
        <f>IF('Données projet'!$A$88&gt;35,BD56+BC57-BL56,IF(A57&lt;'Données projet'!$A$88,$BA$205^A57,IF(A57='Données projet'!$A$88,'Données projet'!$B$88,BD56+BC57-BL56)))</f>
        <v>188.2000000000001</v>
      </c>
      <c r="BE57" s="13">
        <f>BD57*VLOOKUP('Données projet'!$B$11,Paramètres!$A$1:$I$89,3,0)*VLOOKUP('Données projet'!$B$11,Paramètres!$A$1:$I$89,5,0)</f>
        <v>170.28336000000007</v>
      </c>
      <c r="BF57" s="13">
        <f t="shared" si="37"/>
        <v>43.153480646462619</v>
      </c>
      <c r="BG57" s="20">
        <f t="shared" si="7"/>
        <v>371.73583079258918</v>
      </c>
      <c r="BH57" s="59">
        <f t="shared" si="8"/>
        <v>665.0691641259225</v>
      </c>
      <c r="BI57" s="59">
        <f ca="1">AVERAGE(OFFSET($BH$3,0,0,'Données projet'!$E$11+1,1))-AVERAGE(OFFSET($H$3,0,0,'Données projet'!$E$11+1,1))</f>
        <v>237.22177246688199</v>
      </c>
      <c r="BJ57" s="59">
        <f t="shared" si="38"/>
        <v>149.27472147904302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1.5966289899378756</v>
      </c>
      <c r="BR57" s="21">
        <f>EXP(-LN(2)/2)*BR56+(1-EXP(-LN(2)/2))/(LN(2)/2)*BL57*BO57*VLOOKUP('Données projet'!$B$11,Paramètres!$A$1:$I$89,3,0)*0.475*44/12</f>
        <v>1.5110712535225653E-3</v>
      </c>
      <c r="BS57" s="22">
        <f t="shared" si="9"/>
        <v>1.5981400611913981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6.4</v>
      </c>
      <c r="BY57" s="12">
        <f>IF('Données projet'!$A$114&gt;35,BY56+BX57-CG56,IF(A57&lt;'Données projet'!$A$114,$BV$205^A57,IF(A57='Données projet'!$A$114,'Données projet'!$B$114,BY56+BX57-CG56)))</f>
        <v>206.59999999999994</v>
      </c>
      <c r="BZ57" s="13">
        <f>BY57*VLOOKUP('Données projet'!$B$12,Paramètres!$A$1:$I$89,3,0)*VLOOKUP('Données projet'!$B$12,Paramètres!$A$1:$I$89,5,0)</f>
        <v>180.48575999999997</v>
      </c>
      <c r="CA57" s="13">
        <f t="shared" si="39"/>
        <v>45.430241859839398</v>
      </c>
      <c r="CB57" s="20">
        <f t="shared" si="10"/>
        <v>393.47036990588686</v>
      </c>
      <c r="CC57" s="59">
        <f t="shared" si="11"/>
        <v>686.80370323922011</v>
      </c>
      <c r="CD57" s="59">
        <f ca="1">AVERAGE(OFFSET($CC$3,0,0,'Données projet'!$E$12+1,1))-AVERAGE(OFFSET($H$3,0,0,'Données projet'!$E$12+1,1))</f>
        <v>223.81948236065614</v>
      </c>
      <c r="CE57" s="59">
        <f t="shared" si="40"/>
        <v>320.1204011431372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1.9104661298758041</v>
      </c>
      <c r="CL57" s="21">
        <f>EXP(-LN(2)/25)*CL56+(1-EXP(-LN(2)/25))/(LN(2)/25)*Calculateur!CG57*Calculateur!CI57*VLOOKUP('Données projet'!$B$12,Paramètres!$A$1:$I$89,3,0)*0.475*44/12</f>
        <v>9.0949029587467578</v>
      </c>
      <c r="CM57" s="21">
        <f>EXP(-LN(2)/2)*CM56+(1-EXP(-LN(2)/2))/(LN(2)/2)*CG57*CJ57*VLOOKUP('Données projet'!$B$12,Paramètres!$A$1:$I$89,3,0)*0.475*44/12</f>
        <v>6.7797868186437295E-3</v>
      </c>
      <c r="CN57" s="22">
        <f t="shared" si="12"/>
        <v>11.012148875441206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9.8000000000000007</v>
      </c>
      <c r="CT57" s="12">
        <f>IF('Données projet'!$A$140&gt;35,CT56+CS57-DB56,IF(A57&lt;'Données projet'!$A$140,$CQ$205^A57,IF(A57='Données projet'!$A$140,'Données projet'!$B$140,CT56+CS57-DB56)))</f>
        <v>323.20000000000016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6.8</v>
      </c>
      <c r="DO57" s="12">
        <f>IF('Données projet'!$A$166&gt;35,DO56+DN57-DW56,IF(A57&lt;'Données projet'!$A$166,$DL$205^A57,IF(A57='Données projet'!$A$166,'Données projet'!$B$166,DO56+DN57-DW56)))</f>
        <v>269.19999999999987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2.625</v>
      </c>
      <c r="N58" s="13">
        <f>IF('Données projet'!$A$36&gt;35,N57+M58-V57,IF(A58&lt;'Données projet'!$A$36,$K$205^A58,IF(A58='Données projet'!$A$36,'Données projet'!$B$36,N57+M58-V57)))</f>
        <v>297.625</v>
      </c>
      <c r="O58" s="13">
        <f>N58*VLOOKUP('Données projet'!$B$9,Paramètres!$A$1:$I$89,3,0)*VLOOKUP('Données projet'!$B$9,Paramètres!$A$1:$I$89,5,0)</f>
        <v>177.97975</v>
      </c>
      <c r="P58" s="13">
        <f t="shared" si="33"/>
        <v>44.87242292972973</v>
      </c>
      <c r="Q58" s="20">
        <f t="shared" si="53"/>
        <v>388.13420118594587</v>
      </c>
      <c r="R58" s="59">
        <f t="shared" si="0"/>
        <v>681.46753451927918</v>
      </c>
      <c r="S58" s="59">
        <f ca="1">AVERAGE(OFFSET($R$3,0,0,'Données projet'!$E$9+1,1))-AVERAGE(OFFSET($H$3,0,0,'Données projet'!$E$9+1,1))</f>
        <v>168.08890945052406</v>
      </c>
      <c r="T58" s="59">
        <f t="shared" si="34"/>
        <v>182.52462557642343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3.7864174460952404</v>
      </c>
      <c r="AA58" s="21">
        <f>EXP(-LN(2)/25)*AA57+(1-EXP(-LN(2)/25))/(LN(2)/25)*Calculateur!V58*Calculateur!X58*VLOOKUP('Données projet'!$B$9,Paramètres!$A$1:$I$89,3,0)*0.475*44/12</f>
        <v>6.1654411259779023</v>
      </c>
      <c r="AB58" s="21">
        <f>EXP(-LN(2)/2)*AB57+(1-EXP(-LN(2)/2))/(LN(2)/2)*V58*Y58*VLOOKUP('Données projet'!$B$9,Paramètres!$A$1:$I$89,3,0)*0.475*44/12</f>
        <v>9.4010888817473346E-4</v>
      </c>
      <c r="AC58" s="22">
        <f t="shared" si="3"/>
        <v>9.9527986809613171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11.4</v>
      </c>
      <c r="AI58" s="13">
        <f>IF('Données projet'!$A$62&gt;35,AI57+AH58-AQ57,IF(A58&lt;'Données projet'!$A$62,$AF$205^A58,IF(A58='Données projet'!$A$62,'Données projet'!$B$62,AI57+AH58-AQ57)))</f>
        <v>329.99999999999989</v>
      </c>
      <c r="AJ58" s="13">
        <f>AI58*VLOOKUP('Données projet'!$B$10,Paramètres!$A$1:$I$89,3,0)*VLOOKUP('Données projet'!$B$10,Paramètres!$A$1:$I$89,5,0)</f>
        <v>197.33999999999995</v>
      </c>
      <c r="AK58" s="13">
        <f t="shared" si="35"/>
        <v>49.159125474269977</v>
      </c>
      <c r="AL58" s="20">
        <f t="shared" si="4"/>
        <v>429.31931020102019</v>
      </c>
      <c r="AM58" s="59">
        <f t="shared" si="5"/>
        <v>722.6526435343535</v>
      </c>
      <c r="AN58" s="59">
        <f ca="1">AVERAGE(OFFSET($AM$3,0,0,'Données projet'!$E$10+1,1))-AVERAGE(OFFSET($H$3,0,0,'Données projet'!$E$10+1,1))</f>
        <v>216.94426559495264</v>
      </c>
      <c r="AO58" s="59">
        <f t="shared" si="36"/>
        <v>225.33715877618704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6.4246317759251248</v>
      </c>
      <c r="AW58" s="21">
        <f>EXP(-LN(2)/2)*AW57+(1-EXP(-LN(2)/2))/(LN(2)/2)*AQ58*AT58*VLOOKUP('Données projet'!$B$10,Paramètres!$A$1:$I$89,3,0)*0.475*44/12</f>
        <v>4.096482246092127E-3</v>
      </c>
      <c r="AX58" s="21">
        <f t="shared" si="6"/>
        <v>6.4287282581712173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7.8</v>
      </c>
      <c r="BD58" s="12">
        <f>IF('Données projet'!$A$88&gt;35,BD57+BC58-BL57,IF(A58&lt;'Données projet'!$A$88,$BA$205^A58,IF(A58='Données projet'!$A$88,'Données projet'!$B$88,BD57+BC58-BL57)))</f>
        <v>196.00000000000011</v>
      </c>
      <c r="BE58" s="13">
        <f>BD58*VLOOKUP('Données projet'!$B$11,Paramètres!$A$1:$I$89,3,0)*VLOOKUP('Données projet'!$B$11,Paramètres!$A$1:$I$89,5,0)</f>
        <v>177.34080000000012</v>
      </c>
      <c r="BF58" s="13">
        <f t="shared" si="37"/>
        <v>44.730051658603102</v>
      </c>
      <c r="BG58" s="20">
        <f t="shared" si="7"/>
        <v>386.77339997206718</v>
      </c>
      <c r="BH58" s="59">
        <f t="shared" si="8"/>
        <v>680.10673330540044</v>
      </c>
      <c r="BI58" s="59">
        <f ca="1">AVERAGE(OFFSET($BH$3,0,0,'Données projet'!$E$11+1,1))-AVERAGE(OFFSET($H$3,0,0,'Données projet'!$E$11+1,1))</f>
        <v>237.22177246688199</v>
      </c>
      <c r="BJ58" s="59">
        <f t="shared" si="38"/>
        <v>149.27472147904302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1.552969086244955</v>
      </c>
      <c r="BR58" s="21">
        <f>EXP(-LN(2)/2)*BR57+(1-EXP(-LN(2)/2))/(LN(2)/2)*BL58*BO58*VLOOKUP('Données projet'!$B$11,Paramètres!$A$1:$I$89,3,0)*0.475*44/12</f>
        <v>1.0684887302218626E-3</v>
      </c>
      <c r="BS58" s="22">
        <f t="shared" si="9"/>
        <v>1.5540375749751769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6.4</v>
      </c>
      <c r="BY58" s="12">
        <f>IF('Données projet'!$A$114&gt;35,BY57+BX58-CG57,IF(A58&lt;'Données projet'!$A$114,$BV$205^A58,IF(A58='Données projet'!$A$114,'Données projet'!$B$114,BY57+BX58-CG57)))</f>
        <v>212.99999999999994</v>
      </c>
      <c r="BZ58" s="13">
        <f>BY58*VLOOKUP('Données projet'!$B$12,Paramètres!$A$1:$I$89,3,0)*VLOOKUP('Données projet'!$B$12,Paramètres!$A$1:$I$89,5,0)</f>
        <v>186.07679999999996</v>
      </c>
      <c r="CA58" s="13">
        <f t="shared" si="39"/>
        <v>46.671538591528673</v>
      </c>
      <c r="CB58" s="20">
        <f t="shared" si="10"/>
        <v>405.37002304691237</v>
      </c>
      <c r="CC58" s="59">
        <f t="shared" si="11"/>
        <v>698.70335638024562</v>
      </c>
      <c r="CD58" s="59">
        <f ca="1">AVERAGE(OFFSET($CC$3,0,0,'Données projet'!$E$12+1,1))-AVERAGE(OFFSET($H$3,0,0,'Données projet'!$E$12+1,1))</f>
        <v>223.81948236065614</v>
      </c>
      <c r="CE58" s="59">
        <f t="shared" si="40"/>
        <v>320.1204011431372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1.8730030543382181</v>
      </c>
      <c r="CL58" s="21">
        <f>EXP(-LN(2)/25)*CL57+(1-EXP(-LN(2)/25))/(LN(2)/25)*Calculateur!CG58*Calculateur!CI58*VLOOKUP('Données projet'!$B$12,Paramètres!$A$1:$I$89,3,0)*0.475*44/12</f>
        <v>8.8462023590596672</v>
      </c>
      <c r="CM58" s="21">
        <f>EXP(-LN(2)/2)*CM57+(1-EXP(-LN(2)/2))/(LN(2)/2)*CG58*CJ58*VLOOKUP('Données projet'!$B$12,Paramètres!$A$1:$I$89,3,0)*0.475*44/12</f>
        <v>4.7940332344621507E-3</v>
      </c>
      <c r="CN58" s="22">
        <f t="shared" si="12"/>
        <v>10.723999446632348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9.8000000000000007</v>
      </c>
      <c r="CT58" s="12">
        <f>IF('Données projet'!$A$140&gt;35,CT57+CS58-DB57,IF(A58&lt;'Données projet'!$A$140,$CQ$205^A58,IF(A58='Données projet'!$A$140,'Données projet'!$B$140,CT57+CS58-DB57)))</f>
        <v>333.00000000000017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6.8</v>
      </c>
      <c r="DO58" s="12">
        <f>IF('Données projet'!$A$166&gt;35,DO57+DN58-DW57,IF(A58&lt;'Données projet'!$A$166,$DL$205^A58,IF(A58='Données projet'!$A$166,'Données projet'!$B$166,DO57+DN58-DW57)))</f>
        <v>275.99999999999989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2.625</v>
      </c>
      <c r="N59" s="13">
        <f>IF('Données projet'!$A$36&gt;35,N58+M59-V58,IF(A59&lt;'Données projet'!$A$36,$K$205^A59,IF(A59='Données projet'!$A$36,'Données projet'!$B$36,N58+M59-V58)))</f>
        <v>300.25</v>
      </c>
      <c r="O59" s="13">
        <f>N59*VLOOKUP('Données projet'!$B$9,Paramètres!$A$1:$I$89,3,0)*VLOOKUP('Données projet'!$B$9,Paramètres!$A$1:$I$89,5,0)</f>
        <v>179.54950000000002</v>
      </c>
      <c r="P59" s="13">
        <f t="shared" si="33"/>
        <v>45.221943603548368</v>
      </c>
      <c r="Q59" s="20">
        <f t="shared" si="53"/>
        <v>391.47693094284676</v>
      </c>
      <c r="R59" s="59">
        <f t="shared" si="0"/>
        <v>684.81026427618008</v>
      </c>
      <c r="S59" s="59">
        <f ca="1">AVERAGE(OFFSET($R$3,0,0,'Données projet'!$E$9+1,1))-AVERAGE(OFFSET($H$3,0,0,'Données projet'!$E$9+1,1))</f>
        <v>168.08890945052406</v>
      </c>
      <c r="T59" s="59">
        <f t="shared" si="34"/>
        <v>182.52462557642343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3.7121681094639118</v>
      </c>
      <c r="AA59" s="21">
        <f>EXP(-LN(2)/25)*AA58+(1-EXP(-LN(2)/25))/(LN(2)/25)*Calculateur!V59*Calculateur!X59*VLOOKUP('Données projet'!$B$9,Paramètres!$A$1:$I$89,3,0)*0.475*44/12</f>
        <v>5.9968468141615787</v>
      </c>
      <c r="AB59" s="21">
        <f>EXP(-LN(2)/2)*AB58+(1-EXP(-LN(2)/2))/(LN(2)/2)*V59*Y59*VLOOKUP('Données projet'!$B$9,Paramètres!$A$1:$I$89,3,0)*0.475*44/12</f>
        <v>6.6475736988209975E-4</v>
      </c>
      <c r="AC59" s="22">
        <f t="shared" si="3"/>
        <v>9.7096796809953734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11.4</v>
      </c>
      <c r="AI59" s="13">
        <f>IF('Données projet'!$A$62&gt;35,AI58+AH59-AQ58,IF(A59&lt;'Données projet'!$A$62,$AF$205^A59,IF(A59='Données projet'!$A$62,'Données projet'!$B$62,AI58+AH59-AQ58)))</f>
        <v>341.39999999999986</v>
      </c>
      <c r="AJ59" s="13">
        <f>AI59*VLOOKUP('Données projet'!$B$10,Paramètres!$A$1:$I$89,3,0)*VLOOKUP('Données projet'!$B$10,Paramètres!$A$1:$I$89,5,0)</f>
        <v>204.15719999999996</v>
      </c>
      <c r="AK59" s="13">
        <f t="shared" si="35"/>
        <v>50.656697660408256</v>
      </c>
      <c r="AL59" s="20">
        <f t="shared" si="4"/>
        <v>443.80087175854425</v>
      </c>
      <c r="AM59" s="59">
        <f t="shared" si="5"/>
        <v>737.13420509187756</v>
      </c>
      <c r="AN59" s="59">
        <f ca="1">AVERAGE(OFFSET($AM$3,0,0,'Données projet'!$E$10+1,1))-AVERAGE(OFFSET($H$3,0,0,'Données projet'!$E$10+1,1))</f>
        <v>216.94426559495264</v>
      </c>
      <c r="AO59" s="59">
        <f t="shared" si="36"/>
        <v>225.33715877618704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6.2489498821557508</v>
      </c>
      <c r="AW59" s="21">
        <f>EXP(-LN(2)/2)*AW58+(1-EXP(-LN(2)/2))/(LN(2)/2)*AQ59*AT59*VLOOKUP('Données projet'!$B$10,Paramètres!$A$1:$I$89,3,0)*0.475*44/12</f>
        <v>2.8966503752220424E-3</v>
      </c>
      <c r="AX59" s="21">
        <f t="shared" si="6"/>
        <v>6.2518465325309727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7.8</v>
      </c>
      <c r="BD59" s="12">
        <f>IF('Données projet'!$A$88&gt;35,BD58+BC59-BL58,IF(A59&lt;'Données projet'!$A$88,$BA$205^A59,IF(A59='Données projet'!$A$88,'Données projet'!$B$88,BD58+BC59-BL58)))</f>
        <v>203.80000000000013</v>
      </c>
      <c r="BE59" s="13">
        <f>BD59*VLOOKUP('Données projet'!$B$11,Paramètres!$A$1:$I$89,3,0)*VLOOKUP('Données projet'!$B$11,Paramètres!$A$1:$I$89,5,0)</f>
        <v>184.3982400000001</v>
      </c>
      <c r="BF59" s="13">
        <f t="shared" si="37"/>
        <v>46.299334464645959</v>
      </c>
      <c r="BG59" s="20">
        <f t="shared" si="7"/>
        <v>401.79827552592519</v>
      </c>
      <c r="BH59" s="59">
        <f t="shared" si="8"/>
        <v>695.13160885925845</v>
      </c>
      <c r="BI59" s="59">
        <f ca="1">AVERAGE(OFFSET($BH$3,0,0,'Données projet'!$E$11+1,1))-AVERAGE(OFFSET($H$3,0,0,'Données projet'!$E$11+1,1))</f>
        <v>237.22177246688199</v>
      </c>
      <c r="BJ59" s="59">
        <f t="shared" si="38"/>
        <v>149.27472147904302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1.5105030649144917</v>
      </c>
      <c r="BR59" s="21">
        <f>EXP(-LN(2)/2)*BR58+(1-EXP(-LN(2)/2))/(LN(2)/2)*BL59*BO59*VLOOKUP('Données projet'!$B$11,Paramètres!$A$1:$I$89,3,0)*0.475*44/12</f>
        <v>7.5553562676128263E-4</v>
      </c>
      <c r="BS59" s="22">
        <f t="shared" si="9"/>
        <v>1.5112586005412529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6.4</v>
      </c>
      <c r="BY59" s="12">
        <f>IF('Données projet'!$A$114&gt;35,BY58+BX59-CG58,IF(A59&lt;'Données projet'!$A$114,$BV$205^A59,IF(A59='Données projet'!$A$114,'Données projet'!$B$114,BY58+BX59-CG58)))</f>
        <v>219.39999999999995</v>
      </c>
      <c r="BZ59" s="13">
        <f>BY59*VLOOKUP('Données projet'!$B$12,Paramètres!$A$1:$I$89,3,0)*VLOOKUP('Données projet'!$B$12,Paramètres!$A$1:$I$89,5,0)</f>
        <v>191.66783999999998</v>
      </c>
      <c r="CA59" s="13">
        <f t="shared" si="39"/>
        <v>47.908500825580958</v>
      </c>
      <c r="CB59" s="20">
        <f t="shared" si="10"/>
        <v>417.26212693788676</v>
      </c>
      <c r="CC59" s="59">
        <f t="shared" si="11"/>
        <v>710.59546027122008</v>
      </c>
      <c r="CD59" s="59">
        <f ca="1">AVERAGE(OFFSET($CC$3,0,0,'Données projet'!$E$12+1,1))-AVERAGE(OFFSET($H$3,0,0,'Données projet'!$E$12+1,1))</f>
        <v>223.81948236065614</v>
      </c>
      <c r="CE59" s="59">
        <f t="shared" si="40"/>
        <v>320.1204011431372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1.8362746068617044</v>
      </c>
      <c r="CL59" s="21">
        <f>EXP(-LN(2)/25)*CL58+(1-EXP(-LN(2)/25))/(LN(2)/25)*Calculateur!CG59*Calculateur!CI59*VLOOKUP('Données projet'!$B$12,Paramètres!$A$1:$I$89,3,0)*0.475*44/12</f>
        <v>8.6043024903496175</v>
      </c>
      <c r="CM59" s="21">
        <f>EXP(-LN(2)/2)*CM58+(1-EXP(-LN(2)/2))/(LN(2)/2)*CG59*CJ59*VLOOKUP('Données projet'!$B$12,Paramètres!$A$1:$I$89,3,0)*0.475*44/12</f>
        <v>3.3898934093218648E-3</v>
      </c>
      <c r="CN59" s="22">
        <f t="shared" si="12"/>
        <v>10.443966990620643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9.8000000000000007</v>
      </c>
      <c r="CT59" s="12">
        <f>IF('Données projet'!$A$140&gt;35,CT58+CS59-DB58,IF(A59&lt;'Données projet'!$A$140,$CQ$205^A59,IF(A59='Données projet'!$A$140,'Données projet'!$B$140,CT58+CS59-DB58)))</f>
        <v>342.80000000000018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6.8</v>
      </c>
      <c r="DO59" s="12">
        <f>IF('Données projet'!$A$166&gt;35,DO58+DN59-DW58,IF(A59&lt;'Données projet'!$A$166,$DL$205^A59,IF(A59='Données projet'!$A$166,'Données projet'!$B$166,DO58+DN59-DW58)))</f>
        <v>282.7999999999999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2.625</v>
      </c>
      <c r="N60" s="13">
        <f>IF('Données projet'!$A$36&gt;35,N59+M60-V59,IF(A60&lt;'Données projet'!$A$36,$K$205^A60,IF(A60='Données projet'!$A$36,'Données projet'!$B$36,N59+M60-V59)))</f>
        <v>302.875</v>
      </c>
      <c r="O60" s="13">
        <f>N60*VLOOKUP('Données projet'!$B$9,Paramètres!$A$1:$I$89,3,0)*VLOOKUP('Données projet'!$B$9,Paramètres!$A$1:$I$89,5,0)</f>
        <v>181.11925000000002</v>
      </c>
      <c r="P60" s="13">
        <f t="shared" si="33"/>
        <v>45.571108763102352</v>
      </c>
      <c r="Q60" s="20">
        <f t="shared" si="53"/>
        <v>394.81904151240332</v>
      </c>
      <c r="R60" s="59">
        <f t="shared" si="0"/>
        <v>688.15237484573663</v>
      </c>
      <c r="S60" s="59">
        <f ca="1">AVERAGE(OFFSET($R$3,0,0,'Données projet'!$E$9+1,1))-AVERAGE(OFFSET($H$3,0,0,'Données projet'!$E$9+1,1))</f>
        <v>168.08890945052406</v>
      </c>
      <c r="T60" s="59">
        <f t="shared" si="34"/>
        <v>182.52462557642343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3.6393747570363004</v>
      </c>
      <c r="AA60" s="21">
        <f>EXP(-LN(2)/25)*AA59+(1-EXP(-LN(2)/25))/(LN(2)/25)*Calculateur!V60*Calculateur!X60*VLOOKUP('Données projet'!$B$9,Paramètres!$A$1:$I$89,3,0)*0.475*44/12</f>
        <v>5.832862722667862</v>
      </c>
      <c r="AB60" s="21">
        <f>EXP(-LN(2)/2)*AB59+(1-EXP(-LN(2)/2))/(LN(2)/2)*V60*Y60*VLOOKUP('Données projet'!$B$9,Paramètres!$A$1:$I$89,3,0)*0.475*44/12</f>
        <v>4.7005444408736678E-4</v>
      </c>
      <c r="AC60" s="22">
        <f t="shared" si="3"/>
        <v>9.472707534148249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11.4</v>
      </c>
      <c r="AI60" s="13">
        <f>IF('Données projet'!$A$62&gt;35,AI59+AH60-AQ59,IF(A60&lt;'Données projet'!$A$62,$AF$205^A60,IF(A60='Données projet'!$A$62,'Données projet'!$B$62,AI59+AH60-AQ59)))</f>
        <v>352.79999999999984</v>
      </c>
      <c r="AJ60" s="13">
        <f>AI60*VLOOKUP('Données projet'!$B$10,Paramètres!$A$1:$I$89,3,0)*VLOOKUP('Données projet'!$B$10,Paramètres!$A$1:$I$89,5,0)</f>
        <v>210.97439999999992</v>
      </c>
      <c r="AK60" s="13">
        <f t="shared" si="35"/>
        <v>52.148459211324706</v>
      </c>
      <c r="AL60" s="20">
        <f t="shared" si="4"/>
        <v>458.27231312639037</v>
      </c>
      <c r="AM60" s="59">
        <f t="shared" si="5"/>
        <v>751.60564645972363</v>
      </c>
      <c r="AN60" s="59">
        <f ca="1">AVERAGE(OFFSET($AM$3,0,0,'Données projet'!$E$10+1,1))-AVERAGE(OFFSET($H$3,0,0,'Données projet'!$E$10+1,1))</f>
        <v>216.94426559495264</v>
      </c>
      <c r="AO60" s="59">
        <f t="shared" si="36"/>
        <v>225.33715877618704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6.07807201901021</v>
      </c>
      <c r="AW60" s="21">
        <f>EXP(-LN(2)/2)*AW59+(1-EXP(-LN(2)/2))/(LN(2)/2)*AQ60*AT60*VLOOKUP('Données projet'!$B$10,Paramètres!$A$1:$I$89,3,0)*0.475*44/12</f>
        <v>2.0482411230460635E-3</v>
      </c>
      <c r="AX60" s="21">
        <f t="shared" si="6"/>
        <v>6.0801202601332562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7.8</v>
      </c>
      <c r="BD60" s="12">
        <f>IF('Données projet'!$A$88&gt;35,BD59+BC60-BL59,IF(A60&lt;'Données projet'!$A$88,$BA$205^A60,IF(A60='Données projet'!$A$88,'Données projet'!$B$88,BD59+BC60-BL59)))</f>
        <v>211.60000000000014</v>
      </c>
      <c r="BE60" s="13">
        <f>BD60*VLOOKUP('Données projet'!$B$11,Paramètres!$A$1:$I$89,3,0)*VLOOKUP('Données projet'!$B$11,Paramètres!$A$1:$I$89,5,0)</f>
        <v>191.45568000000011</v>
      </c>
      <c r="BF60" s="13">
        <f t="shared" si="37"/>
        <v>47.861639935303188</v>
      </c>
      <c r="BG60" s="20">
        <f t="shared" si="7"/>
        <v>416.81099888731995</v>
      </c>
      <c r="BH60" s="59">
        <f t="shared" si="8"/>
        <v>710.14433222065327</v>
      </c>
      <c r="BI60" s="59">
        <f ca="1">AVERAGE(OFFSET($BH$3,0,0,'Données projet'!$E$11+1,1))-AVERAGE(OFFSET($H$3,0,0,'Données projet'!$E$11+1,1))</f>
        <v>237.22177246688199</v>
      </c>
      <c r="BJ60" s="59">
        <f t="shared" si="38"/>
        <v>149.27472147904302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1.4691982791705009</v>
      </c>
      <c r="BR60" s="21">
        <f>EXP(-LN(2)/2)*BR59+(1-EXP(-LN(2)/2))/(LN(2)/2)*BL60*BO60*VLOOKUP('Données projet'!$B$11,Paramètres!$A$1:$I$89,3,0)*0.475*44/12</f>
        <v>5.3424436511093131E-4</v>
      </c>
      <c r="BS60" s="22">
        <f t="shared" si="9"/>
        <v>1.4697325235356118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6.4</v>
      </c>
      <c r="BY60" s="12">
        <f>IF('Données projet'!$A$114&gt;35,BY59+BX60-CG59,IF(A60&lt;'Données projet'!$A$114,$BV$205^A60,IF(A60='Données projet'!$A$114,'Données projet'!$B$114,BY59+BX60-CG59)))</f>
        <v>225.79999999999995</v>
      </c>
      <c r="BZ60" s="13">
        <f>BY60*VLOOKUP('Données projet'!$B$12,Paramètres!$A$1:$I$89,3,0)*VLOOKUP('Données projet'!$B$12,Paramètres!$A$1:$I$89,5,0)</f>
        <v>197.25888</v>
      </c>
      <c r="CA60" s="13">
        <f t="shared" si="39"/>
        <v>49.141269519991567</v>
      </c>
      <c r="CB60" s="20">
        <f t="shared" si="10"/>
        <v>429.14692708065195</v>
      </c>
      <c r="CC60" s="59">
        <f t="shared" si="11"/>
        <v>722.48026041398521</v>
      </c>
      <c r="CD60" s="59">
        <f ca="1">AVERAGE(OFFSET($CC$3,0,0,'Données projet'!$E$12+1,1))-AVERAGE(OFFSET($H$3,0,0,'Données projet'!$E$12+1,1))</f>
        <v>223.81948236065614</v>
      </c>
      <c r="CE60" s="59">
        <f t="shared" si="40"/>
        <v>320.1204011431372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1.800266381838064</v>
      </c>
      <c r="CL60" s="21">
        <f>EXP(-LN(2)/25)*CL59+(1-EXP(-LN(2)/25))/(LN(2)/25)*Calculateur!CG60*Calculateur!CI60*VLOOKUP('Données projet'!$B$12,Paramètres!$A$1:$I$89,3,0)*0.475*44/12</f>
        <v>8.3690173862704054</v>
      </c>
      <c r="CM60" s="21">
        <f>EXP(-LN(2)/2)*CM59+(1-EXP(-LN(2)/2))/(LN(2)/2)*CG60*CJ60*VLOOKUP('Données projet'!$B$12,Paramètres!$A$1:$I$89,3,0)*0.475*44/12</f>
        <v>2.3970166172310754E-3</v>
      </c>
      <c r="CN60" s="22">
        <f t="shared" si="12"/>
        <v>10.1716807847257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9.8000000000000007</v>
      </c>
      <c r="CT60" s="12">
        <f>IF('Données projet'!$A$140&gt;35,CT59+CS60-DB59,IF(A60&lt;'Données projet'!$A$140,$CQ$205^A60,IF(A60='Données projet'!$A$140,'Données projet'!$B$140,CT59+CS60-DB59)))</f>
        <v>352.60000000000019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6.8</v>
      </c>
      <c r="DO60" s="12">
        <f>IF('Données projet'!$A$166&gt;35,DO59+DN60-DW59,IF(A60&lt;'Données projet'!$A$166,$DL$205^A60,IF(A60='Données projet'!$A$166,'Données projet'!$B$166,DO59+DN60-DW59)))</f>
        <v>289.59999999999991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2.625</v>
      </c>
      <c r="N61" s="13">
        <f>IF('Données projet'!$A$36&gt;35,N60+M61-V60,IF(A61&lt;'Données projet'!$A$36,$K$205^A61,IF(A61='Données projet'!$A$36,'Données projet'!$B$36,N60+M61-V60)))</f>
        <v>305.5</v>
      </c>
      <c r="O61" s="13">
        <f>N61*VLOOKUP('Données projet'!$B$9,Paramètres!$A$1:$I$89,3,0)*VLOOKUP('Données projet'!$B$9,Paramètres!$A$1:$I$89,5,0)</f>
        <v>182.68900000000002</v>
      </c>
      <c r="P61" s="13">
        <f t="shared" si="33"/>
        <v>45.919921846619154</v>
      </c>
      <c r="Q61" s="20">
        <f t="shared" si="53"/>
        <v>398.16053888286166</v>
      </c>
      <c r="R61" s="59">
        <f t="shared" si="0"/>
        <v>691.49387221619497</v>
      </c>
      <c r="S61" s="59">
        <f ca="1">AVERAGE(OFFSET($R$3,0,0,'Données projet'!$E$9+1,1))-AVERAGE(OFFSET($H$3,0,0,'Données projet'!$E$9+1,1))</f>
        <v>168.08890945052406</v>
      </c>
      <c r="T61" s="59">
        <f t="shared" si="34"/>
        <v>182.52462557642343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3.5680088378502335</v>
      </c>
      <c r="AA61" s="21">
        <f>EXP(-LN(2)/25)*AA60+(1-EXP(-LN(2)/25))/(LN(2)/25)*Calculateur!V61*Calculateur!X61*VLOOKUP('Données projet'!$B$9,Paramètres!$A$1:$I$89,3,0)*0.475*44/12</f>
        <v>5.6733627847795898</v>
      </c>
      <c r="AB61" s="21">
        <f>EXP(-LN(2)/2)*AB60+(1-EXP(-LN(2)/2))/(LN(2)/2)*V61*Y61*VLOOKUP('Données projet'!$B$9,Paramètres!$A$1:$I$89,3,0)*0.475*44/12</f>
        <v>3.3237868494104993E-4</v>
      </c>
      <c r="AC61" s="22">
        <f t="shared" si="3"/>
        <v>9.2417040013147655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11.4</v>
      </c>
      <c r="AI61" s="13">
        <f>IF('Données projet'!$A$62&gt;35,AI60+AH61-AQ60,IF(A61&lt;'Données projet'!$A$62,$AF$205^A61,IF(A61='Données projet'!$A$62,'Données projet'!$B$62,AI60+AH61-AQ60)))</f>
        <v>364.19999999999982</v>
      </c>
      <c r="AJ61" s="13">
        <f>AI61*VLOOKUP('Données projet'!$B$10,Paramètres!$A$1:$I$89,3,0)*VLOOKUP('Données projet'!$B$10,Paramètres!$A$1:$I$89,5,0)</f>
        <v>217.7915999999999</v>
      </c>
      <c r="AK61" s="13">
        <f t="shared" si="35"/>
        <v>53.634619420976641</v>
      </c>
      <c r="AL61" s="20">
        <f t="shared" si="4"/>
        <v>472.73399882486751</v>
      </c>
      <c r="AM61" s="59">
        <f t="shared" si="5"/>
        <v>766.06733215820077</v>
      </c>
      <c r="AN61" s="59">
        <f ca="1">AVERAGE(OFFSET($AM$3,0,0,'Données projet'!$E$10+1,1))-AVERAGE(OFFSET($H$3,0,0,'Données projet'!$E$10+1,1))</f>
        <v>216.94426559495264</v>
      </c>
      <c r="AO61" s="59">
        <f t="shared" si="36"/>
        <v>225.33715877618704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5.9118668200184601</v>
      </c>
      <c r="AW61" s="21">
        <f>EXP(-LN(2)/2)*AW60+(1-EXP(-LN(2)/2))/(LN(2)/2)*AQ61*AT61*VLOOKUP('Données projet'!$B$10,Paramètres!$A$1:$I$89,3,0)*0.475*44/12</f>
        <v>1.4483251876110212E-3</v>
      </c>
      <c r="AX61" s="21">
        <f t="shared" si="6"/>
        <v>5.913315145206071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7.8</v>
      </c>
      <c r="BD61" s="12">
        <f>IF('Données projet'!$A$88&gt;35,BD60+BC61-BL60,IF(A61&lt;'Données projet'!$A$88,$BA$205^A61,IF(A61='Données projet'!$A$88,'Données projet'!$B$88,BD60+BC61-BL60)))</f>
        <v>219.40000000000015</v>
      </c>
      <c r="BE61" s="13">
        <f>BD61*VLOOKUP('Données projet'!$B$11,Paramètres!$A$1:$I$89,3,0)*VLOOKUP('Données projet'!$B$11,Paramètres!$A$1:$I$89,5,0)</f>
        <v>198.51312000000013</v>
      </c>
      <c r="BF61" s="13">
        <f t="shared" si="37"/>
        <v>49.417254724004458</v>
      </c>
      <c r="BG61" s="20">
        <f t="shared" si="7"/>
        <v>431.81206931097466</v>
      </c>
      <c r="BH61" s="59">
        <f t="shared" si="8"/>
        <v>725.14540264430798</v>
      </c>
      <c r="BI61" s="59">
        <f ca="1">AVERAGE(OFFSET($BH$3,0,0,'Données projet'!$E$11+1,1))-AVERAGE(OFFSET($H$3,0,0,'Données projet'!$E$11+1,1))</f>
        <v>237.22177246688199</v>
      </c>
      <c r="BJ61" s="59">
        <f t="shared" si="38"/>
        <v>149.27472147904302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1.429022974964804</v>
      </c>
      <c r="BR61" s="21">
        <f>EXP(-LN(2)/2)*BR60+(1-EXP(-LN(2)/2))/(LN(2)/2)*BL61*BO61*VLOOKUP('Données projet'!$B$11,Paramètres!$A$1:$I$89,3,0)*0.475*44/12</f>
        <v>3.7776781338064131E-4</v>
      </c>
      <c r="BS61" s="22">
        <f t="shared" si="9"/>
        <v>1.4294007427781847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6.4</v>
      </c>
      <c r="BY61" s="12">
        <f>IF('Données projet'!$A$114&gt;35,BY60+BX61-CG60,IF(A61&lt;'Données projet'!$A$114,$BV$205^A61,IF(A61='Données projet'!$A$114,'Données projet'!$B$114,BY60+BX61-CG60)))</f>
        <v>232.19999999999996</v>
      </c>
      <c r="BZ61" s="13">
        <f>BY61*VLOOKUP('Données projet'!$B$12,Paramètres!$A$1:$I$89,3,0)*VLOOKUP('Données projet'!$B$12,Paramètres!$A$1:$I$89,5,0)</f>
        <v>202.84991999999997</v>
      </c>
      <c r="CA61" s="13">
        <f t="shared" si="39"/>
        <v>50.369977187686075</v>
      </c>
      <c r="CB61" s="20">
        <f t="shared" si="10"/>
        <v>441.02465426855321</v>
      </c>
      <c r="CC61" s="59">
        <f t="shared" si="11"/>
        <v>734.35798760188652</v>
      </c>
      <c r="CD61" s="59">
        <f ca="1">AVERAGE(OFFSET($CC$3,0,0,'Données projet'!$E$12+1,1))-AVERAGE(OFFSET($H$3,0,0,'Données projet'!$E$12+1,1))</f>
        <v>223.81948236065614</v>
      </c>
      <c r="CE61" s="59">
        <f t="shared" si="40"/>
        <v>320.1204011431372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1.7649642561442886</v>
      </c>
      <c r="CL61" s="21">
        <f>EXP(-LN(2)/25)*CL60+(1-EXP(-LN(2)/25))/(LN(2)/25)*Calculateur!CG61*Calculateur!CI61*VLOOKUP('Données projet'!$B$12,Paramètres!$A$1:$I$89,3,0)*0.475*44/12</f>
        <v>8.1401661657353444</v>
      </c>
      <c r="CM61" s="21">
        <f>EXP(-LN(2)/2)*CM60+(1-EXP(-LN(2)/2))/(LN(2)/2)*CG61*CJ61*VLOOKUP('Données projet'!$B$12,Paramètres!$A$1:$I$89,3,0)*0.475*44/12</f>
        <v>1.6949467046609324E-3</v>
      </c>
      <c r="CN61" s="22">
        <f t="shared" si="12"/>
        <v>9.9068253685842933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9.8000000000000007</v>
      </c>
      <c r="CT61" s="12">
        <f>IF('Données projet'!$A$140&gt;35,CT60+CS61-DB60,IF(A61&lt;'Données projet'!$A$140,$CQ$205^A61,IF(A61='Données projet'!$A$140,'Données projet'!$B$140,CT60+CS61-DB60)))</f>
        <v>362.4000000000002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6.8</v>
      </c>
      <c r="DO61" s="12">
        <f>IF('Données projet'!$A$166&gt;35,DO60+DN61-DW60,IF(A61&lt;'Données projet'!$A$166,$DL$205^A61,IF(A61='Données projet'!$A$166,'Données projet'!$B$166,DO60+DN61-DW60)))</f>
        <v>296.39999999999992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2.625</v>
      </c>
      <c r="N62" s="13">
        <f>IF('Données projet'!$A$36&gt;35,N61+M62-V61,IF(A62&lt;'Données projet'!$A$36,$K$205^A62,IF(A62='Données projet'!$A$36,'Données projet'!$B$36,N61+M62-V61)))</f>
        <v>308.125</v>
      </c>
      <c r="O62" s="13">
        <f>N62*VLOOKUP('Données projet'!$B$9,Paramètres!$A$1:$I$89,3,0)*VLOOKUP('Données projet'!$B$9,Paramètres!$A$1:$I$89,5,0)</f>
        <v>184.25875000000002</v>
      </c>
      <c r="P62" s="13">
        <f t="shared" si="33"/>
        <v>46.26838622983076</v>
      </c>
      <c r="Q62" s="20">
        <f t="shared" si="53"/>
        <v>401.50142893362187</v>
      </c>
      <c r="R62" s="59">
        <f t="shared" si="0"/>
        <v>694.83476226695518</v>
      </c>
      <c r="S62" s="59">
        <f ca="1">AVERAGE(OFFSET($R$3,0,0,'Données projet'!$E$9+1,1))-AVERAGE(OFFSET($H$3,0,0,'Données projet'!$E$9+1,1))</f>
        <v>168.08890945052406</v>
      </c>
      <c r="T62" s="59">
        <f t="shared" si="34"/>
        <v>182.52462557642343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3.4980423608104925</v>
      </c>
      <c r="AA62" s="21">
        <f>EXP(-LN(2)/25)*AA61+(1-EXP(-LN(2)/25))/(LN(2)/25)*Calculateur!V62*Calculateur!X62*VLOOKUP('Données projet'!$B$9,Paramètres!$A$1:$I$89,3,0)*0.475*44/12</f>
        <v>5.5182243810806098</v>
      </c>
      <c r="AB62" s="21">
        <f>EXP(-LN(2)/2)*AB61+(1-EXP(-LN(2)/2))/(LN(2)/2)*V62*Y62*VLOOKUP('Données projet'!$B$9,Paramètres!$A$1:$I$89,3,0)*0.475*44/12</f>
        <v>2.3502722204368342E-4</v>
      </c>
      <c r="AC62" s="22">
        <f t="shared" si="3"/>
        <v>9.0165017691131446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11.4</v>
      </c>
      <c r="AI62" s="13">
        <f>IF('Données projet'!$A$62&gt;35,AI61+AH62-AQ61,IF(A62&lt;'Données projet'!$A$62,$AF$205^A62,IF(A62='Données projet'!$A$62,'Données projet'!$B$62,AI61+AH62-AQ61)))</f>
        <v>375.5999999999998</v>
      </c>
      <c r="AJ62" s="13">
        <f>AI62*VLOOKUP('Données projet'!$B$10,Paramètres!$A$1:$I$89,3,0)*VLOOKUP('Données projet'!$B$10,Paramètres!$A$1:$I$89,5,0)</f>
        <v>224.60879999999992</v>
      </c>
      <c r="AK62" s="13">
        <f t="shared" si="35"/>
        <v>55.11537373670501</v>
      </c>
      <c r="AL62" s="20">
        <f t="shared" si="4"/>
        <v>487.1862692580944</v>
      </c>
      <c r="AM62" s="59">
        <f t="shared" si="5"/>
        <v>780.51960259142766</v>
      </c>
      <c r="AN62" s="59">
        <f ca="1">AVERAGE(OFFSET($AM$3,0,0,'Données projet'!$E$10+1,1))-AVERAGE(OFFSET($H$3,0,0,'Données projet'!$E$10+1,1))</f>
        <v>216.94426559495264</v>
      </c>
      <c r="AO62" s="59">
        <f t="shared" si="36"/>
        <v>225.33715877618704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5.7502065109334906</v>
      </c>
      <c r="AW62" s="21">
        <f>EXP(-LN(2)/2)*AW61+(1-EXP(-LN(2)/2))/(LN(2)/2)*AQ62*AT62*VLOOKUP('Données projet'!$B$10,Paramètres!$A$1:$I$89,3,0)*0.475*44/12</f>
        <v>1.0241205615230317E-3</v>
      </c>
      <c r="AX62" s="21">
        <f t="shared" si="6"/>
        <v>5.7512306314950132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7.8</v>
      </c>
      <c r="BD62" s="12">
        <f>IF('Données projet'!$A$88&gt;35,BD61+BC62-BL61,IF(A62&lt;'Données projet'!$A$88,$BA$205^A62,IF(A62='Données projet'!$A$88,'Données projet'!$B$88,BD61+BC62-BL61)))</f>
        <v>227.20000000000016</v>
      </c>
      <c r="BE62" s="13">
        <f>BD62*VLOOKUP('Données projet'!$B$11,Paramètres!$A$1:$I$89,3,0)*VLOOKUP('Données projet'!$B$11,Paramètres!$A$1:$I$89,5,0)</f>
        <v>205.57056000000014</v>
      </c>
      <c r="BF62" s="13">
        <f t="shared" si="37"/>
        <v>50.966443946767434</v>
      </c>
      <c r="BG62" s="20">
        <f t="shared" si="7"/>
        <v>446.80194854062023</v>
      </c>
      <c r="BH62" s="59">
        <f t="shared" si="8"/>
        <v>740.13528187395355</v>
      </c>
      <c r="BI62" s="59">
        <f ca="1">AVERAGE(OFFSET($BH$3,0,0,'Données projet'!$E$11+1,1))-AVERAGE(OFFSET($H$3,0,0,'Données projet'!$E$11+1,1))</f>
        <v>237.22177246688199</v>
      </c>
      <c r="BJ62" s="59">
        <f t="shared" si="38"/>
        <v>149.27472147904302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1.3899462665653393</v>
      </c>
      <c r="BR62" s="21">
        <f>EXP(-LN(2)/2)*BR61+(1-EXP(-LN(2)/2))/(LN(2)/2)*BL62*BO62*VLOOKUP('Données projet'!$B$11,Paramètres!$A$1:$I$89,3,0)*0.475*44/12</f>
        <v>2.6712218255546565E-4</v>
      </c>
      <c r="BS62" s="22">
        <f t="shared" si="9"/>
        <v>1.3902133887478947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6.4</v>
      </c>
      <c r="BY62" s="12">
        <f>IF('Données projet'!$A$114&gt;35,BY61+BX62-CG61,IF(A62&lt;'Données projet'!$A$114,$BV$205^A62,IF(A62='Données projet'!$A$114,'Données projet'!$B$114,BY61+BX62-CG61)))</f>
        <v>238.59999999999997</v>
      </c>
      <c r="BZ62" s="13">
        <f>BY62*VLOOKUP('Données projet'!$B$12,Paramètres!$A$1:$I$89,3,0)*VLOOKUP('Données projet'!$B$12,Paramètres!$A$1:$I$89,5,0)</f>
        <v>208.44095999999999</v>
      </c>
      <c r="CA62" s="13">
        <f t="shared" si="39"/>
        <v>51.594748621124211</v>
      </c>
      <c r="CB62" s="20">
        <f t="shared" si="10"/>
        <v>452.89552584845791</v>
      </c>
      <c r="CC62" s="59">
        <f t="shared" si="11"/>
        <v>746.22885918179122</v>
      </c>
      <c r="CD62" s="59">
        <f ca="1">AVERAGE(OFFSET($CC$3,0,0,'Données projet'!$E$12+1,1))-AVERAGE(OFFSET($H$3,0,0,'Données projet'!$E$12+1,1))</f>
        <v>223.81948236065614</v>
      </c>
      <c r="CE62" s="59">
        <f t="shared" si="40"/>
        <v>320.1204011431372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1.7303543836031976</v>
      </c>
      <c r="CL62" s="21">
        <f>EXP(-LN(2)/25)*CL61+(1-EXP(-LN(2)/25))/(LN(2)/25)*Calculateur!CG62*Calculateur!CI62*VLOOKUP('Données projet'!$B$12,Paramètres!$A$1:$I$89,3,0)*0.475*44/12</f>
        <v>7.9175728938605774</v>
      </c>
      <c r="CM62" s="21">
        <f>EXP(-LN(2)/2)*CM61+(1-EXP(-LN(2)/2))/(LN(2)/2)*CG62*CJ62*VLOOKUP('Données projet'!$B$12,Paramètres!$A$1:$I$89,3,0)*0.475*44/12</f>
        <v>1.1985083086155377E-3</v>
      </c>
      <c r="CN62" s="22">
        <f t="shared" si="12"/>
        <v>9.6491257857723909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9.8000000000000007</v>
      </c>
      <c r="CT62" s="12">
        <f>IF('Données projet'!$A$140&gt;35,CT61+CS62-DB61,IF(A62&lt;'Données projet'!$A$140,$CQ$205^A62,IF(A62='Données projet'!$A$140,'Données projet'!$B$140,CT61+CS62-DB61)))</f>
        <v>372.20000000000022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6.8</v>
      </c>
      <c r="DO62" s="12">
        <f>IF('Données projet'!$A$166&gt;35,DO61+DN62-DW61,IF(A62&lt;'Données projet'!$A$166,$DL$205^A62,IF(A62='Données projet'!$A$166,'Données projet'!$B$166,DO61+DN62-DW61)))</f>
        <v>303.19999999999993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2.625</v>
      </c>
      <c r="N63" s="13">
        <f>IF('Données projet'!$A$36&gt;35,N62+M63-V62,IF(A63&lt;'Données projet'!$A$36,$K$205^A63,IF(A63='Données projet'!$A$36,'Données projet'!$B$36,N62+M63-V62)))</f>
        <v>310.75</v>
      </c>
      <c r="O63" s="13">
        <f>N63*VLOOKUP('Données projet'!$B$9,Paramètres!$A$1:$I$89,3,0)*VLOOKUP('Données projet'!$B$9,Paramètres!$A$1:$I$89,5,0)</f>
        <v>185.82849999999999</v>
      </c>
      <c r="P63" s="13">
        <f t="shared" si="33"/>
        <v>46.616505227631926</v>
      </c>
      <c r="Q63" s="20">
        <f t="shared" si="53"/>
        <v>404.84171743812561</v>
      </c>
      <c r="R63" s="59">
        <f t="shared" si="0"/>
        <v>698.17505077145893</v>
      </c>
      <c r="S63" s="59">
        <f ca="1">AVERAGE(OFFSET($R$3,0,0,'Données projet'!$E$9+1,1))-AVERAGE(OFFSET($H$3,0,0,'Données projet'!$E$9+1,1))</f>
        <v>168.08890945052406</v>
      </c>
      <c r="T63" s="59">
        <f t="shared" si="34"/>
        <v>182.52462557642343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3.4294478837101638</v>
      </c>
      <c r="AA63" s="21">
        <f>EXP(-LN(2)/25)*AA62+(1-EXP(-LN(2)/25))/(LN(2)/25)*Calculateur!V63*Calculateur!X63*VLOOKUP('Données projet'!$B$9,Paramètres!$A$1:$I$89,3,0)*0.475*44/12</f>
        <v>5.3673282451891522</v>
      </c>
      <c r="AB63" s="21">
        <f>EXP(-LN(2)/2)*AB62+(1-EXP(-LN(2)/2))/(LN(2)/2)*V63*Y63*VLOOKUP('Données projet'!$B$9,Paramètres!$A$1:$I$89,3,0)*0.475*44/12</f>
        <v>1.6618934247052499E-4</v>
      </c>
      <c r="AC63" s="22">
        <f t="shared" si="3"/>
        <v>8.7969423182417863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387</v>
      </c>
      <c r="AG63" s="12">
        <f>VLOOKUP(A63,'Données projet'!$A$61:$I$81,9,0)</f>
        <v>11.4</v>
      </c>
      <c r="AH63" s="12">
        <f t="array" ref="AH63">INDEX(AG:AG,MIN(IF(ISNUMBER(AG63:AG259),ROW(AG63:AG259),"")))</f>
        <v>11.4</v>
      </c>
      <c r="AI63" s="13">
        <f>IF('Données projet'!$A$62&gt;35,AI62+AH63-AQ62,IF(A63&lt;'Données projet'!$A$62,$AF$205^A63,IF(A63='Données projet'!$A$62,'Données projet'!$B$62,AI62+AH63-AQ62)))</f>
        <v>386.99999999999977</v>
      </c>
      <c r="AJ63" s="13">
        <f>AI63*VLOOKUP('Données projet'!$B$10,Paramètres!$A$1:$I$89,3,0)*VLOOKUP('Données projet'!$B$10,Paramètres!$A$1:$I$89,5,0)</f>
        <v>231.42599999999987</v>
      </c>
      <c r="AK63" s="13">
        <f t="shared" si="35"/>
        <v>56.590905067453171</v>
      </c>
      <c r="AL63" s="20">
        <f t="shared" si="4"/>
        <v>501.62944299248062</v>
      </c>
      <c r="AM63" s="59">
        <f t="shared" si="5"/>
        <v>794.96277632581393</v>
      </c>
      <c r="AN63" s="59">
        <f ca="1">AVERAGE(OFFSET($AM$3,0,0,'Données projet'!$E$10+1,1))-AVERAGE(OFFSET($H$3,0,0,'Données projet'!$E$10+1,1))</f>
        <v>216.94426559495264</v>
      </c>
      <c r="AO63" s="59">
        <f t="shared" si="36"/>
        <v>225.33715877618704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57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5.5929668115017961</v>
      </c>
      <c r="AW63" s="21">
        <f>EXP(-LN(2)/2)*AW62+(1-EXP(-LN(2)/2))/(LN(2)/2)*AQ63*AT63*VLOOKUP('Données projet'!$B$10,Paramètres!$A$1:$I$89,3,0)*0.475*44/12</f>
        <v>7.241625938055106E-4</v>
      </c>
      <c r="AX63" s="21">
        <f t="shared" si="6"/>
        <v>5.593690974095602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235</v>
      </c>
      <c r="BB63" s="12">
        <f>VLOOKUP(A63,'Données projet'!$A$87:$I$107,9,0)</f>
        <v>7.8</v>
      </c>
      <c r="BC63" s="12">
        <f t="array" ref="BC63">INDEX(BB:BB,MIN(IF(ISNUMBER(BB63:BB259),ROW(BB63:BB259),"")))</f>
        <v>7.8</v>
      </c>
      <c r="BD63" s="12">
        <f>IF('Données projet'!$A$88&gt;35,BD62+BC63-BL62,IF(A63&lt;'Données projet'!$A$88,$BA$205^A63,IF(A63='Données projet'!$A$88,'Données projet'!$B$88,BD62+BC63-BL62)))</f>
        <v>235.00000000000017</v>
      </c>
      <c r="BE63" s="13">
        <f>BD63*VLOOKUP('Données projet'!$B$11,Paramètres!$A$1:$I$89,3,0)*VLOOKUP('Données projet'!$B$11,Paramètres!$A$1:$I$89,5,0)</f>
        <v>212.62800000000016</v>
      </c>
      <c r="BF63" s="13">
        <f t="shared" si="37"/>
        <v>52.509453483719085</v>
      </c>
      <c r="BG63" s="20">
        <f t="shared" si="7"/>
        <v>461.78106481747767</v>
      </c>
      <c r="BH63" s="59">
        <f t="shared" si="8"/>
        <v>755.11439815081098</v>
      </c>
      <c r="BI63" s="59">
        <f ca="1">AVERAGE(OFFSET($BH$3,0,0,'Données projet'!$E$11+1,1))-AVERAGE(OFFSET($H$3,0,0,'Données projet'!$E$11+1,1))</f>
        <v>237.22177246688199</v>
      </c>
      <c r="BJ63" s="59">
        <f t="shared" si="38"/>
        <v>149.27472147904302</v>
      </c>
      <c r="BK63" s="15">
        <f>IF(ISNA(VLOOKUP(A63,'Données projet'!$A$87:$I$107,3,0)),0,VLOOKUP(A63,'Données projet'!$A$87:$I$107,3,0))</f>
        <v>4</v>
      </c>
      <c r="BL63" s="15">
        <f>IF(ISNA(VLOOKUP(A63,'Données projet'!$A$87:$I$107,4,0)),0,VLOOKUP(A63,'Données projet'!$A$87:$I$107,4,0))</f>
        <v>42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1.3519381128120127</v>
      </c>
      <c r="BR63" s="21">
        <f>EXP(-LN(2)/2)*BR62+(1-EXP(-LN(2)/2))/(LN(2)/2)*BL63*BO63*VLOOKUP('Données projet'!$B$11,Paramètres!$A$1:$I$89,3,0)*0.475*44/12</f>
        <v>1.8888390669032066E-4</v>
      </c>
      <c r="BS63" s="22">
        <f t="shared" si="9"/>
        <v>1.3521269967187031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245</v>
      </c>
      <c r="BW63" s="12">
        <f>VLOOKUP(A63,'Données projet'!$A$113:$I$133,9,0)</f>
        <v>6.4</v>
      </c>
      <c r="BX63" s="12">
        <f t="array" ref="BX63">INDEX(BW:BW,MIN(IF(ISNUMBER(BW63:BW259),ROW(BW63:BW259),"")))</f>
        <v>6.4</v>
      </c>
      <c r="BY63" s="12">
        <f>IF('Données projet'!$A$114&gt;35,BY62+BX63-CG62,IF(A63&lt;'Données projet'!$A$114,$BV$205^A63,IF(A63='Données projet'!$A$114,'Données projet'!$B$114,BY62+BX63-CG62)))</f>
        <v>244.99999999999997</v>
      </c>
      <c r="BZ63" s="13">
        <f>BY63*VLOOKUP('Données projet'!$B$12,Paramètres!$A$1:$I$89,3,0)*VLOOKUP('Données projet'!$B$12,Paramètres!$A$1:$I$89,5,0)</f>
        <v>214.03199999999998</v>
      </c>
      <c r="CA63" s="13">
        <f t="shared" si="39"/>
        <v>52.815701536972242</v>
      </c>
      <c r="CB63" s="20">
        <f t="shared" si="10"/>
        <v>464.75974684355998</v>
      </c>
      <c r="CC63" s="59">
        <f t="shared" si="11"/>
        <v>758.0930801768933</v>
      </c>
      <c r="CD63" s="59">
        <f ca="1">AVERAGE(OFFSET($CC$3,0,0,'Données projet'!$E$12+1,1))-AVERAGE(OFFSET($H$3,0,0,'Données projet'!$E$12+1,1))</f>
        <v>223.81948236065614</v>
      </c>
      <c r="CE63" s="59">
        <f t="shared" si="40"/>
        <v>320.1204011431372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47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1.6964231895526996</v>
      </c>
      <c r="CL63" s="21">
        <f>EXP(-LN(2)/25)*CL62+(1-EXP(-LN(2)/25))/(LN(2)/25)*Calculateur!CG63*Calculateur!CI63*VLOOKUP('Données projet'!$B$12,Paramètres!$A$1:$I$89,3,0)*0.475*44/12</f>
        <v>7.7010664467108976</v>
      </c>
      <c r="CM63" s="21">
        <f>EXP(-LN(2)/2)*CM62+(1-EXP(-LN(2)/2))/(LN(2)/2)*CG63*CJ63*VLOOKUP('Données projet'!$B$12,Paramètres!$A$1:$I$89,3,0)*0.475*44/12</f>
        <v>8.4747335233046619E-4</v>
      </c>
      <c r="CN63" s="22">
        <f t="shared" si="12"/>
        <v>9.3983371096159267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382</v>
      </c>
      <c r="CR63" s="12">
        <f>VLOOKUP(A63,'Données projet'!$A$139:$I$159,9,0)</f>
        <v>9.8000000000000007</v>
      </c>
      <c r="CS63" s="12">
        <f t="array" ref="CS63">INDEX(CR:CR,MIN(IF(ISNUMBER(CR63:CR259),ROW(CR63:CR259),"")))</f>
        <v>9.8000000000000007</v>
      </c>
      <c r="CT63" s="12">
        <f>IF('Données projet'!$A$140&gt;35,CT62+CS63-DB62,IF(A63&lt;'Données projet'!$A$140,$CQ$205^A63,IF(A63='Données projet'!$A$140,'Données projet'!$B$140,CT62+CS63-DB62)))</f>
        <v>382.00000000000023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56</v>
      </c>
      <c r="DC63" s="16" t="e">
        <f>IF(ISNA(VLOOKUP(A63,'Données projet'!$A$139:$I$159,5,0)),0%,VLOOKUP(A63,'Données projet'!$A$139:$I$159,5,0)*VLOOKUP('Données projet'!$B$13,Paramètres!$A$1:$I$89,7,0))</f>
        <v>#N/A</v>
      </c>
      <c r="DD63" s="16" t="e">
        <f>IF(ISNA(VLOOKUP(A63,'Données projet'!$A$139:$I$159,6,0)),0%,VLOOKUP(A63,'Données projet'!$A$139:$I$159,6,0)*VLOOKUP('Données projet'!$B$13,Paramètres!$A$1:$I$89,7,0))</f>
        <v>#N/A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310</v>
      </c>
      <c r="DM63" s="12">
        <f>VLOOKUP(A63,'Données projet'!$A$165:$I$185,9,0)</f>
        <v>6.8</v>
      </c>
      <c r="DN63" s="12">
        <f t="array" ref="DN63">INDEX(DM:DM,MIN(IF(ISNUMBER(DM63:DM259),ROW(DM63:DM259),"")))</f>
        <v>6.8</v>
      </c>
      <c r="DO63" s="12">
        <f>IF('Données projet'!$A$166&gt;35,DO62+DN63-DW62,IF(A63&lt;'Données projet'!$A$166,$DL$205^A63,IF(A63='Données projet'!$A$166,'Données projet'!$B$166,DO62+DN63-DW62)))</f>
        <v>309.99999999999994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6</v>
      </c>
      <c r="DW63" s="15">
        <f>IF(ISNA(VLOOKUP(A63,'Données projet'!$A$165:$I$185,4,0)),0,VLOOKUP(A63,'Données projet'!$A$165:$I$185,4,0))</f>
        <v>30</v>
      </c>
      <c r="DX63" s="16" t="e">
        <f>IF(ISNA(VLOOKUP(A63,'Données projet'!$A$165:$I$185,5,0)),0%,VLOOKUP(A63,'Données projet'!$A$165:$I$185,5,0)*VLOOKUP('Données projet'!$B$14,Paramètres!$A$1:$I$89,7,0))</f>
        <v>#N/A</v>
      </c>
      <c r="DY63" s="16" t="e">
        <f>IF(ISNA(VLOOKUP(A63,'Données projet'!$A$165:$I$185,6,0)),0%,VLOOKUP(A63,'Données projet'!$A$165:$I$185,6,0)*VLOOKUP('Données projet'!$B$14,Paramètres!$A$1:$I$89,7,0))</f>
        <v>#N/A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2.625</v>
      </c>
      <c r="N64" s="13">
        <f>IF('Données projet'!$A$36&gt;35,N63+M64-V63,IF(A64&lt;'Données projet'!$A$36,$K$205^A64,IF(A64='Données projet'!$A$36,'Données projet'!$B$36,N63+M64-V63)))</f>
        <v>313.375</v>
      </c>
      <c r="O64" s="13">
        <f>N64*VLOOKUP('Données projet'!$B$9,Paramètres!$A$1:$I$89,3,0)*VLOOKUP('Données projet'!$B$9,Paramètres!$A$1:$I$89,5,0)</f>
        <v>187.39825000000002</v>
      </c>
      <c r="P64" s="13">
        <f t="shared" si="33"/>
        <v>46.964282095681376</v>
      </c>
      <c r="Q64" s="20">
        <f t="shared" si="53"/>
        <v>408.18141006664501</v>
      </c>
      <c r="R64" s="59">
        <f t="shared" si="0"/>
        <v>701.51474339997833</v>
      </c>
      <c r="S64" s="59">
        <f ca="1">AVERAGE(OFFSET($R$3,0,0,'Données projet'!$E$9+1,1))-AVERAGE(OFFSET($H$3,0,0,'Données projet'!$E$9+1,1))</f>
        <v>168.08890945052406</v>
      </c>
      <c r="T64" s="59">
        <f t="shared" si="34"/>
        <v>182.52462557642343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3.3621985024672729</v>
      </c>
      <c r="AA64" s="21">
        <f>EXP(-LN(2)/25)*AA63+(1-EXP(-LN(2)/25))/(LN(2)/25)*Calculateur!V64*Calculateur!X64*VLOOKUP('Données projet'!$B$9,Paramètres!$A$1:$I$89,3,0)*0.475*44/12</f>
        <v>5.2205583720689299</v>
      </c>
      <c r="AB64" s="21">
        <f>EXP(-LN(2)/2)*AB63+(1-EXP(-LN(2)/2))/(LN(2)/2)*V64*Y64*VLOOKUP('Données projet'!$B$9,Paramètres!$A$1:$I$89,3,0)*0.475*44/12</f>
        <v>1.1751361102184174E-4</v>
      </c>
      <c r="AC64" s="22">
        <f t="shared" si="3"/>
        <v>8.5828743881472249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9.1999999999999993</v>
      </c>
      <c r="AI64" s="13">
        <f>IF('Données projet'!$A$62&gt;35,AI63+AH64-AQ63,IF(A64&lt;'Données projet'!$A$62,$AF$205^A64,IF(A64='Données projet'!$A$62,'Données projet'!$B$62,AI63+AH64-AQ63)))</f>
        <v>339.19999999999976</v>
      </c>
      <c r="AJ64" s="13">
        <f>AI64*VLOOKUP('Données projet'!$B$10,Paramètres!$A$1:$I$89,3,0)*VLOOKUP('Données projet'!$B$10,Paramètres!$A$1:$I$89,5,0)</f>
        <v>202.84159999999989</v>
      </c>
      <c r="AK64" s="13">
        <f t="shared" si="35"/>
        <v>50.368151708087709</v>
      </c>
      <c r="AL64" s="20">
        <f t="shared" si="4"/>
        <v>441.00698422491922</v>
      </c>
      <c r="AM64" s="59">
        <f t="shared" si="5"/>
        <v>734.34031755825254</v>
      </c>
      <c r="AN64" s="59">
        <f ca="1">AVERAGE(OFFSET($AM$3,0,0,'Données projet'!$E$10+1,1))-AVERAGE(OFFSET($H$3,0,0,'Données projet'!$E$10+1,1))</f>
        <v>216.94426559495264</v>
      </c>
      <c r="AO64" s="59">
        <f t="shared" si="36"/>
        <v>225.33715877618704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5.4400268399199376</v>
      </c>
      <c r="AW64" s="21">
        <f>EXP(-LN(2)/2)*AW63+(1-EXP(-LN(2)/2))/(LN(2)/2)*AQ64*AT64*VLOOKUP('Données projet'!$B$10,Paramètres!$A$1:$I$89,3,0)*0.475*44/12</f>
        <v>5.1206028076151587E-4</v>
      </c>
      <c r="AX64" s="21">
        <f t="shared" si="6"/>
        <v>5.440538900200699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</v>
      </c>
      <c r="BD64" s="12">
        <f>IF('Données projet'!$A$88&gt;35,BD63+BC64-BL63,IF(A64&lt;'Données projet'!$A$88,$BA$205^A64,IF(A64='Données projet'!$A$88,'Données projet'!$B$88,BD63+BC64-BL63)))</f>
        <v>200.00000000000017</v>
      </c>
      <c r="BE64" s="13">
        <f>BD64*VLOOKUP('Données projet'!$B$11,Paramètres!$A$1:$I$89,3,0)*VLOOKUP('Données projet'!$B$11,Paramètres!$A$1:$I$89,5,0)</f>
        <v>180.96000000000015</v>
      </c>
      <c r="BF64" s="13">
        <f t="shared" si="37"/>
        <v>45.535702314871806</v>
      </c>
      <c r="BG64" s="20">
        <f t="shared" si="7"/>
        <v>394.48001486506865</v>
      </c>
      <c r="BH64" s="59">
        <f t="shared" si="8"/>
        <v>687.81334819840197</v>
      </c>
      <c r="BI64" s="59">
        <f ca="1">AVERAGE(OFFSET($BH$3,0,0,'Données projet'!$E$11+1,1))-AVERAGE(OFFSET($H$3,0,0,'Données projet'!$E$11+1,1))</f>
        <v>237.22177246688199</v>
      </c>
      <c r="BJ64" s="59">
        <f t="shared" si="38"/>
        <v>149.27472147904302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1.3149692940218327</v>
      </c>
      <c r="BR64" s="21">
        <f>EXP(-LN(2)/2)*BR63+(1-EXP(-LN(2)/2))/(LN(2)/2)*BL64*BO64*VLOOKUP('Données projet'!$B$11,Paramètres!$A$1:$I$89,3,0)*0.475*44/12</f>
        <v>1.3356109127773283E-4</v>
      </c>
      <c r="BS64" s="22">
        <f t="shared" si="9"/>
        <v>1.3151028551131105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4.9000000000000004</v>
      </c>
      <c r="BY64" s="12">
        <f>IF('Données projet'!$A$114&gt;35,BY63+BX64-CG63,IF(A64&lt;'Données projet'!$A$114,$BV$205^A64,IF(A64='Données projet'!$A$114,'Données projet'!$B$114,BY63+BX64-CG63)))</f>
        <v>202.89999999999998</v>
      </c>
      <c r="BZ64" s="13">
        <f>BY64*VLOOKUP('Données projet'!$B$12,Paramètres!$A$1:$I$89,3,0)*VLOOKUP('Données projet'!$B$12,Paramètres!$A$1:$I$89,5,0)</f>
        <v>177.25344000000001</v>
      </c>
      <c r="CA64" s="13">
        <f t="shared" si="39"/>
        <v>44.710581408854637</v>
      </c>
      <c r="CB64" s="20">
        <f t="shared" si="10"/>
        <v>386.58733728708853</v>
      </c>
      <c r="CC64" s="59">
        <f t="shared" si="11"/>
        <v>679.92067062042179</v>
      </c>
      <c r="CD64" s="59">
        <f ca="1">AVERAGE(OFFSET($CC$3,0,0,'Données projet'!$E$12+1,1))-AVERAGE(OFFSET($H$3,0,0,'Données projet'!$E$12+1,1))</f>
        <v>223.81948236065614</v>
      </c>
      <c r="CE64" s="59">
        <f t="shared" si="40"/>
        <v>320.1204011431372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1.663157365521547</v>
      </c>
      <c r="CL64" s="21">
        <f>EXP(-LN(2)/25)*CL63+(1-EXP(-LN(2)/25))/(LN(2)/25)*Calculateur!CG64*Calculateur!CI64*VLOOKUP('Données projet'!$B$12,Paramètres!$A$1:$I$89,3,0)*0.475*44/12</f>
        <v>7.4904803797441044</v>
      </c>
      <c r="CM64" s="21">
        <f>EXP(-LN(2)/2)*CM63+(1-EXP(-LN(2)/2))/(LN(2)/2)*CG64*CJ64*VLOOKUP('Données projet'!$B$12,Paramètres!$A$1:$I$89,3,0)*0.475*44/12</f>
        <v>5.9925415430776884E-4</v>
      </c>
      <c r="CN64" s="22">
        <f t="shared" si="12"/>
        <v>9.1542369994199593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8.5</v>
      </c>
      <c r="CT64" s="12">
        <f>IF('Données projet'!$A$140&gt;35,CT63+CS64-DB63,IF(A64&lt;'Données projet'!$A$140,$CQ$205^A64,IF(A64='Données projet'!$A$140,'Données projet'!$B$140,CT63+CS64-DB63)))</f>
        <v>334.50000000000023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4.9000000000000004</v>
      </c>
      <c r="DO64" s="12">
        <f>IF('Données projet'!$A$166&gt;35,DO63+DN64-DW63,IF(A64&lt;'Données projet'!$A$166,$DL$205^A64,IF(A64='Données projet'!$A$166,'Données projet'!$B$166,DO63+DN64-DW63)))</f>
        <v>284.89999999999992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316</v>
      </c>
      <c r="L65" s="12">
        <f>VLOOKUP(A65,'Données projet'!$A$35:$I$55,9,0)</f>
        <v>2.625</v>
      </c>
      <c r="M65" s="12">
        <f t="array" ref="M65">INDEX(L:L,MIN(IF(ISNUMBER(L65:L261),ROW(L65:L261),"")))</f>
        <v>2.625</v>
      </c>
      <c r="N65" s="13">
        <f>IF('Données projet'!$A$36&gt;35,N64+M65-V64,IF(A65&lt;'Données projet'!$A$36,$K$205^A65,IF(A65='Données projet'!$A$36,'Données projet'!$B$36,N64+M65-V64)))</f>
        <v>316</v>
      </c>
      <c r="O65" s="13">
        <f>N65*VLOOKUP('Données projet'!$B$9,Paramètres!$A$1:$I$89,3,0)*VLOOKUP('Données projet'!$B$9,Paramètres!$A$1:$I$89,5,0)</f>
        <v>188.96800000000002</v>
      </c>
      <c r="P65" s="13">
        <f t="shared" si="33"/>
        <v>47.311720031947068</v>
      </c>
      <c r="Q65" s="20">
        <f t="shared" si="53"/>
        <v>411.52051238897451</v>
      </c>
      <c r="R65" s="59">
        <f t="shared" si="0"/>
        <v>704.85384572230782</v>
      </c>
      <c r="S65" s="59">
        <f ca="1">AVERAGE(OFFSET($R$3,0,0,'Données projet'!$E$9+1,1))-AVERAGE(OFFSET($H$3,0,0,'Données projet'!$E$9+1,1))</f>
        <v>168.08890945052406</v>
      </c>
      <c r="T65" s="59">
        <f t="shared" si="34"/>
        <v>182.52462557642343</v>
      </c>
      <c r="U65" s="15">
        <f>IF(ISNA(VLOOKUP(A65,'Données projet'!$A$35:$I$55,3,0)),0,VLOOKUP(A65,'Données projet'!$A$35:$I$55,3,0))</f>
        <v>9</v>
      </c>
      <c r="V65" s="15">
        <f>IF(ISNA(VLOOKUP(A65,'Données projet'!$A$35:$I$55,4,0)),0,VLOOKUP(A65,'Données projet'!$A$35:$I$55,4,0))</f>
        <v>316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3.2962678405724826</v>
      </c>
      <c r="AA65" s="21">
        <f>EXP(-LN(2)/25)*AA64+(1-EXP(-LN(2)/25))/(LN(2)/25)*Calculateur!V65*Calculateur!X65*VLOOKUP('Données projet'!$B$9,Paramètres!$A$1:$I$89,3,0)*0.475*44/12</f>
        <v>5.0778019288474718</v>
      </c>
      <c r="AB65" s="21">
        <f>EXP(-LN(2)/2)*AB64+(1-EXP(-LN(2)/2))/(LN(2)/2)*V65*Y65*VLOOKUP('Données projet'!$B$9,Paramètres!$A$1:$I$89,3,0)*0.475*44/12</f>
        <v>8.309467123526251E-5</v>
      </c>
      <c r="AC65" s="22">
        <f t="shared" si="3"/>
        <v>8.3741528640911884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9.1999999999999993</v>
      </c>
      <c r="AI65" s="13">
        <f>IF('Données projet'!$A$62&gt;35,AI64+AH65-AQ64,IF(A65&lt;'Données projet'!$A$62,$AF$205^A65,IF(A65='Données projet'!$A$62,'Données projet'!$B$62,AI64+AH65-AQ64)))</f>
        <v>348.39999999999975</v>
      </c>
      <c r="AJ65" s="13">
        <f>AI65*VLOOKUP('Données projet'!$B$10,Paramètres!$A$1:$I$89,3,0)*VLOOKUP('Données projet'!$B$10,Paramètres!$A$1:$I$89,5,0)</f>
        <v>208.34319999999988</v>
      </c>
      <c r="AK65" s="13">
        <f t="shared" si="35"/>
        <v>51.573366479945882</v>
      </c>
      <c r="AL65" s="20">
        <f t="shared" si="4"/>
        <v>452.68801995257218</v>
      </c>
      <c r="AM65" s="59">
        <f t="shared" si="5"/>
        <v>746.02135328590543</v>
      </c>
      <c r="AN65" s="59">
        <f ca="1">AVERAGE(OFFSET($AM$3,0,0,'Données projet'!$E$10+1,1))-AVERAGE(OFFSET($H$3,0,0,'Données projet'!$E$10+1,1))</f>
        <v>216.94426559495264</v>
      </c>
      <c r="AO65" s="59">
        <f t="shared" si="36"/>
        <v>225.33715877618704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5.2912690199037486</v>
      </c>
      <c r="AW65" s="21">
        <f>EXP(-LN(2)/2)*AW64+(1-EXP(-LN(2)/2))/(LN(2)/2)*AQ65*AT65*VLOOKUP('Données projet'!$B$10,Paramètres!$A$1:$I$89,3,0)*0.475*44/12</f>
        <v>3.620812969027553E-4</v>
      </c>
      <c r="AX65" s="21">
        <f t="shared" si="6"/>
        <v>5.2916311012006512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</v>
      </c>
      <c r="BD65" s="12">
        <f>IF('Données projet'!$A$88&gt;35,BD64+BC65-BL64,IF(A65&lt;'Données projet'!$A$88,$BA$205^A65,IF(A65='Données projet'!$A$88,'Données projet'!$B$88,BD64+BC65-BL64)))</f>
        <v>207.00000000000017</v>
      </c>
      <c r="BE65" s="13">
        <f>BD65*VLOOKUP('Données projet'!$B$11,Paramètres!$A$1:$I$89,3,0)*VLOOKUP('Données projet'!$B$11,Paramètres!$A$1:$I$89,5,0)</f>
        <v>187.29360000000014</v>
      </c>
      <c r="BF65" s="13">
        <f t="shared" si="37"/>
        <v>46.941107550760456</v>
      </c>
      <c r="BG65" s="20">
        <f t="shared" si="7"/>
        <v>407.95878231757462</v>
      </c>
      <c r="BH65" s="59">
        <f t="shared" si="8"/>
        <v>701.29211565090793</v>
      </c>
      <c r="BI65" s="59">
        <f ca="1">AVERAGE(OFFSET($BH$3,0,0,'Données projet'!$E$11+1,1))-AVERAGE(OFFSET($H$3,0,0,'Données projet'!$E$11+1,1))</f>
        <v>237.22177246688199</v>
      </c>
      <c r="BJ65" s="59">
        <f t="shared" si="38"/>
        <v>149.27472147904302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1.2790113895255759</v>
      </c>
      <c r="BR65" s="21">
        <f>EXP(-LN(2)/2)*BR64+(1-EXP(-LN(2)/2))/(LN(2)/2)*BL65*BO65*VLOOKUP('Données projet'!$B$11,Paramètres!$A$1:$I$89,3,0)*0.475*44/12</f>
        <v>9.4441953345160328E-5</v>
      </c>
      <c r="BS65" s="22">
        <f t="shared" si="9"/>
        <v>1.279105831478921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4.9000000000000004</v>
      </c>
      <c r="BY65" s="12">
        <f>IF('Données projet'!$A$114&gt;35,BY64+BX65-CG64,IF(A65&lt;'Données projet'!$A$114,$BV$205^A65,IF(A65='Données projet'!$A$114,'Données projet'!$B$114,BY64+BX65-CG64)))</f>
        <v>207.79999999999998</v>
      </c>
      <c r="BZ65" s="13">
        <f>BY65*VLOOKUP('Données projet'!$B$12,Paramètres!$A$1:$I$89,3,0)*VLOOKUP('Données projet'!$B$12,Paramètres!$A$1:$I$89,5,0)</f>
        <v>181.53407999999999</v>
      </c>
      <c r="CA65" s="13">
        <f t="shared" si="39"/>
        <v>45.663321943731901</v>
      </c>
      <c r="CB65" s="20">
        <f t="shared" si="10"/>
        <v>395.70214171866638</v>
      </c>
      <c r="CC65" s="59">
        <f t="shared" si="11"/>
        <v>689.0354750519997</v>
      </c>
      <c r="CD65" s="59">
        <f ca="1">AVERAGE(OFFSET($CC$3,0,0,'Données projet'!$E$12+1,1))-AVERAGE(OFFSET($H$3,0,0,'Données projet'!$E$12+1,1))</f>
        <v>223.81948236065614</v>
      </c>
      <c r="CE65" s="59">
        <f t="shared" si="40"/>
        <v>320.1204011431372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1.6305438640094962</v>
      </c>
      <c r="CL65" s="21">
        <f>EXP(-LN(2)/25)*CL64+(1-EXP(-LN(2)/25))/(LN(2)/25)*Calculateur!CG65*Calculateur!CI65*VLOOKUP('Données projet'!$B$12,Paramètres!$A$1:$I$89,3,0)*0.475*44/12</f>
        <v>7.285652799852758</v>
      </c>
      <c r="CM65" s="21">
        <f>EXP(-LN(2)/2)*CM64+(1-EXP(-LN(2)/2))/(LN(2)/2)*CG65*CJ65*VLOOKUP('Données projet'!$B$12,Paramètres!$A$1:$I$89,3,0)*0.475*44/12</f>
        <v>4.2373667616523309E-4</v>
      </c>
      <c r="CN65" s="22">
        <f t="shared" si="12"/>
        <v>8.9166204005384202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8.5</v>
      </c>
      <c r="CT65" s="12">
        <f>IF('Données projet'!$A$140&gt;35,CT64+CS65-DB64,IF(A65&lt;'Données projet'!$A$140,$CQ$205^A65,IF(A65='Données projet'!$A$140,'Données projet'!$B$140,CT64+CS65-DB64)))</f>
        <v>343.00000000000023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4.9000000000000004</v>
      </c>
      <c r="DO65" s="12">
        <f>IF('Données projet'!$A$166&gt;35,DO64+DN65-DW64,IF(A65&lt;'Données projet'!$A$166,$DL$205^A65,IF(A65='Données projet'!$A$166,'Données projet'!$B$166,DO64+DN65-DW64)))</f>
        <v>289.7999999999999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168.08890945052406</v>
      </c>
      <c r="T66" s="59">
        <f t="shared" si="34"/>
        <v>182.52462557642343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3.2316300387437162</v>
      </c>
      <c r="AA66" s="21">
        <f>EXP(-LN(2)/25)*AA65+(1-EXP(-LN(2)/25))/(LN(2)/25)*Calculateur!V66*Calculateur!X66*VLOOKUP('Données projet'!$B$9,Paramètres!$A$1:$I$89,3,0)*0.475*44/12</f>
        <v>4.9389491680731394</v>
      </c>
      <c r="AB66" s="21">
        <f>EXP(-LN(2)/2)*AB65+(1-EXP(-LN(2)/2))/(LN(2)/2)*V66*Y66*VLOOKUP('Données projet'!$B$9,Paramètres!$A$1:$I$89,3,0)*0.475*44/12</f>
        <v>5.8756805510920875E-5</v>
      </c>
      <c r="AC66" s="22">
        <f t="shared" si="3"/>
        <v>8.1706379636223669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9.1999999999999993</v>
      </c>
      <c r="AI66" s="13">
        <f>IF('Données projet'!$A$62&gt;35,AI65+AH66-AQ65,IF(A66&lt;'Données projet'!$A$62,$AF$205^A66,IF(A66='Données projet'!$A$62,'Données projet'!$B$62,AI65+AH66-AQ65)))</f>
        <v>357.59999999999974</v>
      </c>
      <c r="AJ66" s="13">
        <f>AI66*VLOOKUP('Données projet'!$B$10,Paramètres!$A$1:$I$89,3,0)*VLOOKUP('Données projet'!$B$10,Paramètres!$A$1:$I$89,5,0)</f>
        <v>213.84479999999988</v>
      </c>
      <c r="AK66" s="13">
        <f t="shared" si="35"/>
        <v>52.774882006161135</v>
      </c>
      <c r="AL66" s="20">
        <f t="shared" si="4"/>
        <v>464.36261282739719</v>
      </c>
      <c r="AM66" s="59">
        <f t="shared" si="5"/>
        <v>757.6959461607305</v>
      </c>
      <c r="AN66" s="59">
        <f ca="1">AVERAGE(OFFSET($AM$3,0,0,'Données projet'!$E$10+1,1))-AVERAGE(OFFSET($H$3,0,0,'Données projet'!$E$10+1,1))</f>
        <v>216.94426559495264</v>
      </c>
      <c r="AO66" s="59">
        <f t="shared" si="36"/>
        <v>225.33715877618704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5.1465789902987362</v>
      </c>
      <c r="AW66" s="21">
        <f>EXP(-LN(2)/2)*AW65+(1-EXP(-LN(2)/2))/(LN(2)/2)*AQ66*AT66*VLOOKUP('Données projet'!$B$10,Paramètres!$A$1:$I$89,3,0)*0.475*44/12</f>
        <v>2.5603014038075793E-4</v>
      </c>
      <c r="AX66" s="21">
        <f t="shared" si="6"/>
        <v>5.1468350204391173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</v>
      </c>
      <c r="BD66" s="12">
        <f>IF('Données projet'!$A$88&gt;35,BD65+BC66-BL65,IF(A66&lt;'Données projet'!$A$88,$BA$205^A66,IF(A66='Données projet'!$A$88,'Données projet'!$B$88,BD65+BC66-BL65)))</f>
        <v>214.00000000000017</v>
      </c>
      <c r="BE66" s="13">
        <f>BD66*VLOOKUP('Données projet'!$B$11,Paramètres!$A$1:$I$89,3,0)*VLOOKUP('Données projet'!$B$11,Paramètres!$A$1:$I$89,5,0)</f>
        <v>193.62720000000016</v>
      </c>
      <c r="BF66" s="13">
        <f t="shared" si="37"/>
        <v>48.340990547231236</v>
      </c>
      <c r="BG66" s="20">
        <f t="shared" si="7"/>
        <v>421.42793186976132</v>
      </c>
      <c r="BH66" s="59">
        <f t="shared" si="8"/>
        <v>714.76126520309458</v>
      </c>
      <c r="BI66" s="59">
        <f ca="1">AVERAGE(OFFSET($BH$3,0,0,'Données projet'!$E$11+1,1))-AVERAGE(OFFSET($H$3,0,0,'Données projet'!$E$11+1,1))</f>
        <v>237.22177246688199</v>
      </c>
      <c r="BJ66" s="59">
        <f t="shared" si="38"/>
        <v>149.27472147904302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1.2440367558187133</v>
      </c>
      <c r="BR66" s="21">
        <f>EXP(-LN(2)/2)*BR65+(1-EXP(-LN(2)/2))/(LN(2)/2)*BL66*BO66*VLOOKUP('Données projet'!$B$11,Paramètres!$A$1:$I$89,3,0)*0.475*44/12</f>
        <v>6.6780545638866413E-5</v>
      </c>
      <c r="BS66" s="22">
        <f t="shared" si="9"/>
        <v>1.2441035363643522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4.9000000000000004</v>
      </c>
      <c r="BY66" s="12">
        <f>IF('Données projet'!$A$114&gt;35,BY65+BX66-CG65,IF(A66&lt;'Données projet'!$A$114,$BV$205^A66,IF(A66='Données projet'!$A$114,'Données projet'!$B$114,BY65+BX66-CG65)))</f>
        <v>212.7</v>
      </c>
      <c r="BZ66" s="13">
        <f>BY66*VLOOKUP('Données projet'!$B$12,Paramètres!$A$1:$I$89,3,0)*VLOOKUP('Données projet'!$B$12,Paramètres!$A$1:$I$89,5,0)</f>
        <v>185.81472000000002</v>
      </c>
      <c r="CA66" s="13">
        <f t="shared" si="39"/>
        <v>46.613450769406725</v>
      </c>
      <c r="CB66" s="20">
        <f t="shared" si="10"/>
        <v>404.81239742338335</v>
      </c>
      <c r="CC66" s="59">
        <f t="shared" si="11"/>
        <v>698.1457307567166</v>
      </c>
      <c r="CD66" s="59">
        <f ca="1">AVERAGE(OFFSET($CC$3,0,0,'Données projet'!$E$12+1,1))-AVERAGE(OFFSET($H$3,0,0,'Données projet'!$E$12+1,1))</f>
        <v>223.81948236065614</v>
      </c>
      <c r="CE66" s="59">
        <f t="shared" si="40"/>
        <v>320.1204011431372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1.5985698933698251</v>
      </c>
      <c r="CL66" s="21">
        <f>EXP(-LN(2)/25)*CL65+(1-EXP(-LN(2)/25))/(LN(2)/25)*Calculateur!CG66*Calculateur!CI66*VLOOKUP('Données projet'!$B$12,Paramètres!$A$1:$I$89,3,0)*0.475*44/12</f>
        <v>7.086426240904955</v>
      </c>
      <c r="CM66" s="21">
        <f>EXP(-LN(2)/2)*CM65+(1-EXP(-LN(2)/2))/(LN(2)/2)*CG66*CJ66*VLOOKUP('Données projet'!$B$12,Paramètres!$A$1:$I$89,3,0)*0.475*44/12</f>
        <v>2.9962707715388442E-4</v>
      </c>
      <c r="CN66" s="22">
        <f t="shared" si="12"/>
        <v>8.6852957613519344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8.5</v>
      </c>
      <c r="CT66" s="12">
        <f>IF('Données projet'!$A$140&gt;35,CT65+CS66-DB65,IF(A66&lt;'Données projet'!$A$140,$CQ$205^A66,IF(A66='Données projet'!$A$140,'Données projet'!$B$140,CT65+CS66-DB65)))</f>
        <v>351.50000000000023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4.9000000000000004</v>
      </c>
      <c r="DO66" s="12">
        <f>IF('Données projet'!$A$166&gt;35,DO65+DN66-DW65,IF(A66&lt;'Données projet'!$A$166,$DL$205^A66,IF(A66='Données projet'!$A$166,'Données projet'!$B$166,DO65+DN66-DW65)))</f>
        <v>294.69999999999987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168.08890945052406</v>
      </c>
      <c r="T67" s="59">
        <f t="shared" si="34"/>
        <v>182.52462557642343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3.1682597447836458</v>
      </c>
      <c r="AA67" s="21">
        <f>EXP(-LN(2)/25)*AA66+(1-EXP(-LN(2)/25))/(LN(2)/25)*Calculateur!V67*Calculateur!X67*VLOOKUP('Données projet'!$B$9,Paramètres!$A$1:$I$89,3,0)*0.475*44/12</f>
        <v>4.8038933433441304</v>
      </c>
      <c r="AB67" s="21">
        <f>EXP(-LN(2)/2)*AB66+(1-EXP(-LN(2)/2))/(LN(2)/2)*V67*Y67*VLOOKUP('Données projet'!$B$9,Paramètres!$A$1:$I$89,3,0)*0.475*44/12</f>
        <v>4.1547335617631262E-5</v>
      </c>
      <c r="AC67" s="22">
        <f t="shared" si="3"/>
        <v>7.972194635463393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9.1999999999999993</v>
      </c>
      <c r="AI67" s="13">
        <f>IF('Données projet'!$A$62&gt;35,AI66+AH67-AQ66,IF(A67&lt;'Données projet'!$A$62,$AF$205^A67,IF(A67='Données projet'!$A$62,'Données projet'!$B$62,AI66+AH67-AQ66)))</f>
        <v>366.79999999999973</v>
      </c>
      <c r="AJ67" s="13">
        <f>AI67*VLOOKUP('Données projet'!$B$10,Paramètres!$A$1:$I$89,3,0)*VLOOKUP('Données projet'!$B$10,Paramètres!$A$1:$I$89,5,0)</f>
        <v>219.34639999999987</v>
      </c>
      <c r="AK67" s="13">
        <f t="shared" si="35"/>
        <v>53.972804400117923</v>
      </c>
      <c r="AL67" s="20">
        <f t="shared" si="4"/>
        <v>476.03094766353843</v>
      </c>
      <c r="AM67" s="59">
        <f t="shared" si="5"/>
        <v>769.36428099687168</v>
      </c>
      <c r="AN67" s="59">
        <f ca="1">AVERAGE(OFFSET($AM$3,0,0,'Données projet'!$E$10+1,1))-AVERAGE(OFFSET($H$3,0,0,'Données projet'!$E$10+1,1))</f>
        <v>216.94426559495264</v>
      </c>
      <c r="AO67" s="59">
        <f t="shared" si="36"/>
        <v>225.33715877618704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5.0058455171621912</v>
      </c>
      <c r="AW67" s="21">
        <f>EXP(-LN(2)/2)*AW66+(1-EXP(-LN(2)/2))/(LN(2)/2)*AQ67*AT67*VLOOKUP('Données projet'!$B$10,Paramètres!$A$1:$I$89,3,0)*0.475*44/12</f>
        <v>1.8104064845137765E-4</v>
      </c>
      <c r="AX67" s="21">
        <f t="shared" si="6"/>
        <v>5.0060265578106424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</v>
      </c>
      <c r="BD67" s="12">
        <f>IF('Données projet'!$A$88&gt;35,BD66+BC67-BL66,IF(A67&lt;'Données projet'!$A$88,$BA$205^A67,IF(A67='Données projet'!$A$88,'Données projet'!$B$88,BD66+BC67-BL66)))</f>
        <v>221.00000000000017</v>
      </c>
      <c r="BE67" s="13">
        <f>BD67*VLOOKUP('Données projet'!$B$11,Paramètres!$A$1:$I$89,3,0)*VLOOKUP('Données projet'!$B$11,Paramètres!$A$1:$I$89,5,0)</f>
        <v>199.96080000000015</v>
      </c>
      <c r="BF67" s="13">
        <f t="shared" si="37"/>
        <v>49.735552653569265</v>
      </c>
      <c r="BG67" s="20">
        <f t="shared" si="7"/>
        <v>434.88781420496679</v>
      </c>
      <c r="BH67" s="59">
        <f t="shared" si="8"/>
        <v>728.2211475383001</v>
      </c>
      <c r="BI67" s="59">
        <f ca="1">AVERAGE(OFFSET($BH$3,0,0,'Données projet'!$E$11+1,1))-AVERAGE(OFFSET($H$3,0,0,'Données projet'!$E$11+1,1))</f>
        <v>237.22177246688199</v>
      </c>
      <c r="BJ67" s="59">
        <f t="shared" si="38"/>
        <v>149.27472147904302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1.2100185053098009</v>
      </c>
      <c r="BR67" s="21">
        <f>EXP(-LN(2)/2)*BR66+(1-EXP(-LN(2)/2))/(LN(2)/2)*BL67*BO67*VLOOKUP('Données projet'!$B$11,Paramètres!$A$1:$I$89,3,0)*0.475*44/12</f>
        <v>4.7220976672580164E-5</v>
      </c>
      <c r="BS67" s="22">
        <f t="shared" si="9"/>
        <v>1.2100657262864736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4.9000000000000004</v>
      </c>
      <c r="BY67" s="12">
        <f>IF('Données projet'!$A$114&gt;35,BY66+BX67-CG66,IF(A67&lt;'Données projet'!$A$114,$BV$205^A67,IF(A67='Données projet'!$A$114,'Données projet'!$B$114,BY66+BX67-CG66)))</f>
        <v>217.6</v>
      </c>
      <c r="BZ67" s="13">
        <f>BY67*VLOOKUP('Données projet'!$B$12,Paramètres!$A$1:$I$89,3,0)*VLOOKUP('Données projet'!$B$12,Paramètres!$A$1:$I$89,5,0)</f>
        <v>190.09536000000003</v>
      </c>
      <c r="CA67" s="13">
        <f t="shared" si="39"/>
        <v>47.56103497756866</v>
      </c>
      <c r="CB67" s="20">
        <f t="shared" si="10"/>
        <v>413.91822125259881</v>
      </c>
      <c r="CC67" s="59">
        <f t="shared" si="11"/>
        <v>707.25155458593213</v>
      </c>
      <c r="CD67" s="59">
        <f ca="1">AVERAGE(OFFSET($CC$3,0,0,'Données projet'!$E$12+1,1))-AVERAGE(OFFSET($H$3,0,0,'Données projet'!$E$12+1,1))</f>
        <v>223.81948236065614</v>
      </c>
      <c r="CE67" s="59">
        <f t="shared" si="40"/>
        <v>320.1204011431372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1.5672229127922015</v>
      </c>
      <c r="CL67" s="21">
        <f>EXP(-LN(2)/25)*CL66+(1-EXP(-LN(2)/25))/(LN(2)/25)*Calculateur!CG67*Calculateur!CI67*VLOOKUP('Données projet'!$B$12,Paramètres!$A$1:$I$89,3,0)*0.475*44/12</f>
        <v>6.892647542688449</v>
      </c>
      <c r="CM67" s="21">
        <f>EXP(-LN(2)/2)*CM66+(1-EXP(-LN(2)/2))/(LN(2)/2)*CG67*CJ67*VLOOKUP('Données projet'!$B$12,Paramètres!$A$1:$I$89,3,0)*0.475*44/12</f>
        <v>2.1186833808261655E-4</v>
      </c>
      <c r="CN67" s="22">
        <f t="shared" si="12"/>
        <v>8.4600823238187335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8.5</v>
      </c>
      <c r="CT67" s="12">
        <f>IF('Données projet'!$A$140&gt;35,CT66+CS67-DB66,IF(A67&lt;'Données projet'!$A$140,$CQ$205^A67,IF(A67='Données projet'!$A$140,'Données projet'!$B$140,CT66+CS67-DB66)))</f>
        <v>360.00000000000023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4.9000000000000004</v>
      </c>
      <c r="DO67" s="12">
        <f>IF('Données projet'!$A$166&gt;35,DO66+DN67-DW66,IF(A67&lt;'Données projet'!$A$166,$DL$205^A67,IF(A67='Données projet'!$A$166,'Données projet'!$B$166,DO66+DN67-DW66)))</f>
        <v>299.59999999999985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168.08890945052406</v>
      </c>
      <c r="T68" s="59">
        <f t="shared" si="34"/>
        <v>182.52462557642343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3.1061321036360696</v>
      </c>
      <c r="AA68" s="21">
        <f>EXP(-LN(2)/25)*AA67+(1-EXP(-LN(2)/25))/(LN(2)/25)*Calculateur!V68*Calculateur!X68*VLOOKUP('Données projet'!$B$9,Paramètres!$A$1:$I$89,3,0)*0.475*44/12</f>
        <v>4.6725306272446137</v>
      </c>
      <c r="AB68" s="21">
        <f>EXP(-LN(2)/2)*AB67+(1-EXP(-LN(2)/2))/(LN(2)/2)*V68*Y68*VLOOKUP('Données projet'!$B$9,Paramètres!$A$1:$I$89,3,0)*0.475*44/12</f>
        <v>2.9378402755460444E-5</v>
      </c>
      <c r="AC68" s="22">
        <f t="shared" ref="AC68:AC131" si="57">SUM(Z68:AB68)</f>
        <v>7.7786921092834387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9.1999999999999993</v>
      </c>
      <c r="AI68" s="13">
        <f>IF('Données projet'!$A$62&gt;35,AI67+AH68-AQ67,IF(A68&lt;'Données projet'!$A$62,$AF$205^A68,IF(A68='Données projet'!$A$62,'Données projet'!$B$62,AI67+AH68-AQ67)))</f>
        <v>375.99999999999972</v>
      </c>
      <c r="AJ68" s="13">
        <f>AI68*VLOOKUP('Données projet'!$B$10,Paramètres!$A$1:$I$89,3,0)*VLOOKUP('Données projet'!$B$10,Paramètres!$A$1:$I$89,5,0)</f>
        <v>224.84799999999984</v>
      </c>
      <c r="AK68" s="13">
        <f t="shared" si="35"/>
        <v>55.167234148809698</v>
      </c>
      <c r="AL68" s="20">
        <f t="shared" ref="AL68:AL131" si="58">(AJ68+AK68)*0.475*44/12</f>
        <v>487.69319947584319</v>
      </c>
      <c r="AM68" s="59">
        <f t="shared" ref="AM68:AM131" si="59">AL68+(AD68+AE68)*44/12</f>
        <v>781.0265328091765</v>
      </c>
      <c r="AN68" s="59">
        <f ca="1">AVERAGE(OFFSET($AM$3,0,0,'Données projet'!$E$10+1,1))-AVERAGE(OFFSET($H$3,0,0,'Données projet'!$E$10+1,1))</f>
        <v>216.94426559495264</v>
      </c>
      <c r="AO68" s="59">
        <f t="shared" si="36"/>
        <v>225.33715877618704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4.868960408249416</v>
      </c>
      <c r="AW68" s="21">
        <f>EXP(-LN(2)/2)*AW67+(1-EXP(-LN(2)/2))/(LN(2)/2)*AQ68*AT68*VLOOKUP('Données projet'!$B$10,Paramètres!$A$1:$I$89,3,0)*0.475*44/12</f>
        <v>1.2801507019037897E-4</v>
      </c>
      <c r="AX68" s="21">
        <f t="shared" ref="AX68:AX131" si="60">SUM(AU68:AW68)</f>
        <v>4.8690884233196066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7</v>
      </c>
      <c r="BD68" s="12">
        <f>IF('Données projet'!$A$88&gt;35,BD67+BC68-BL67,IF(A68&lt;'Données projet'!$A$88,$BA$205^A68,IF(A68='Données projet'!$A$88,'Données projet'!$B$88,BD67+BC68-BL67)))</f>
        <v>228.00000000000017</v>
      </c>
      <c r="BE68" s="13">
        <f>BD68*VLOOKUP('Données projet'!$B$11,Paramètres!$A$1:$I$89,3,0)*VLOOKUP('Données projet'!$B$11,Paramètres!$A$1:$I$89,5,0)</f>
        <v>206.29440000000017</v>
      </c>
      <c r="BF68" s="13">
        <f t="shared" si="37"/>
        <v>51.124981739560774</v>
      </c>
      <c r="BG68" s="20">
        <f t="shared" ref="BG68:BG131" si="61">(BE68+BF68)*0.475*44/12</f>
        <v>448.33875652973529</v>
      </c>
      <c r="BH68" s="59">
        <f t="shared" ref="BH68:BH131" si="62">BG68+(AY68+AZ68)*44/12</f>
        <v>741.67208986306855</v>
      </c>
      <c r="BI68" s="59">
        <f ca="1">AVERAGE(OFFSET($BH$3,0,0,'Données projet'!$E$11+1,1))-AVERAGE(OFFSET($H$3,0,0,'Données projet'!$E$11+1,1))</f>
        <v>237.22177246688199</v>
      </c>
      <c r="BJ68" s="59">
        <f t="shared" si="38"/>
        <v>149.27472147904302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1.1769304856499967</v>
      </c>
      <c r="BR68" s="21">
        <f>EXP(-LN(2)/2)*BR67+(1-EXP(-LN(2)/2))/(LN(2)/2)*BL68*BO68*VLOOKUP('Données projet'!$B$11,Paramètres!$A$1:$I$89,3,0)*0.475*44/12</f>
        <v>3.3390272819433207E-5</v>
      </c>
      <c r="BS68" s="22">
        <f t="shared" ref="BS68:BS131" si="63">SUM(BP68:BR68)</f>
        <v>1.176963875922816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4.9000000000000004</v>
      </c>
      <c r="BY68" s="12">
        <f>IF('Données projet'!$A$114&gt;35,BY67+BX68-CG67,IF(A68&lt;'Données projet'!$A$114,$BV$205^A68,IF(A68='Données projet'!$A$114,'Données projet'!$B$114,BY67+BX68-CG67)))</f>
        <v>222.5</v>
      </c>
      <c r="BZ68" s="13">
        <f>BY68*VLOOKUP('Données projet'!$B$12,Paramètres!$A$1:$I$89,3,0)*VLOOKUP('Données projet'!$B$12,Paramètres!$A$1:$I$89,5,0)</f>
        <v>194.37600000000003</v>
      </c>
      <c r="CA68" s="13">
        <f t="shared" si="39"/>
        <v>48.506138465833132</v>
      </c>
      <c r="CB68" s="20">
        <f t="shared" ref="CB68:CB131" si="64">(BZ68+CA68)*0.475*44/12</f>
        <v>423.01972449465944</v>
      </c>
      <c r="CC68" s="59">
        <f t="shared" ref="CC68:CC131" si="65">CB68+(BT68+BU68)*44/12</f>
        <v>716.35305782799276</v>
      </c>
      <c r="CD68" s="59">
        <f ca="1">AVERAGE(OFFSET($CC$3,0,0,'Données projet'!$E$12+1,1))-AVERAGE(OFFSET($H$3,0,0,'Données projet'!$E$12+1,1))</f>
        <v>223.81948236065614</v>
      </c>
      <c r="CE68" s="59">
        <f t="shared" si="40"/>
        <v>320.1204011431372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1.5364906273839347</v>
      </c>
      <c r="CL68" s="21">
        <f>EXP(-LN(2)/25)*CL67+(1-EXP(-LN(2)/25))/(LN(2)/25)*Calculateur!CG68*Calculateur!CI68*VLOOKUP('Données projet'!$B$12,Paramètres!$A$1:$I$89,3,0)*0.475*44/12</f>
        <v>6.7041677331650522</v>
      </c>
      <c r="CM68" s="21">
        <f>EXP(-LN(2)/2)*CM67+(1-EXP(-LN(2)/2))/(LN(2)/2)*CG68*CJ68*VLOOKUP('Données projet'!$B$12,Paramètres!$A$1:$I$89,3,0)*0.475*44/12</f>
        <v>1.4981353857694221E-4</v>
      </c>
      <c r="CN68" s="22">
        <f t="shared" ref="CN68:CN131" si="66">SUM(CK68:CM68)</f>
        <v>8.2408081740875652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8.5</v>
      </c>
      <c r="CT68" s="12">
        <f>IF('Données projet'!$A$140&gt;35,CT67+CS68-DB67,IF(A68&lt;'Données projet'!$A$140,$CQ$205^A68,IF(A68='Données projet'!$A$140,'Données projet'!$B$140,CT67+CS68-DB67)))</f>
        <v>368.50000000000023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4.9000000000000004</v>
      </c>
      <c r="DO68" s="12">
        <f>IF('Données projet'!$A$166&gt;35,DO67+DN68-DW67,IF(A68&lt;'Données projet'!$A$166,$DL$205^A68,IF(A68='Données projet'!$A$166,'Données projet'!$B$166,DO67+DN68-DW67)))</f>
        <v>304.49999999999983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168.08890945052406</v>
      </c>
      <c r="T69" s="59">
        <f t="shared" ref="T69:T132" si="88">$T$3</f>
        <v>182.52462557642343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3.0452227476372777</v>
      </c>
      <c r="AA69" s="21">
        <f>EXP(-LN(2)/25)*AA68+(1-EXP(-LN(2)/25))/(LN(2)/25)*Calculateur!V69*Calculateur!X69*VLOOKUP('Données projet'!$B$9,Paramètres!$A$1:$I$89,3,0)*0.475*44/12</f>
        <v>4.5447600315249028</v>
      </c>
      <c r="AB69" s="21">
        <f>EXP(-LN(2)/2)*AB68+(1-EXP(-LN(2)/2))/(LN(2)/2)*V69*Y69*VLOOKUP('Données projet'!$B$9,Paramètres!$A$1:$I$89,3,0)*0.475*44/12</f>
        <v>2.0773667808815634E-5</v>
      </c>
      <c r="AC69" s="22">
        <f t="shared" si="57"/>
        <v>7.5900035528299901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9.1999999999999993</v>
      </c>
      <c r="AI69" s="13">
        <f>IF('Données projet'!$A$62&gt;35,AI68+AH69-AQ68,IF(A69&lt;'Données projet'!$A$62,$AF$205^A69,IF(A69='Données projet'!$A$62,'Données projet'!$B$62,AI68+AH69-AQ68)))</f>
        <v>385.1999999999997</v>
      </c>
      <c r="AJ69" s="13">
        <f>AI69*VLOOKUP('Données projet'!$B$10,Paramètres!$A$1:$I$89,3,0)*VLOOKUP('Données projet'!$B$10,Paramètres!$A$1:$I$89,5,0)</f>
        <v>230.34959999999984</v>
      </c>
      <c r="AK69" s="13">
        <f t="shared" ref="AK69:AK132" si="89">EXP(-1.0587+0.8836*LN(AJ69)+0.284)</f>
        <v>56.358266541426261</v>
      </c>
      <c r="AL69" s="20">
        <f t="shared" si="58"/>
        <v>499.34953422631708</v>
      </c>
      <c r="AM69" s="59">
        <f t="shared" si="59"/>
        <v>792.68286755965039</v>
      </c>
      <c r="AN69" s="59">
        <f ca="1">AVERAGE(OFFSET($AM$3,0,0,'Données projet'!$E$10+1,1))-AVERAGE(OFFSET($H$3,0,0,'Données projet'!$E$10+1,1))</f>
        <v>216.94426559495264</v>
      </c>
      <c r="AO69" s="59">
        <f t="shared" ref="AO69:AO132" si="90">$AO$3</f>
        <v>225.33715877618704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4.7358184298383357</v>
      </c>
      <c r="AW69" s="21">
        <f>EXP(-LN(2)/2)*AW68+(1-EXP(-LN(2)/2))/(LN(2)/2)*AQ69*AT69*VLOOKUP('Données projet'!$B$10,Paramètres!$A$1:$I$89,3,0)*0.475*44/12</f>
        <v>9.0520324225688826E-5</v>
      </c>
      <c r="AX69" s="21">
        <f t="shared" si="60"/>
        <v>4.7359089501625613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7</v>
      </c>
      <c r="BD69" s="12">
        <f>IF('Données projet'!$A$88&gt;35,BD68+BC69-BL68,IF(A69&lt;'Données projet'!$A$88,$BA$205^A69,IF(A69='Données projet'!$A$88,'Données projet'!$B$88,BD68+BC69-BL68)))</f>
        <v>235.00000000000017</v>
      </c>
      <c r="BE69" s="13">
        <f>BD69*VLOOKUP('Données projet'!$B$11,Paramètres!$A$1:$I$89,3,0)*VLOOKUP('Données projet'!$B$11,Paramètres!$A$1:$I$89,5,0)</f>
        <v>212.62800000000016</v>
      </c>
      <c r="BF69" s="13">
        <f t="shared" ref="BF69:BF132" si="91">EXP(-1.0587+0.8836*LN(BE69)+0.284)</f>
        <v>52.509453483719085</v>
      </c>
      <c r="BG69" s="20">
        <f t="shared" si="61"/>
        <v>461.78106481747767</v>
      </c>
      <c r="BH69" s="59">
        <f t="shared" si="62"/>
        <v>755.11439815081098</v>
      </c>
      <c r="BI69" s="59">
        <f ca="1">AVERAGE(OFFSET($BH$3,0,0,'Données projet'!$E$11+1,1))-AVERAGE(OFFSET($H$3,0,0,'Données projet'!$E$11+1,1))</f>
        <v>237.22177246688199</v>
      </c>
      <c r="BJ69" s="59">
        <f t="shared" ref="BJ69:BJ132" si="92">$BJ$3</f>
        <v>149.27472147904302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1.1447472596278132</v>
      </c>
      <c r="BR69" s="21">
        <f>EXP(-LN(2)/2)*BR68+(1-EXP(-LN(2)/2))/(LN(2)/2)*BL69*BO69*VLOOKUP('Données projet'!$B$11,Paramètres!$A$1:$I$89,3,0)*0.475*44/12</f>
        <v>2.3610488336290082E-5</v>
      </c>
      <c r="BS69" s="22">
        <f t="shared" si="63"/>
        <v>1.1447708701161494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4.9000000000000004</v>
      </c>
      <c r="BY69" s="12">
        <f>IF('Données projet'!$A$114&gt;35,BY68+BX69-CG68,IF(A69&lt;'Données projet'!$A$114,$BV$205^A69,IF(A69='Données projet'!$A$114,'Données projet'!$B$114,BY68+BX69-CG68)))</f>
        <v>227.4</v>
      </c>
      <c r="BZ69" s="13">
        <f>BY69*VLOOKUP('Données projet'!$B$12,Paramètres!$A$1:$I$89,3,0)*VLOOKUP('Données projet'!$B$12,Paramètres!$A$1:$I$89,5,0)</f>
        <v>198.65664000000001</v>
      </c>
      <c r="CA69" s="13">
        <f t="shared" ref="CA69:CA132" si="93">EXP(-1.0587+0.8836*LN(BZ69)+0.284)</f>
        <v>49.448822156743425</v>
      </c>
      <c r="CB69" s="20">
        <f t="shared" si="64"/>
        <v>432.11701325632816</v>
      </c>
      <c r="CC69" s="59">
        <f t="shared" si="65"/>
        <v>725.45034658966142</v>
      </c>
      <c r="CD69" s="59">
        <f ca="1">AVERAGE(OFFSET($CC$3,0,0,'Données projet'!$E$12+1,1))-AVERAGE(OFFSET($H$3,0,0,'Données projet'!$E$12+1,1))</f>
        <v>223.81948236065614</v>
      </c>
      <c r="CE69" s="59">
        <f t="shared" ref="CE69:CE132" si="94">$CE$3</f>
        <v>320.1204011431372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1.506360983347681</v>
      </c>
      <c r="CL69" s="21">
        <f>EXP(-LN(2)/25)*CL68+(1-EXP(-LN(2)/25))/(LN(2)/25)*Calculateur!CG69*Calculateur!CI69*VLOOKUP('Données projet'!$B$12,Paramètres!$A$1:$I$89,3,0)*0.475*44/12</f>
        <v>6.5208419139447953</v>
      </c>
      <c r="CM69" s="21">
        <f>EXP(-LN(2)/2)*CM68+(1-EXP(-LN(2)/2))/(LN(2)/2)*CG69*CJ69*VLOOKUP('Données projet'!$B$12,Paramètres!$A$1:$I$89,3,0)*0.475*44/12</f>
        <v>1.0593416904130827E-4</v>
      </c>
      <c r="CN69" s="22">
        <f t="shared" si="66"/>
        <v>8.027308831461518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8.5</v>
      </c>
      <c r="CT69" s="12">
        <f>IF('Données projet'!$A$140&gt;35,CT68+CS69-DB68,IF(A69&lt;'Données projet'!$A$140,$CQ$205^A69,IF(A69='Données projet'!$A$140,'Données projet'!$B$140,CT68+CS69-DB68)))</f>
        <v>377.00000000000023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4.9000000000000004</v>
      </c>
      <c r="DO69" s="12">
        <f>IF('Données projet'!$A$166&gt;35,DO68+DN69-DW68,IF(A69&lt;'Données projet'!$A$166,$DL$205^A69,IF(A69='Données projet'!$A$166,'Données projet'!$B$166,DO68+DN69-DW68)))</f>
        <v>309.39999999999981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168.08890945052406</v>
      </c>
      <c r="T70" s="59">
        <f t="shared" si="88"/>
        <v>182.52462557642343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2.9855077869585833</v>
      </c>
      <c r="AA70" s="21">
        <f>EXP(-LN(2)/25)*AA69+(1-EXP(-LN(2)/25))/(LN(2)/25)*Calculateur!V70*Calculateur!X70*VLOOKUP('Données projet'!$B$9,Paramètres!$A$1:$I$89,3,0)*0.475*44/12</f>
        <v>4.4204833294643118</v>
      </c>
      <c r="AB70" s="21">
        <f>EXP(-LN(2)/2)*AB69+(1-EXP(-LN(2)/2))/(LN(2)/2)*V70*Y70*VLOOKUP('Données projet'!$B$9,Paramètres!$A$1:$I$89,3,0)*0.475*44/12</f>
        <v>1.4689201377730224E-5</v>
      </c>
      <c r="AC70" s="22">
        <f t="shared" si="57"/>
        <v>7.4060058056242726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9.1999999999999993</v>
      </c>
      <c r="AI70" s="13">
        <f>IF('Données projet'!$A$62&gt;35,AI69+AH70-AQ69,IF(A70&lt;'Données projet'!$A$62,$AF$205^A70,IF(A70='Données projet'!$A$62,'Données projet'!$B$62,AI69+AH70-AQ69)))</f>
        <v>394.39999999999969</v>
      </c>
      <c r="AJ70" s="13">
        <f>AI70*VLOOKUP('Données projet'!$B$10,Paramètres!$A$1:$I$89,3,0)*VLOOKUP('Données projet'!$B$10,Paramètres!$A$1:$I$89,5,0)</f>
        <v>235.85119999999984</v>
      </c>
      <c r="AK70" s="13">
        <f t="shared" si="89"/>
        <v>57.545992055843016</v>
      </c>
      <c r="AL70" s="20">
        <f t="shared" si="58"/>
        <v>511.0001094972597</v>
      </c>
      <c r="AM70" s="59">
        <f t="shared" si="59"/>
        <v>804.33344283059296</v>
      </c>
      <c r="AN70" s="59">
        <f ca="1">AVERAGE(OFFSET($AM$3,0,0,'Données projet'!$E$10+1,1))-AVERAGE(OFFSET($H$3,0,0,'Données projet'!$E$10+1,1))</f>
        <v>216.94426559495264</v>
      </c>
      <c r="AO70" s="59">
        <f t="shared" si="90"/>
        <v>225.33715877618704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4.6063172258285388</v>
      </c>
      <c r="AW70" s="21">
        <f>EXP(-LN(2)/2)*AW69+(1-EXP(-LN(2)/2))/(LN(2)/2)*AQ70*AT70*VLOOKUP('Données projet'!$B$10,Paramètres!$A$1:$I$89,3,0)*0.475*44/12</f>
        <v>6.4007535095189484E-5</v>
      </c>
      <c r="AX70" s="21">
        <f t="shared" si="60"/>
        <v>4.606381233363634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7</v>
      </c>
      <c r="BD70" s="12">
        <f>IF('Données projet'!$A$88&gt;35,BD69+BC70-BL69,IF(A70&lt;'Données projet'!$A$88,$BA$205^A70,IF(A70='Données projet'!$A$88,'Données projet'!$B$88,BD69+BC70-BL69)))</f>
        <v>242.00000000000017</v>
      </c>
      <c r="BE70" s="13">
        <f>BD70*VLOOKUP('Données projet'!$B$11,Paramètres!$A$1:$I$89,3,0)*VLOOKUP('Données projet'!$B$11,Paramètres!$A$1:$I$89,5,0)</f>
        <v>218.96160000000017</v>
      </c>
      <c r="BF70" s="13">
        <f t="shared" si="91"/>
        <v>53.889132503707479</v>
      </c>
      <c r="BG70" s="20">
        <f t="shared" si="61"/>
        <v>475.2150257772908</v>
      </c>
      <c r="BH70" s="59">
        <f t="shared" si="62"/>
        <v>768.54835911062412</v>
      </c>
      <c r="BI70" s="59">
        <f ca="1">AVERAGE(OFFSET($BH$3,0,0,'Données projet'!$E$11+1,1))-AVERAGE(OFFSET($H$3,0,0,'Données projet'!$E$11+1,1))</f>
        <v>237.22177246688199</v>
      </c>
      <c r="BJ70" s="59">
        <f t="shared" si="92"/>
        <v>149.27472147904302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1.1134440856136487</v>
      </c>
      <c r="BR70" s="21">
        <f>EXP(-LN(2)/2)*BR69+(1-EXP(-LN(2)/2))/(LN(2)/2)*BL70*BO70*VLOOKUP('Données projet'!$B$11,Paramètres!$A$1:$I$89,3,0)*0.475*44/12</f>
        <v>1.6695136409716603E-5</v>
      </c>
      <c r="BS70" s="22">
        <f t="shared" si="63"/>
        <v>1.1134607807500585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4.9000000000000004</v>
      </c>
      <c r="BY70" s="12">
        <f>IF('Données projet'!$A$114&gt;35,BY69+BX70-CG69,IF(A70&lt;'Données projet'!$A$114,$BV$205^A70,IF(A70='Données projet'!$A$114,'Données projet'!$B$114,BY69+BX70-CG69)))</f>
        <v>232.3</v>
      </c>
      <c r="BZ70" s="13">
        <f>BY70*VLOOKUP('Données projet'!$B$12,Paramètres!$A$1:$I$89,3,0)*VLOOKUP('Données projet'!$B$12,Paramètres!$A$1:$I$89,5,0)</f>
        <v>202.93728000000004</v>
      </c>
      <c r="CA70" s="13">
        <f t="shared" si="93"/>
        <v>50.389144197364736</v>
      </c>
      <c r="CB70" s="20">
        <f t="shared" si="64"/>
        <v>441.21018881041033</v>
      </c>
      <c r="CC70" s="59">
        <f t="shared" si="65"/>
        <v>734.54352214374364</v>
      </c>
      <c r="CD70" s="59">
        <f ca="1">AVERAGE(OFFSET($CC$3,0,0,'Données projet'!$E$12+1,1))-AVERAGE(OFFSET($H$3,0,0,'Données projet'!$E$12+1,1))</f>
        <v>223.81948236065614</v>
      </c>
      <c r="CE70" s="59">
        <f t="shared" si="94"/>
        <v>320.1204011431372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1.47682216325371</v>
      </c>
      <c r="CL70" s="21">
        <f>EXP(-LN(2)/25)*CL69+(1-EXP(-LN(2)/25))/(LN(2)/25)*Calculateur!CG70*Calculateur!CI70*VLOOKUP('Données projet'!$B$12,Paramètres!$A$1:$I$89,3,0)*0.475*44/12</f>
        <v>6.3425291488918019</v>
      </c>
      <c r="CM70" s="21">
        <f>EXP(-LN(2)/2)*CM69+(1-EXP(-LN(2)/2))/(LN(2)/2)*CG70*CJ70*VLOOKUP('Données projet'!$B$12,Paramètres!$A$1:$I$89,3,0)*0.475*44/12</f>
        <v>7.4906769288471105E-5</v>
      </c>
      <c r="CN70" s="22">
        <f t="shared" si="66"/>
        <v>7.8194262189148009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8.5</v>
      </c>
      <c r="CT70" s="12">
        <f>IF('Données projet'!$A$140&gt;35,CT69+CS70-DB69,IF(A70&lt;'Données projet'!$A$140,$CQ$205^A70,IF(A70='Données projet'!$A$140,'Données projet'!$B$140,CT69+CS70-DB69)))</f>
        <v>385.50000000000023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4.9000000000000004</v>
      </c>
      <c r="DO70" s="12">
        <f>IF('Données projet'!$A$166&gt;35,DO69+DN70-DW69,IF(A70&lt;'Données projet'!$A$166,$DL$205^A70,IF(A70='Données projet'!$A$166,'Données projet'!$B$166,DO69+DN70-DW69)))</f>
        <v>314.29999999999978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168.08890945052406</v>
      </c>
      <c r="T71" s="59">
        <f t="shared" si="88"/>
        <v>182.52462557642343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2.9269638002362686</v>
      </c>
      <c r="AA71" s="21">
        <f>EXP(-LN(2)/25)*AA70+(1-EXP(-LN(2)/25))/(LN(2)/25)*Calculateur!V71*Calculateur!X71*VLOOKUP('Données projet'!$B$9,Paramètres!$A$1:$I$89,3,0)*0.475*44/12</f>
        <v>4.2996049803569951</v>
      </c>
      <c r="AB71" s="21">
        <f>EXP(-LN(2)/2)*AB70+(1-EXP(-LN(2)/2))/(LN(2)/2)*V71*Y71*VLOOKUP('Données projet'!$B$9,Paramètres!$A$1:$I$89,3,0)*0.475*44/12</f>
        <v>1.0386833904407819E-5</v>
      </c>
      <c r="AC71" s="22">
        <f t="shared" si="57"/>
        <v>7.2265791674271673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9.1999999999999993</v>
      </c>
      <c r="AI71" s="13">
        <f>IF('Données projet'!$A$62&gt;35,AI70+AH71-AQ70,IF(A71&lt;'Données projet'!$A$62,$AF$205^A71,IF(A71='Données projet'!$A$62,'Données projet'!$B$62,AI70+AH71-AQ70)))</f>
        <v>403.59999999999968</v>
      </c>
      <c r="AJ71" s="13">
        <f>AI71*VLOOKUP('Données projet'!$B$10,Paramètres!$A$1:$I$89,3,0)*VLOOKUP('Données projet'!$B$10,Paramètres!$A$1:$I$89,5,0)</f>
        <v>241.35279999999983</v>
      </c>
      <c r="AK71" s="13">
        <f t="shared" si="89"/>
        <v>58.730496708031964</v>
      </c>
      <c r="AL71" s="20">
        <f t="shared" si="58"/>
        <v>522.64507509982207</v>
      </c>
      <c r="AM71" s="59">
        <f t="shared" si="59"/>
        <v>815.97840843315544</v>
      </c>
      <c r="AN71" s="59">
        <f ca="1">AVERAGE(OFFSET($AM$3,0,0,'Données projet'!$E$10+1,1))-AVERAGE(OFFSET($H$3,0,0,'Données projet'!$E$10+1,1))</f>
        <v>216.94426559495264</v>
      </c>
      <c r="AO71" s="59">
        <f t="shared" si="90"/>
        <v>225.33715877618704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4.4803572390525623</v>
      </c>
      <c r="AW71" s="21">
        <f>EXP(-LN(2)/2)*AW70+(1-EXP(-LN(2)/2))/(LN(2)/2)*AQ71*AT71*VLOOKUP('Données projet'!$B$10,Paramètres!$A$1:$I$89,3,0)*0.475*44/12</f>
        <v>4.5260162112844413E-5</v>
      </c>
      <c r="AX71" s="21">
        <f t="shared" si="60"/>
        <v>4.4804024992146756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7</v>
      </c>
      <c r="BD71" s="12">
        <f>IF('Données projet'!$A$88&gt;35,BD70+BC71-BL70,IF(A71&lt;'Données projet'!$A$88,$BA$205^A71,IF(A71='Données projet'!$A$88,'Données projet'!$B$88,BD70+BC71-BL70)))</f>
        <v>249.00000000000017</v>
      </c>
      <c r="BE71" s="13">
        <f>BD71*VLOOKUP('Données projet'!$B$11,Paramètres!$A$1:$I$89,3,0)*VLOOKUP('Données projet'!$B$11,Paramètres!$A$1:$I$89,5,0)</f>
        <v>225.29520000000016</v>
      </c>
      <c r="BF71" s="13">
        <f t="shared" si="91"/>
        <v>55.264173352293128</v>
      </c>
      <c r="BG71" s="20">
        <f t="shared" si="61"/>
        <v>488.64090858857736</v>
      </c>
      <c r="BH71" s="59">
        <f t="shared" si="62"/>
        <v>781.97424192191068</v>
      </c>
      <c r="BI71" s="59">
        <f ca="1">AVERAGE(OFFSET($BH$3,0,0,'Données projet'!$E$11+1,1))-AVERAGE(OFFSET($H$3,0,0,'Données projet'!$E$11+1,1))</f>
        <v>237.22177246688199</v>
      </c>
      <c r="BJ71" s="59">
        <f t="shared" si="92"/>
        <v>149.27472147904302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1.0829968985390639</v>
      </c>
      <c r="BR71" s="21">
        <f>EXP(-LN(2)/2)*BR70+(1-EXP(-LN(2)/2))/(LN(2)/2)*BL71*BO71*VLOOKUP('Données projet'!$B$11,Paramètres!$A$1:$I$89,3,0)*0.475*44/12</f>
        <v>1.1805244168145041E-5</v>
      </c>
      <c r="BS71" s="22">
        <f t="shared" si="63"/>
        <v>1.0830087037832321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4.9000000000000004</v>
      </c>
      <c r="BY71" s="12">
        <f>IF('Données projet'!$A$114&gt;35,BY70+BX71-CG70,IF(A71&lt;'Données projet'!$A$114,$BV$205^A71,IF(A71='Données projet'!$A$114,'Données projet'!$B$114,BY70+BX71-CG70)))</f>
        <v>237.20000000000002</v>
      </c>
      <c r="BZ71" s="13">
        <f>BY71*VLOOKUP('Données projet'!$B$12,Paramètres!$A$1:$I$89,3,0)*VLOOKUP('Données projet'!$B$12,Paramètres!$A$1:$I$89,5,0)</f>
        <v>207.21792000000005</v>
      </c>
      <c r="CA71" s="13">
        <f t="shared" si="93"/>
        <v>51.327160141561521</v>
      </c>
      <c r="CB71" s="20">
        <f t="shared" si="64"/>
        <v>450.29934791321972</v>
      </c>
      <c r="CC71" s="59">
        <f t="shared" si="65"/>
        <v>743.63268124655303</v>
      </c>
      <c r="CD71" s="59">
        <f ca="1">AVERAGE(OFFSET($CC$3,0,0,'Données projet'!$E$12+1,1))-AVERAGE(OFFSET($H$3,0,0,'Données projet'!$E$12+1,1))</f>
        <v>223.81948236065614</v>
      </c>
      <c r="CE71" s="59">
        <f t="shared" si="94"/>
        <v>320.1204011431372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1.4478625814048804</v>
      </c>
      <c r="CL71" s="21">
        <f>EXP(-LN(2)/25)*CL70+(1-EXP(-LN(2)/25))/(LN(2)/25)*Calculateur!CG71*Calculateur!CI71*VLOOKUP('Données projet'!$B$12,Paramètres!$A$1:$I$89,3,0)*0.475*44/12</f>
        <v>6.169092355776244</v>
      </c>
      <c r="CM71" s="21">
        <f>EXP(-LN(2)/2)*CM70+(1-EXP(-LN(2)/2))/(LN(2)/2)*CG71*CJ71*VLOOKUP('Données projet'!$B$12,Paramètres!$A$1:$I$89,3,0)*0.475*44/12</f>
        <v>5.2967084520654137E-5</v>
      </c>
      <c r="CN71" s="22">
        <f t="shared" si="66"/>
        <v>7.6170079042656456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8.5</v>
      </c>
      <c r="CT71" s="12">
        <f>IF('Données projet'!$A$140&gt;35,CT70+CS71-DB70,IF(A71&lt;'Données projet'!$A$140,$CQ$205^A71,IF(A71='Données projet'!$A$140,'Données projet'!$B$140,CT70+CS71-DB70)))</f>
        <v>394.00000000000023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4.9000000000000004</v>
      </c>
      <c r="DO71" s="12">
        <f>IF('Données projet'!$A$166&gt;35,DO70+DN71-DW70,IF(A71&lt;'Données projet'!$A$166,$DL$205^A71,IF(A71='Données projet'!$A$166,'Données projet'!$B$166,DO70+DN71-DW70)))</f>
        <v>319.19999999999976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168.08890945052406</v>
      </c>
      <c r="T72" s="59">
        <f t="shared" si="88"/>
        <v>182.52462557642343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2.8695678253852726</v>
      </c>
      <c r="AA72" s="21">
        <f>EXP(-LN(2)/25)*AA71+(1-EXP(-LN(2)/25))/(LN(2)/25)*Calculateur!V72*Calculateur!X72*VLOOKUP('Données projet'!$B$9,Paramètres!$A$1:$I$89,3,0)*0.475*44/12</f>
        <v>4.1820320560627344</v>
      </c>
      <c r="AB72" s="21">
        <f>EXP(-LN(2)/2)*AB71+(1-EXP(-LN(2)/2))/(LN(2)/2)*V72*Y72*VLOOKUP('Données projet'!$B$9,Paramètres!$A$1:$I$89,3,0)*0.475*44/12</f>
        <v>7.3446006888651128E-6</v>
      </c>
      <c r="AC72" s="22">
        <f t="shared" si="57"/>
        <v>7.0516072260486959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9.1999999999999993</v>
      </c>
      <c r="AI72" s="13">
        <f>IF('Données projet'!$A$62&gt;35,AI71+AH72-AQ71,IF(A72&lt;'Données projet'!$A$62,$AF$205^A72,IF(A72='Données projet'!$A$62,'Données projet'!$B$62,AI71+AH72-AQ71)))</f>
        <v>412.79999999999967</v>
      </c>
      <c r="AJ72" s="13">
        <f>AI72*VLOOKUP('Données projet'!$B$10,Paramètres!$A$1:$I$89,3,0)*VLOOKUP('Données projet'!$B$10,Paramètres!$A$1:$I$89,5,0)</f>
        <v>246.85439999999983</v>
      </c>
      <c r="AK72" s="13">
        <f t="shared" si="89"/>
        <v>59.911862368716115</v>
      </c>
      <c r="AL72" s="20">
        <f t="shared" si="58"/>
        <v>534.28457362551364</v>
      </c>
      <c r="AM72" s="59">
        <f t="shared" si="59"/>
        <v>827.61790695884702</v>
      </c>
      <c r="AN72" s="59">
        <f ca="1">AVERAGE(OFFSET($AM$3,0,0,'Données projet'!$E$10+1,1))-AVERAGE(OFFSET($H$3,0,0,'Données projet'!$E$10+1,1))</f>
        <v>216.94426559495264</v>
      </c>
      <c r="AO72" s="59">
        <f t="shared" si="90"/>
        <v>225.33715877618704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4.3578416347389224</v>
      </c>
      <c r="AW72" s="21">
        <f>EXP(-LN(2)/2)*AW71+(1-EXP(-LN(2)/2))/(LN(2)/2)*AQ72*AT72*VLOOKUP('Données projet'!$B$10,Paramètres!$A$1:$I$89,3,0)*0.475*44/12</f>
        <v>3.2003767547594742E-5</v>
      </c>
      <c r="AX72" s="21">
        <f t="shared" si="60"/>
        <v>4.3578736385064696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7</v>
      </c>
      <c r="BD72" s="12">
        <f>IF('Données projet'!$A$88&gt;35,BD71+BC72-BL71,IF(A72&lt;'Données projet'!$A$88,$BA$205^A72,IF(A72='Données projet'!$A$88,'Données projet'!$B$88,BD71+BC72-BL71)))</f>
        <v>256.00000000000017</v>
      </c>
      <c r="BE72" s="13">
        <f>BD72*VLOOKUP('Données projet'!$B$11,Paramètres!$A$1:$I$89,3,0)*VLOOKUP('Données projet'!$B$11,Paramètres!$A$1:$I$89,5,0)</f>
        <v>231.62880000000013</v>
      </c>
      <c r="BF72" s="13">
        <f t="shared" si="91"/>
        <v>56.63472139815827</v>
      </c>
      <c r="BG72" s="20">
        <f t="shared" si="61"/>
        <v>502.0589664351258</v>
      </c>
      <c r="BH72" s="59">
        <f t="shared" si="62"/>
        <v>795.39229976845911</v>
      </c>
      <c r="BI72" s="59">
        <f ca="1">AVERAGE(OFFSET($BH$3,0,0,'Données projet'!$E$11+1,1))-AVERAGE(OFFSET($H$3,0,0,'Données projet'!$E$11+1,1))</f>
        <v>237.22177246688199</v>
      </c>
      <c r="BJ72" s="59">
        <f t="shared" si="92"/>
        <v>149.27472147904302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1.0533822913961814</v>
      </c>
      <c r="BR72" s="21">
        <f>EXP(-LN(2)/2)*BR71+(1-EXP(-LN(2)/2))/(LN(2)/2)*BL72*BO72*VLOOKUP('Données projet'!$B$11,Paramètres!$A$1:$I$89,3,0)*0.475*44/12</f>
        <v>8.3475682048583016E-6</v>
      </c>
      <c r="BS72" s="22">
        <f t="shared" si="63"/>
        <v>1.0533906389643863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4.9000000000000004</v>
      </c>
      <c r="BY72" s="12">
        <f>IF('Données projet'!$A$114&gt;35,BY71+BX72-CG71,IF(A72&lt;'Données projet'!$A$114,$BV$205^A72,IF(A72='Données projet'!$A$114,'Données projet'!$B$114,BY71+BX72-CG71)))</f>
        <v>242.10000000000002</v>
      </c>
      <c r="BZ72" s="13">
        <f>BY72*VLOOKUP('Données projet'!$B$12,Paramètres!$A$1:$I$89,3,0)*VLOOKUP('Données projet'!$B$12,Paramètres!$A$1:$I$89,5,0)</f>
        <v>211.49856000000005</v>
      </c>
      <c r="CA72" s="13">
        <f t="shared" si="93"/>
        <v>52.262923116788812</v>
      </c>
      <c r="CB72" s="20">
        <f t="shared" si="64"/>
        <v>459.38458309507399</v>
      </c>
      <c r="CC72" s="59">
        <f t="shared" si="65"/>
        <v>752.71791642840731</v>
      </c>
      <c r="CD72" s="59">
        <f ca="1">AVERAGE(OFFSET($CC$3,0,0,'Données projet'!$E$12+1,1))-AVERAGE(OFFSET($H$3,0,0,'Données projet'!$E$12+1,1))</f>
        <v>223.81948236065614</v>
      </c>
      <c r="CE72" s="59">
        <f t="shared" si="94"/>
        <v>320.1204011431372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1.4194708792925057</v>
      </c>
      <c r="CL72" s="21">
        <f>EXP(-LN(2)/25)*CL71+(1-EXP(-LN(2)/25))/(LN(2)/25)*Calculateur!CG72*Calculateur!CI72*VLOOKUP('Données projet'!$B$12,Paramètres!$A$1:$I$89,3,0)*0.475*44/12</f>
        <v>6.0003982008890757</v>
      </c>
      <c r="CM72" s="21">
        <f>EXP(-LN(2)/2)*CM71+(1-EXP(-LN(2)/2))/(LN(2)/2)*CG72*CJ72*VLOOKUP('Données projet'!$B$12,Paramètres!$A$1:$I$89,3,0)*0.475*44/12</f>
        <v>3.7453384644235552E-5</v>
      </c>
      <c r="CN72" s="22">
        <f t="shared" si="66"/>
        <v>7.419906533566226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8.5</v>
      </c>
      <c r="CT72" s="12">
        <f>IF('Données projet'!$A$140&gt;35,CT71+CS72-DB71,IF(A72&lt;'Données projet'!$A$140,$CQ$205^A72,IF(A72='Données projet'!$A$140,'Données projet'!$B$140,CT71+CS72-DB71)))</f>
        <v>402.50000000000023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4.9000000000000004</v>
      </c>
      <c r="DO72" s="12">
        <f>IF('Données projet'!$A$166&gt;35,DO71+DN72-DW71,IF(A72&lt;'Données projet'!$A$166,$DL$205^A72,IF(A72='Données projet'!$A$166,'Données projet'!$B$166,DO71+DN72-DW71)))</f>
        <v>324.09999999999974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168.08890945052406</v>
      </c>
      <c r="T73" s="59">
        <f t="shared" si="88"/>
        <v>182.52462557642343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2.8132973505930168</v>
      </c>
      <c r="AA73" s="21">
        <f>EXP(-LN(2)/25)*AA72+(1-EXP(-LN(2)/25))/(LN(2)/25)*Calculateur!V73*Calculateur!X73*VLOOKUP('Données projet'!$B$9,Paramètres!$A$1:$I$89,3,0)*0.475*44/12</f>
        <v>4.0676741695661915</v>
      </c>
      <c r="AB73" s="21">
        <f>EXP(-LN(2)/2)*AB72+(1-EXP(-LN(2)/2))/(LN(2)/2)*V73*Y73*VLOOKUP('Données projet'!$B$9,Paramètres!$A$1:$I$89,3,0)*0.475*44/12</f>
        <v>5.1934169522039103E-6</v>
      </c>
      <c r="AC73" s="22">
        <f t="shared" si="57"/>
        <v>6.8809767135761613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422</v>
      </c>
      <c r="AG73" s="12">
        <f>VLOOKUP(A73,'Données projet'!$A$61:$I$81,9,0)</f>
        <v>9.1999999999999993</v>
      </c>
      <c r="AH73" s="12">
        <f t="array" ref="AH73">INDEX(AG:AG,MIN(IF(ISNUMBER(AG73:AG269),ROW(AG73:AG269),"")))</f>
        <v>9.1999999999999993</v>
      </c>
      <c r="AI73" s="13">
        <f>IF('Données projet'!$A$62&gt;35,AI72+AH73-AQ72,IF(A73&lt;'Données projet'!$A$62,$AF$205^A73,IF(A73='Données projet'!$A$62,'Données projet'!$B$62,AI72+AH73-AQ72)))</f>
        <v>421.99999999999966</v>
      </c>
      <c r="AJ73" s="13">
        <f>AI73*VLOOKUP('Données projet'!$B$10,Paramètres!$A$1:$I$89,3,0)*VLOOKUP('Données projet'!$B$10,Paramètres!$A$1:$I$89,5,0)</f>
        <v>252.35599999999982</v>
      </c>
      <c r="AK73" s="13">
        <f t="shared" si="89"/>
        <v>61.090167050998701</v>
      </c>
      <c r="AL73" s="20">
        <f t="shared" si="58"/>
        <v>545.9187409471557</v>
      </c>
      <c r="AM73" s="59">
        <f t="shared" si="59"/>
        <v>839.25207428048907</v>
      </c>
      <c r="AN73" s="59">
        <f ca="1">AVERAGE(OFFSET($AM$3,0,0,'Données projet'!$E$10+1,1))-AVERAGE(OFFSET($H$3,0,0,'Données projet'!$E$10+1,1))</f>
        <v>216.94426559495264</v>
      </c>
      <c r="AO73" s="59">
        <f t="shared" si="90"/>
        <v>225.33715877618704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44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4.2386762260680548</v>
      </c>
      <c r="AW73" s="21">
        <f>EXP(-LN(2)/2)*AW72+(1-EXP(-LN(2)/2))/(LN(2)/2)*AQ73*AT73*VLOOKUP('Données projet'!$B$10,Paramètres!$A$1:$I$89,3,0)*0.475*44/12</f>
        <v>2.2630081056422206E-5</v>
      </c>
      <c r="AX73" s="21">
        <f t="shared" si="60"/>
        <v>4.238698856149111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263</v>
      </c>
      <c r="BB73" s="12">
        <f>VLOOKUP(A73,'Données projet'!$A$87:$I$107,9,0)</f>
        <v>7</v>
      </c>
      <c r="BC73" s="12">
        <f t="array" ref="BC73">INDEX(BB:BB,MIN(IF(ISNUMBER(BB73:BB269),ROW(BB73:BB269),"")))</f>
        <v>7</v>
      </c>
      <c r="BD73" s="12">
        <f>IF('Données projet'!$A$88&gt;35,BD72+BC73-BL72,IF(A73&lt;'Données projet'!$A$88,$BA$205^A73,IF(A73='Données projet'!$A$88,'Données projet'!$B$88,BD72+BC73-BL72)))</f>
        <v>263.00000000000017</v>
      </c>
      <c r="BE73" s="13">
        <f>BD73*VLOOKUP('Données projet'!$B$11,Paramètres!$A$1:$I$89,3,0)*VLOOKUP('Données projet'!$B$11,Paramètres!$A$1:$I$89,5,0)</f>
        <v>237.96240000000012</v>
      </c>
      <c r="BF73" s="13">
        <f t="shared" si="91"/>
        <v>58.000913607663399</v>
      </c>
      <c r="BG73" s="20">
        <f t="shared" si="61"/>
        <v>515.46943786668055</v>
      </c>
      <c r="BH73" s="59">
        <f t="shared" si="62"/>
        <v>808.80277120001392</v>
      </c>
      <c r="BI73" s="59">
        <f ca="1">AVERAGE(OFFSET($BH$3,0,0,'Données projet'!$E$11+1,1))-AVERAGE(OFFSET($H$3,0,0,'Données projet'!$E$11+1,1))</f>
        <v>237.22177246688199</v>
      </c>
      <c r="BJ73" s="59">
        <f t="shared" si="92"/>
        <v>149.27472147904302</v>
      </c>
      <c r="BK73" s="15">
        <f>IF(ISNA(VLOOKUP(A73,'Données projet'!$A$87:$I$107,3,0)),0,VLOOKUP(A73,'Données projet'!$A$87:$I$107,3,0))</f>
        <v>5</v>
      </c>
      <c r="BL73" s="15">
        <f>IF(ISNA(VLOOKUP(A73,'Données projet'!$A$87:$I$107,4,0)),0,VLOOKUP(A73,'Données projet'!$A$87:$I$107,4,0))</f>
        <v>42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1.0245774972429857</v>
      </c>
      <c r="BR73" s="21">
        <f>EXP(-LN(2)/2)*BR72+(1-EXP(-LN(2)/2))/(LN(2)/2)*BL73*BO73*VLOOKUP('Données projet'!$B$11,Paramètres!$A$1:$I$89,3,0)*0.475*44/12</f>
        <v>5.9026220840725205E-6</v>
      </c>
      <c r="BS73" s="22">
        <f t="shared" si="63"/>
        <v>1.0245833998650697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247</v>
      </c>
      <c r="BW73" s="12">
        <f>VLOOKUP(A73,'Données projet'!$A$113:$I$133,9,0)</f>
        <v>4.9000000000000004</v>
      </c>
      <c r="BX73" s="12">
        <f t="array" ref="BX73">INDEX(BW:BW,MIN(IF(ISNUMBER(BW73:BW269),ROW(BW73:BW269),"")))</f>
        <v>4.9000000000000004</v>
      </c>
      <c r="BY73" s="12">
        <f>IF('Données projet'!$A$114&gt;35,BY72+BX73-CG72,IF(A73&lt;'Données projet'!$A$114,$BV$205^A73,IF(A73='Données projet'!$A$114,'Données projet'!$B$114,BY72+BX73-CG72)))</f>
        <v>247.00000000000003</v>
      </c>
      <c r="BZ73" s="13">
        <f>BY73*VLOOKUP('Données projet'!$B$12,Paramètres!$A$1:$I$89,3,0)*VLOOKUP('Données projet'!$B$12,Paramètres!$A$1:$I$89,5,0)</f>
        <v>215.77920000000003</v>
      </c>
      <c r="CA73" s="13">
        <f t="shared" si="93"/>
        <v>53.196483976998607</v>
      </c>
      <c r="CB73" s="20">
        <f t="shared" si="64"/>
        <v>468.46598292660593</v>
      </c>
      <c r="CC73" s="59">
        <f t="shared" si="65"/>
        <v>761.79931625993925</v>
      </c>
      <c r="CD73" s="59">
        <f ca="1">AVERAGE(OFFSET($CC$3,0,0,'Données projet'!$E$12+1,1))-AVERAGE(OFFSET($H$3,0,0,'Données projet'!$E$12+1,1))</f>
        <v>223.81948236065614</v>
      </c>
      <c r="CE73" s="59">
        <f t="shared" si="94"/>
        <v>320.1204011431372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37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1.3916359211413263</v>
      </c>
      <c r="CL73" s="21">
        <f>EXP(-LN(2)/25)*CL72+(1-EXP(-LN(2)/25))/(LN(2)/25)*Calculateur!CG73*Calculateur!CI73*VLOOKUP('Données projet'!$B$12,Paramètres!$A$1:$I$89,3,0)*0.475*44/12</f>
        <v>5.8363169965385371</v>
      </c>
      <c r="CM73" s="21">
        <f>EXP(-LN(2)/2)*CM72+(1-EXP(-LN(2)/2))/(LN(2)/2)*CG73*CJ73*VLOOKUP('Données projet'!$B$12,Paramètres!$A$1:$I$89,3,0)*0.475*44/12</f>
        <v>2.6483542260327068E-5</v>
      </c>
      <c r="CN73" s="22">
        <f t="shared" si="66"/>
        <v>7.2279794012221235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411</v>
      </c>
      <c r="CR73" s="12">
        <f>VLOOKUP(A73,'Données projet'!$A$139:$I$159,9,0)</f>
        <v>8.5</v>
      </c>
      <c r="CS73" s="12">
        <f t="array" ref="CS73">INDEX(CR:CR,MIN(IF(ISNUMBER(CR73:CR269),ROW(CR73:CR269),"")))</f>
        <v>8.5</v>
      </c>
      <c r="CT73" s="12">
        <f>IF('Données projet'!$A$140&gt;35,CT72+CS73-DB72,IF(A73&lt;'Données projet'!$A$140,$CQ$205^A73,IF(A73='Données projet'!$A$140,'Données projet'!$B$140,CT72+CS73-DB72)))</f>
        <v>411.00000000000023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52</v>
      </c>
      <c r="DC73" s="16" t="e">
        <f>IF(ISNA(VLOOKUP(A73,'Données projet'!$A$139:$I$159,5,0)),0%,VLOOKUP(A73,'Données projet'!$A$139:$I$159,5,0)*VLOOKUP('Données projet'!$B$13,Paramètres!$A$1:$I$89,7,0))</f>
        <v>#N/A</v>
      </c>
      <c r="DD73" s="16" t="e">
        <f>IF(ISNA(VLOOKUP(A73,'Données projet'!$A$139:$I$159,6,0)),0%,VLOOKUP(A73,'Données projet'!$A$139:$I$159,6,0)*VLOOKUP('Données projet'!$B$13,Paramètres!$A$1:$I$89,7,0))</f>
        <v>#N/A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329</v>
      </c>
      <c r="DM73" s="12">
        <f>VLOOKUP(A73,'Données projet'!$A$165:$I$185,9,0)</f>
        <v>4.9000000000000004</v>
      </c>
      <c r="DN73" s="12">
        <f t="array" ref="DN73">INDEX(DM:DM,MIN(IF(ISNUMBER(DM73:DM269),ROW(DM73:DM269),"")))</f>
        <v>4.9000000000000004</v>
      </c>
      <c r="DO73" s="12">
        <f>IF('Données projet'!$A$166&gt;35,DO72+DN73-DW72,IF(A73&lt;'Données projet'!$A$166,$DL$205^A73,IF(A73='Données projet'!$A$166,'Données projet'!$B$166,DO72+DN73-DW72)))</f>
        <v>328.99999999999972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7</v>
      </c>
      <c r="DW73" s="15">
        <f>IF(ISNA(VLOOKUP(A73,'Données projet'!$A$165:$I$185,4,0)),0,VLOOKUP(A73,'Données projet'!$A$165:$I$185,4,0))</f>
        <v>26</v>
      </c>
      <c r="DX73" s="16" t="e">
        <f>IF(ISNA(VLOOKUP(A73,'Données projet'!$A$165:$I$185,5,0)),0%,VLOOKUP(A73,'Données projet'!$A$165:$I$185,5,0)*VLOOKUP('Données projet'!$B$14,Paramètres!$A$1:$I$89,7,0))</f>
        <v>#N/A</v>
      </c>
      <c r="DY73" s="16" t="e">
        <f>IF(ISNA(VLOOKUP(A73,'Données projet'!$A$165:$I$185,6,0)),0%,VLOOKUP(A73,'Données projet'!$A$165:$I$185,6,0)*VLOOKUP('Données projet'!$B$14,Paramètres!$A$1:$I$89,7,0))</f>
        <v>#N/A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168.08890945052406</v>
      </c>
      <c r="T74" s="59">
        <f t="shared" si="88"/>
        <v>182.52462557642343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2.7581303054898365</v>
      </c>
      <c r="AA74" s="21">
        <f>EXP(-LN(2)/25)*AA73+(1-EXP(-LN(2)/25))/(LN(2)/25)*Calculateur!V74*Calculateur!X74*VLOOKUP('Données projet'!$B$9,Paramètres!$A$1:$I$89,3,0)*0.475*44/12</f>
        <v>3.9564434054897162</v>
      </c>
      <c r="AB74" s="21">
        <f>EXP(-LN(2)/2)*AB73+(1-EXP(-LN(2)/2))/(LN(2)/2)*V74*Y74*VLOOKUP('Données projet'!$B$9,Paramètres!$A$1:$I$89,3,0)*0.475*44/12</f>
        <v>3.6723003444325572E-6</v>
      </c>
      <c r="AC74" s="22">
        <f t="shared" si="57"/>
        <v>6.7145773832798969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7.2</v>
      </c>
      <c r="AI74" s="13">
        <f>IF('Données projet'!$A$62&gt;35,AI73+AH74-AQ73,IF(A74&lt;'Données projet'!$A$62,$AF$205^A74,IF(A74='Données projet'!$A$62,'Données projet'!$B$62,AI73+AH74-AQ73)))</f>
        <v>385.19999999999965</v>
      </c>
      <c r="AJ74" s="13">
        <f>AI74*VLOOKUP('Données projet'!$B$10,Paramètres!$A$1:$I$89,3,0)*VLOOKUP('Données projet'!$B$10,Paramètres!$A$1:$I$89,5,0)</f>
        <v>230.34959999999978</v>
      </c>
      <c r="AK74" s="13">
        <f t="shared" si="89"/>
        <v>56.358266541426261</v>
      </c>
      <c r="AL74" s="20">
        <f t="shared" si="58"/>
        <v>499.34953422631702</v>
      </c>
      <c r="AM74" s="59">
        <f t="shared" si="59"/>
        <v>792.68286755965028</v>
      </c>
      <c r="AN74" s="59">
        <f ca="1">AVERAGE(OFFSET($AM$3,0,0,'Données projet'!$E$10+1,1))-AVERAGE(OFFSET($H$3,0,0,'Données projet'!$E$10+1,1))</f>
        <v>216.94426559495264</v>
      </c>
      <c r="AO74" s="59">
        <f t="shared" si="90"/>
        <v>225.33715877618704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4.1227694017639287</v>
      </c>
      <c r="AW74" s="21">
        <f>EXP(-LN(2)/2)*AW73+(1-EXP(-LN(2)/2))/(LN(2)/2)*AQ74*AT74*VLOOKUP('Données projet'!$B$10,Paramètres!$A$1:$I$89,3,0)*0.475*44/12</f>
        <v>1.6001883773797371E-5</v>
      </c>
      <c r="AX74" s="21">
        <f t="shared" si="60"/>
        <v>4.1227854036477023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6.1</v>
      </c>
      <c r="BD74" s="12">
        <f>IF('Données projet'!$A$88&gt;35,BD73+BC74-BL73,IF(A74&lt;'Données projet'!$A$88,$BA$205^A74,IF(A74='Données projet'!$A$88,'Données projet'!$B$88,BD73+BC74-BL73)))</f>
        <v>227.10000000000019</v>
      </c>
      <c r="BE74" s="13">
        <f>BD74*VLOOKUP('Données projet'!$B$11,Paramètres!$A$1:$I$89,3,0)*VLOOKUP('Données projet'!$B$11,Paramètres!$A$1:$I$89,5,0)</f>
        <v>205.48008000000016</v>
      </c>
      <c r="BF74" s="13">
        <f t="shared" si="91"/>
        <v>50.94662215818515</v>
      </c>
      <c r="BG74" s="20">
        <f t="shared" si="61"/>
        <v>446.6098395921727</v>
      </c>
      <c r="BH74" s="59">
        <f t="shared" si="62"/>
        <v>739.94317292550602</v>
      </c>
      <c r="BI74" s="59">
        <f ca="1">AVERAGE(OFFSET($BH$3,0,0,'Données projet'!$E$11+1,1))-AVERAGE(OFFSET($H$3,0,0,'Données projet'!$E$11+1,1))</f>
        <v>237.22177246688199</v>
      </c>
      <c r="BJ74" s="59">
        <f t="shared" si="92"/>
        <v>149.27472147904302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0.99656037170068745</v>
      </c>
      <c r="BR74" s="21">
        <f>EXP(-LN(2)/2)*BR73+(1-EXP(-LN(2)/2))/(LN(2)/2)*BL74*BO74*VLOOKUP('Données projet'!$B$11,Paramètres!$A$1:$I$89,3,0)*0.475*44/12</f>
        <v>4.1737841024291508E-6</v>
      </c>
      <c r="BS74" s="22">
        <f t="shared" si="63"/>
        <v>0.9965645454847899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3.7</v>
      </c>
      <c r="BY74" s="12">
        <f>IF('Données projet'!$A$114&gt;35,BY73+BX74-CG73,IF(A74&lt;'Données projet'!$A$114,$BV$205^A74,IF(A74='Données projet'!$A$114,'Données projet'!$B$114,BY73+BX74-CG73)))</f>
        <v>213.70000000000002</v>
      </c>
      <c r="BZ74" s="13">
        <f>BY74*VLOOKUP('Données projet'!$B$12,Paramètres!$A$1:$I$89,3,0)*VLOOKUP('Données projet'!$B$12,Paramètres!$A$1:$I$89,5,0)</f>
        <v>186.68832000000003</v>
      </c>
      <c r="CA74" s="13">
        <f t="shared" si="93"/>
        <v>46.80703983760791</v>
      </c>
      <c r="CB74" s="20">
        <f t="shared" si="64"/>
        <v>406.67108505050049</v>
      </c>
      <c r="CC74" s="59">
        <f t="shared" si="65"/>
        <v>700.00441838383381</v>
      </c>
      <c r="CD74" s="59">
        <f ca="1">AVERAGE(OFFSET($CC$3,0,0,'Données projet'!$E$12+1,1))-AVERAGE(OFFSET($H$3,0,0,'Données projet'!$E$12+1,1))</f>
        <v>223.81948236065614</v>
      </c>
      <c r="CE74" s="59">
        <f t="shared" si="94"/>
        <v>320.1204011431372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1.3643467895418433</v>
      </c>
      <c r="CL74" s="21">
        <f>EXP(-LN(2)/25)*CL73+(1-EXP(-LN(2)/25))/(LN(2)/25)*Calculateur!CG74*Calculateur!CI74*VLOOKUP('Données projet'!$B$12,Paramètres!$A$1:$I$89,3,0)*0.475*44/12</f>
        <v>5.6767226013496188</v>
      </c>
      <c r="CM74" s="21">
        <f>EXP(-LN(2)/2)*CM73+(1-EXP(-LN(2)/2))/(LN(2)/2)*CG74*CJ74*VLOOKUP('Données projet'!$B$12,Paramètres!$A$1:$I$89,3,0)*0.475*44/12</f>
        <v>1.8726692322117776E-5</v>
      </c>
      <c r="CN74" s="22">
        <f t="shared" si="66"/>
        <v>7.0410881175837838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7.4</v>
      </c>
      <c r="CT74" s="12">
        <f>IF('Données projet'!$A$140&gt;35,CT73+CS74-DB73,IF(A74&lt;'Données projet'!$A$140,$CQ$205^A74,IF(A74='Données projet'!$A$140,'Données projet'!$B$140,CT73+CS74-DB73)))</f>
        <v>366.4000000000002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3.9</v>
      </c>
      <c r="DO74" s="12">
        <f>IF('Données projet'!$A$166&gt;35,DO73+DN74-DW73,IF(A74&lt;'Données projet'!$A$166,$DL$205^A74,IF(A74='Données projet'!$A$166,'Données projet'!$B$166,DO73+DN74-DW73)))</f>
        <v>306.89999999999969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168.08890945052406</v>
      </c>
      <c r="T75" s="59">
        <f t="shared" si="88"/>
        <v>182.52462557642343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2.7040450524925546</v>
      </c>
      <c r="AA75" s="21">
        <f>EXP(-LN(2)/25)*AA74+(1-EXP(-LN(2)/25))/(LN(2)/25)*Calculateur!V75*Calculateur!X75*VLOOKUP('Données projet'!$B$9,Paramètres!$A$1:$I$89,3,0)*0.475*44/12</f>
        <v>3.8482542525062837</v>
      </c>
      <c r="AB75" s="21">
        <f>EXP(-LN(2)/2)*AB74+(1-EXP(-LN(2)/2))/(LN(2)/2)*V75*Y75*VLOOKUP('Données projet'!$B$9,Paramètres!$A$1:$I$89,3,0)*0.475*44/12</f>
        <v>2.5967084761019555E-6</v>
      </c>
      <c r="AC75" s="22">
        <f t="shared" si="57"/>
        <v>6.5523019017073141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7.2</v>
      </c>
      <c r="AI75" s="13">
        <f>IF('Données projet'!$A$62&gt;35,AI74+AH75-AQ74,IF(A75&lt;'Données projet'!$A$62,$AF$205^A75,IF(A75='Données projet'!$A$62,'Données projet'!$B$62,AI74+AH75-AQ74)))</f>
        <v>392.39999999999964</v>
      </c>
      <c r="AJ75" s="13">
        <f>AI75*VLOOKUP('Données projet'!$B$10,Paramètres!$A$1:$I$89,3,0)*VLOOKUP('Données projet'!$B$10,Paramètres!$A$1:$I$89,5,0)</f>
        <v>234.65519999999981</v>
      </c>
      <c r="AK75" s="13">
        <f t="shared" si="89"/>
        <v>57.288067746850942</v>
      </c>
      <c r="AL75" s="20">
        <f t="shared" si="58"/>
        <v>508.46785799243179</v>
      </c>
      <c r="AM75" s="59">
        <f t="shared" si="59"/>
        <v>801.8011913257651</v>
      </c>
      <c r="AN75" s="59">
        <f ca="1">AVERAGE(OFFSET($AM$3,0,0,'Données projet'!$E$10+1,1))-AVERAGE(OFFSET($H$3,0,0,'Données projet'!$E$10+1,1))</f>
        <v>216.94426559495264</v>
      </c>
      <c r="AO75" s="59">
        <f t="shared" si="90"/>
        <v>225.33715877618704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4.0100320556656737</v>
      </c>
      <c r="AW75" s="21">
        <f>EXP(-LN(2)/2)*AW74+(1-EXP(-LN(2)/2))/(LN(2)/2)*AQ75*AT75*VLOOKUP('Données projet'!$B$10,Paramètres!$A$1:$I$89,3,0)*0.475*44/12</f>
        <v>1.1315040528211103E-5</v>
      </c>
      <c r="AX75" s="21">
        <f t="shared" si="60"/>
        <v>4.0100433707062022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6.1</v>
      </c>
      <c r="BD75" s="12">
        <f>IF('Données projet'!$A$88&gt;35,BD74+BC75-BL74,IF(A75&lt;'Données projet'!$A$88,$BA$205^A75,IF(A75='Données projet'!$A$88,'Données projet'!$B$88,BD74+BC75-BL74)))</f>
        <v>233.20000000000019</v>
      </c>
      <c r="BE75" s="13">
        <f>BD75*VLOOKUP('Données projet'!$B$11,Paramètres!$A$1:$I$89,3,0)*VLOOKUP('Données projet'!$B$11,Paramètres!$A$1:$I$89,5,0)</f>
        <v>210.99936000000014</v>
      </c>
      <c r="BF75" s="13">
        <f t="shared" si="91"/>
        <v>52.153910623486667</v>
      </c>
      <c r="BG75" s="20">
        <f t="shared" si="61"/>
        <v>458.32527966923953</v>
      </c>
      <c r="BH75" s="59">
        <f t="shared" si="62"/>
        <v>751.65861300257279</v>
      </c>
      <c r="BI75" s="59">
        <f ca="1">AVERAGE(OFFSET($BH$3,0,0,'Données projet'!$E$11+1,1))-AVERAGE(OFFSET($H$3,0,0,'Données projet'!$E$11+1,1))</f>
        <v>237.22177246688199</v>
      </c>
      <c r="BJ75" s="59">
        <f t="shared" si="92"/>
        <v>149.27472147904302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0.9693093759296999</v>
      </c>
      <c r="BR75" s="21">
        <f>EXP(-LN(2)/2)*BR74+(1-EXP(-LN(2)/2))/(LN(2)/2)*BL75*BO75*VLOOKUP('Données projet'!$B$11,Paramètres!$A$1:$I$89,3,0)*0.475*44/12</f>
        <v>2.9513110420362603E-6</v>
      </c>
      <c r="BS75" s="22">
        <f t="shared" si="63"/>
        <v>0.9693123272407419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3.7</v>
      </c>
      <c r="BY75" s="12">
        <f>IF('Données projet'!$A$114&gt;35,BY74+BX75-CG74,IF(A75&lt;'Données projet'!$A$114,$BV$205^A75,IF(A75='Données projet'!$A$114,'Données projet'!$B$114,BY74+BX75-CG74)))</f>
        <v>217.4</v>
      </c>
      <c r="BZ75" s="13">
        <f>BY75*VLOOKUP('Données projet'!$B$12,Paramètres!$A$1:$I$89,3,0)*VLOOKUP('Données projet'!$B$12,Paramètres!$A$1:$I$89,5,0)</f>
        <v>189.92064000000002</v>
      </c>
      <c r="CA75" s="13">
        <f t="shared" si="93"/>
        <v>47.522407055417723</v>
      </c>
      <c r="CB75" s="20">
        <f t="shared" si="64"/>
        <v>413.54664028818587</v>
      </c>
      <c r="CC75" s="59">
        <f t="shared" si="65"/>
        <v>706.87997362151918</v>
      </c>
      <c r="CD75" s="59">
        <f ca="1">AVERAGE(OFFSET($CC$3,0,0,'Données projet'!$E$12+1,1))-AVERAGE(OFFSET($H$3,0,0,'Données projet'!$E$12+1,1))</f>
        <v>223.81948236065614</v>
      </c>
      <c r="CE75" s="59">
        <f t="shared" si="94"/>
        <v>320.1204011431372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1.3375927811682995</v>
      </c>
      <c r="CL75" s="21">
        <f>EXP(-LN(2)/25)*CL74+(1-EXP(-LN(2)/25))/(LN(2)/25)*Calculateur!CG75*Calculateur!CI75*VLOOKUP('Données projet'!$B$12,Paramètres!$A$1:$I$89,3,0)*0.475*44/12</f>
        <v>5.5214923232898458</v>
      </c>
      <c r="CM75" s="21">
        <f>EXP(-LN(2)/2)*CM74+(1-EXP(-LN(2)/2))/(LN(2)/2)*CG75*CJ75*VLOOKUP('Données projet'!$B$12,Paramètres!$A$1:$I$89,3,0)*0.475*44/12</f>
        <v>1.3241771130163534E-5</v>
      </c>
      <c r="CN75" s="22">
        <f t="shared" si="66"/>
        <v>6.8590983462292758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7.4</v>
      </c>
      <c r="CT75" s="12">
        <f>IF('Données projet'!$A$140&gt;35,CT74+CS75-DB74,IF(A75&lt;'Données projet'!$A$140,$CQ$205^A75,IF(A75='Données projet'!$A$140,'Données projet'!$B$140,CT74+CS75-DB74)))</f>
        <v>373.80000000000018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3.9</v>
      </c>
      <c r="DO75" s="12">
        <f>IF('Données projet'!$A$166&gt;35,DO74+DN75-DW74,IF(A75&lt;'Données projet'!$A$166,$DL$205^A75,IF(A75='Données projet'!$A$166,'Données projet'!$B$166,DO74+DN75-DW74)))</f>
        <v>310.79999999999967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168.08890945052406</v>
      </c>
      <c r="T76" s="59">
        <f t="shared" si="88"/>
        <v>182.52462557642343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2.6510203783178024</v>
      </c>
      <c r="AA76" s="21">
        <f>EXP(-LN(2)/25)*AA75+(1-EXP(-LN(2)/25))/(LN(2)/25)*Calculateur!V76*Calculateur!X76*VLOOKUP('Données projet'!$B$9,Paramètres!$A$1:$I$89,3,0)*0.475*44/12</f>
        <v>3.7430235376006036</v>
      </c>
      <c r="AB76" s="21">
        <f>EXP(-LN(2)/2)*AB75+(1-EXP(-LN(2)/2))/(LN(2)/2)*V76*Y76*VLOOKUP('Données projet'!$B$9,Paramètres!$A$1:$I$89,3,0)*0.475*44/12</f>
        <v>1.8361501722162788E-6</v>
      </c>
      <c r="AC76" s="22">
        <f t="shared" si="57"/>
        <v>6.3940457520685783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7.2</v>
      </c>
      <c r="AI76" s="13">
        <f>IF('Données projet'!$A$62&gt;35,AI75+AH76-AQ75,IF(A76&lt;'Données projet'!$A$62,$AF$205^A76,IF(A76='Données projet'!$A$62,'Données projet'!$B$62,AI75+AH76-AQ75)))</f>
        <v>399.59999999999962</v>
      </c>
      <c r="AJ76" s="13">
        <f>AI76*VLOOKUP('Données projet'!$B$10,Paramètres!$A$1:$I$89,3,0)*VLOOKUP('Données projet'!$B$10,Paramètres!$A$1:$I$89,5,0)</f>
        <v>238.96079999999978</v>
      </c>
      <c r="AK76" s="13">
        <f t="shared" si="89"/>
        <v>58.215885103108292</v>
      </c>
      <c r="AL76" s="20">
        <f t="shared" si="58"/>
        <v>517.58272655457984</v>
      </c>
      <c r="AM76" s="59">
        <f t="shared" si="59"/>
        <v>810.91605988791321</v>
      </c>
      <c r="AN76" s="59">
        <f ca="1">AVERAGE(OFFSET($AM$3,0,0,'Données projet'!$E$10+1,1))-AVERAGE(OFFSET($H$3,0,0,'Données projet'!$E$10+1,1))</f>
        <v>216.94426559495264</v>
      </c>
      <c r="AO76" s="59">
        <f t="shared" si="90"/>
        <v>225.33715877618704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3.9003775182250751</v>
      </c>
      <c r="AW76" s="21">
        <f>EXP(-LN(2)/2)*AW75+(1-EXP(-LN(2)/2))/(LN(2)/2)*AQ76*AT76*VLOOKUP('Données projet'!$B$10,Paramètres!$A$1:$I$89,3,0)*0.475*44/12</f>
        <v>8.0009418868986855E-6</v>
      </c>
      <c r="AX76" s="21">
        <f t="shared" si="60"/>
        <v>3.9003855191669619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6.1</v>
      </c>
      <c r="BD76" s="12">
        <f>IF('Données projet'!$A$88&gt;35,BD75+BC76-BL75,IF(A76&lt;'Données projet'!$A$88,$BA$205^A76,IF(A76='Données projet'!$A$88,'Données projet'!$B$88,BD75+BC76-BL75)))</f>
        <v>239.30000000000018</v>
      </c>
      <c r="BE76" s="13">
        <f>BD76*VLOOKUP('Données projet'!$B$11,Paramètres!$A$1:$I$89,3,0)*VLOOKUP('Données projet'!$B$11,Paramètres!$A$1:$I$89,5,0)</f>
        <v>216.51864000000015</v>
      </c>
      <c r="BF76" s="13">
        <f t="shared" si="91"/>
        <v>53.357528323079173</v>
      </c>
      <c r="BG76" s="20">
        <f t="shared" si="61"/>
        <v>470.03432649602973</v>
      </c>
      <c r="BH76" s="59">
        <f t="shared" si="62"/>
        <v>763.36765982936299</v>
      </c>
      <c r="BI76" s="59">
        <f ca="1">AVERAGE(OFFSET($BH$3,0,0,'Données projet'!$E$11+1,1))-AVERAGE(OFFSET($H$3,0,0,'Données projet'!$E$11+1,1))</f>
        <v>237.22177246688199</v>
      </c>
      <c r="BJ76" s="59">
        <f t="shared" si="92"/>
        <v>149.27472147904302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0.94280356007113753</v>
      </c>
      <c r="BR76" s="21">
        <f>EXP(-LN(2)/2)*BR75+(1-EXP(-LN(2)/2))/(LN(2)/2)*BL76*BO76*VLOOKUP('Données projet'!$B$11,Paramètres!$A$1:$I$89,3,0)*0.475*44/12</f>
        <v>2.0868920512145754E-6</v>
      </c>
      <c r="BS76" s="22">
        <f t="shared" si="63"/>
        <v>0.94280564696318869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3.7</v>
      </c>
      <c r="BY76" s="12">
        <f>IF('Données projet'!$A$114&gt;35,BY75+BX76-CG75,IF(A76&lt;'Données projet'!$A$114,$BV$205^A76,IF(A76='Données projet'!$A$114,'Données projet'!$B$114,BY75+BX76-CG75)))</f>
        <v>221.1</v>
      </c>
      <c r="BZ76" s="13">
        <f>BY76*VLOOKUP('Données projet'!$B$12,Paramètres!$A$1:$I$89,3,0)*VLOOKUP('Données projet'!$B$12,Paramètres!$A$1:$I$89,5,0)</f>
        <v>193.15296000000001</v>
      </c>
      <c r="CA76" s="13">
        <f t="shared" si="93"/>
        <v>48.236358426448142</v>
      </c>
      <c r="CB76" s="20">
        <f t="shared" si="64"/>
        <v>420.41972959273056</v>
      </c>
      <c r="CC76" s="59">
        <f t="shared" si="65"/>
        <v>713.75306292606388</v>
      </c>
      <c r="CD76" s="59">
        <f ca="1">AVERAGE(OFFSET($CC$3,0,0,'Données projet'!$E$12+1,1))-AVERAGE(OFFSET($H$3,0,0,'Données projet'!$E$12+1,1))</f>
        <v>223.81948236065614</v>
      </c>
      <c r="CE76" s="59">
        <f t="shared" si="94"/>
        <v>320.1204011431372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1.3113634025806271</v>
      </c>
      <c r="CL76" s="21">
        <f>EXP(-LN(2)/25)*CL75+(1-EXP(-LN(2)/25))/(LN(2)/25)*Calculateur!CG76*Calculateur!CI76*VLOOKUP('Données projet'!$B$12,Paramètres!$A$1:$I$89,3,0)*0.475*44/12</f>
        <v>5.3705068253468236</v>
      </c>
      <c r="CM76" s="21">
        <f>EXP(-LN(2)/2)*CM75+(1-EXP(-LN(2)/2))/(LN(2)/2)*CG76*CJ76*VLOOKUP('Données projet'!$B$12,Paramètres!$A$1:$I$89,3,0)*0.475*44/12</f>
        <v>9.3633461610588881E-6</v>
      </c>
      <c r="CN76" s="22">
        <f t="shared" si="66"/>
        <v>6.6818795912736118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7.4</v>
      </c>
      <c r="CT76" s="12">
        <f>IF('Données projet'!$A$140&gt;35,CT75+CS76-DB75,IF(A76&lt;'Données projet'!$A$140,$CQ$205^A76,IF(A76='Données projet'!$A$140,'Données projet'!$B$140,CT75+CS76-DB75)))</f>
        <v>381.20000000000016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3.9</v>
      </c>
      <c r="DO76" s="12">
        <f>IF('Données projet'!$A$166&gt;35,DO75+DN76-DW75,IF(A76&lt;'Données projet'!$A$166,$DL$205^A76,IF(A76='Données projet'!$A$166,'Données projet'!$B$166,DO75+DN76-DW75)))</f>
        <v>314.69999999999965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168.08890945052406</v>
      </c>
      <c r="T77" s="59">
        <f t="shared" si="88"/>
        <v>182.52462557642343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2.599035485661759</v>
      </c>
      <c r="AA77" s="21">
        <f>EXP(-LN(2)/25)*AA76+(1-EXP(-LN(2)/25))/(LN(2)/25)*Calculateur!V77*Calculateur!X77*VLOOKUP('Données projet'!$B$9,Paramètres!$A$1:$I$89,3,0)*0.475*44/12</f>
        <v>3.640670362127862</v>
      </c>
      <c r="AB77" s="21">
        <f>EXP(-LN(2)/2)*AB76+(1-EXP(-LN(2)/2))/(LN(2)/2)*V77*Y77*VLOOKUP('Données projet'!$B$9,Paramètres!$A$1:$I$89,3,0)*0.475*44/12</f>
        <v>1.298354238050978E-6</v>
      </c>
      <c r="AC77" s="22">
        <f t="shared" si="57"/>
        <v>6.2397071461438589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7.2</v>
      </c>
      <c r="AI77" s="13">
        <f>IF('Données projet'!$A$62&gt;35,AI76+AH77-AQ76,IF(A77&lt;'Données projet'!$A$62,$AF$205^A77,IF(A77='Données projet'!$A$62,'Données projet'!$B$62,AI76+AH77-AQ76)))</f>
        <v>406.79999999999961</v>
      </c>
      <c r="AJ77" s="13">
        <f>AI77*VLOOKUP('Données projet'!$B$10,Paramètres!$A$1:$I$89,3,0)*VLOOKUP('Données projet'!$B$10,Paramètres!$A$1:$I$89,5,0)</f>
        <v>243.26639999999981</v>
      </c>
      <c r="AK77" s="13">
        <f t="shared" si="89"/>
        <v>59.141758478481755</v>
      </c>
      <c r="AL77" s="20">
        <f t="shared" si="58"/>
        <v>526.69420935002211</v>
      </c>
      <c r="AM77" s="59">
        <f t="shared" si="59"/>
        <v>820.02754268335548</v>
      </c>
      <c r="AN77" s="59">
        <f ca="1">AVERAGE(OFFSET($AM$3,0,0,'Données projet'!$E$10+1,1))-AVERAGE(OFFSET($H$3,0,0,'Données projet'!$E$10+1,1))</f>
        <v>216.94426559495264</v>
      </c>
      <c r="AO77" s="59">
        <f t="shared" si="90"/>
        <v>225.33715877618704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3.7937214898772713</v>
      </c>
      <c r="AW77" s="21">
        <f>EXP(-LN(2)/2)*AW76+(1-EXP(-LN(2)/2))/(LN(2)/2)*AQ77*AT77*VLOOKUP('Données projet'!$B$10,Paramètres!$A$1:$I$89,3,0)*0.475*44/12</f>
        <v>5.6575202641055516E-6</v>
      </c>
      <c r="AX77" s="21">
        <f t="shared" si="60"/>
        <v>3.7937271473975356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6.1</v>
      </c>
      <c r="BD77" s="12">
        <f>IF('Données projet'!$A$88&gt;35,BD76+BC77-BL76,IF(A77&lt;'Données projet'!$A$88,$BA$205^A77,IF(A77='Données projet'!$A$88,'Données projet'!$B$88,BD76+BC77-BL76)))</f>
        <v>245.40000000000018</v>
      </c>
      <c r="BE77" s="13">
        <f>BD77*VLOOKUP('Données projet'!$B$11,Paramètres!$A$1:$I$89,3,0)*VLOOKUP('Données projet'!$B$11,Paramètres!$A$1:$I$89,5,0)</f>
        <v>222.03792000000013</v>
      </c>
      <c r="BF77" s="13">
        <f t="shared" si="91"/>
        <v>54.5575795882731</v>
      </c>
      <c r="BG77" s="20">
        <f t="shared" si="61"/>
        <v>481.7371617829092</v>
      </c>
      <c r="BH77" s="59">
        <f t="shared" si="62"/>
        <v>775.07049511624245</v>
      </c>
      <c r="BI77" s="59">
        <f ca="1">AVERAGE(OFFSET($BH$3,0,0,'Données projet'!$E$11+1,1))-AVERAGE(OFFSET($H$3,0,0,'Données projet'!$E$11+1,1))</f>
        <v>237.22177246688199</v>
      </c>
      <c r="BJ77" s="59">
        <f t="shared" si="92"/>
        <v>149.27472147904302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0.91702254714110787</v>
      </c>
      <c r="BR77" s="21">
        <f>EXP(-LN(2)/2)*BR76+(1-EXP(-LN(2)/2))/(LN(2)/2)*BL77*BO77*VLOOKUP('Données projet'!$B$11,Paramètres!$A$1:$I$89,3,0)*0.475*44/12</f>
        <v>1.4756555210181301E-6</v>
      </c>
      <c r="BS77" s="22">
        <f t="shared" si="63"/>
        <v>0.91702402279662887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3.7</v>
      </c>
      <c r="BY77" s="12">
        <f>IF('Données projet'!$A$114&gt;35,BY76+BX77-CG76,IF(A77&lt;'Données projet'!$A$114,$BV$205^A77,IF(A77='Données projet'!$A$114,'Données projet'!$B$114,BY76+BX77-CG76)))</f>
        <v>224.79999999999998</v>
      </c>
      <c r="BZ77" s="13">
        <f>BY77*VLOOKUP('Données projet'!$B$12,Paramètres!$A$1:$I$89,3,0)*VLOOKUP('Données projet'!$B$12,Paramètres!$A$1:$I$89,5,0)</f>
        <v>196.38528000000002</v>
      </c>
      <c r="CA77" s="13">
        <f t="shared" si="93"/>
        <v>48.948920378863868</v>
      </c>
      <c r="CB77" s="20">
        <f t="shared" si="64"/>
        <v>427.29039899318792</v>
      </c>
      <c r="CC77" s="59">
        <f t="shared" si="65"/>
        <v>720.62373232652124</v>
      </c>
      <c r="CD77" s="59">
        <f ca="1">AVERAGE(OFFSET($CC$3,0,0,'Données projet'!$E$12+1,1))-AVERAGE(OFFSET($H$3,0,0,'Données projet'!$E$12+1,1))</f>
        <v>223.81948236065614</v>
      </c>
      <c r="CE77" s="59">
        <f t="shared" si="94"/>
        <v>320.1204011431372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1.2856483661087177</v>
      </c>
      <c r="CL77" s="21">
        <f>EXP(-LN(2)/25)*CL76+(1-EXP(-LN(2)/25))/(LN(2)/25)*Calculateur!CG77*Calculateur!CI77*VLOOKUP('Données projet'!$B$12,Paramètres!$A$1:$I$89,3,0)*0.475*44/12</f>
        <v>5.2236500337850353</v>
      </c>
      <c r="CM77" s="21">
        <f>EXP(-LN(2)/2)*CM76+(1-EXP(-LN(2)/2))/(LN(2)/2)*CG77*CJ77*VLOOKUP('Données projet'!$B$12,Paramètres!$A$1:$I$89,3,0)*0.475*44/12</f>
        <v>6.6208855650817671E-6</v>
      </c>
      <c r="CN77" s="22">
        <f t="shared" si="66"/>
        <v>6.5093050207793182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7.4</v>
      </c>
      <c r="CT77" s="12">
        <f>IF('Données projet'!$A$140&gt;35,CT76+CS77-DB76,IF(A77&lt;'Données projet'!$A$140,$CQ$205^A77,IF(A77='Données projet'!$A$140,'Données projet'!$B$140,CT76+CS77-DB76)))</f>
        <v>388.60000000000014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3.9</v>
      </c>
      <c r="DO77" s="12">
        <f>IF('Données projet'!$A$166&gt;35,DO76+DN77-DW76,IF(A77&lt;'Données projet'!$A$166,$DL$205^A77,IF(A77='Données projet'!$A$166,'Données projet'!$B$166,DO76+DN77-DW76)))</f>
        <v>318.59999999999962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168.08890945052406</v>
      </c>
      <c r="T78" s="59">
        <f t="shared" si="88"/>
        <v>182.52462557642343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2.548069985043047</v>
      </c>
      <c r="AA78" s="21">
        <f>EXP(-LN(2)/25)*AA77+(1-EXP(-LN(2)/25))/(LN(2)/25)*Calculateur!V78*Calculateur!X78*VLOOKUP('Données projet'!$B$9,Paramètres!$A$1:$I$89,3,0)*0.475*44/12</f>
        <v>3.5411160396209422</v>
      </c>
      <c r="AB78" s="21">
        <f>EXP(-LN(2)/2)*AB77+(1-EXP(-LN(2)/2))/(LN(2)/2)*V78*Y78*VLOOKUP('Données projet'!$B$9,Paramètres!$A$1:$I$89,3,0)*0.475*44/12</f>
        <v>9.1807508610813963E-7</v>
      </c>
      <c r="AC78" s="22">
        <f t="shared" si="57"/>
        <v>6.0891869427390759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7.2</v>
      </c>
      <c r="AI78" s="13">
        <f>IF('Données projet'!$A$62&gt;35,AI77+AH78-AQ77,IF(A78&lt;'Données projet'!$A$62,$AF$205^A78,IF(A78='Données projet'!$A$62,'Données projet'!$B$62,AI77+AH78-AQ77)))</f>
        <v>413.9999999999996</v>
      </c>
      <c r="AJ78" s="13">
        <f>AI78*VLOOKUP('Données projet'!$B$10,Paramètres!$A$1:$I$89,3,0)*VLOOKUP('Données projet'!$B$10,Paramètres!$A$1:$I$89,5,0)</f>
        <v>247.57199999999978</v>
      </c>
      <c r="AK78" s="13">
        <f t="shared" si="89"/>
        <v>60.065726249156526</v>
      </c>
      <c r="AL78" s="20">
        <f t="shared" si="58"/>
        <v>535.80237321728055</v>
      </c>
      <c r="AM78" s="59">
        <f t="shared" si="59"/>
        <v>829.1357065506138</v>
      </c>
      <c r="AN78" s="59">
        <f ca="1">AVERAGE(OFFSET($AM$3,0,0,'Données projet'!$E$10+1,1))-AVERAGE(OFFSET($H$3,0,0,'Données projet'!$E$10+1,1))</f>
        <v>216.94426559495264</v>
      </c>
      <c r="AO78" s="59">
        <f t="shared" si="90"/>
        <v>225.33715877618704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3.6899819762334349</v>
      </c>
      <c r="AW78" s="21">
        <f>EXP(-LN(2)/2)*AW77+(1-EXP(-LN(2)/2))/(LN(2)/2)*AQ78*AT78*VLOOKUP('Données projet'!$B$10,Paramètres!$A$1:$I$89,3,0)*0.475*44/12</f>
        <v>4.0004709434493427E-6</v>
      </c>
      <c r="AX78" s="21">
        <f t="shared" si="60"/>
        <v>3.6899859767043783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6.1</v>
      </c>
      <c r="BD78" s="12">
        <f>IF('Données projet'!$A$88&gt;35,BD77+BC78-BL77,IF(A78&lt;'Données projet'!$A$88,$BA$205^A78,IF(A78='Données projet'!$A$88,'Données projet'!$B$88,BD77+BC78-BL77)))</f>
        <v>251.50000000000017</v>
      </c>
      <c r="BE78" s="13">
        <f>BD78*VLOOKUP('Données projet'!$B$11,Paramètres!$A$1:$I$89,3,0)*VLOOKUP('Données projet'!$B$11,Paramètres!$A$1:$I$89,5,0)</f>
        <v>227.55720000000014</v>
      </c>
      <c r="BF78" s="13">
        <f t="shared" si="91"/>
        <v>55.754163267932753</v>
      </c>
      <c r="BG78" s="20">
        <f t="shared" si="61"/>
        <v>493.43395769164982</v>
      </c>
      <c r="BH78" s="59">
        <f t="shared" si="62"/>
        <v>786.76729102498314</v>
      </c>
      <c r="BI78" s="59">
        <f ca="1">AVERAGE(OFFSET($BH$3,0,0,'Données projet'!$E$11+1,1))-AVERAGE(OFFSET($H$3,0,0,'Données projet'!$E$11+1,1))</f>
        <v>237.22177246688199</v>
      </c>
      <c r="BJ78" s="59">
        <f t="shared" si="92"/>
        <v>149.27472147904302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0.89194651736541442</v>
      </c>
      <c r="BR78" s="21">
        <f>EXP(-LN(2)/2)*BR77+(1-EXP(-LN(2)/2))/(LN(2)/2)*BL78*BO78*VLOOKUP('Données projet'!$B$11,Paramètres!$A$1:$I$89,3,0)*0.475*44/12</f>
        <v>1.0434460256072877E-6</v>
      </c>
      <c r="BS78" s="22">
        <f t="shared" si="63"/>
        <v>0.89194756081144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3.7</v>
      </c>
      <c r="BY78" s="12">
        <f>IF('Données projet'!$A$114&gt;35,BY77+BX78-CG77,IF(A78&lt;'Données projet'!$A$114,$BV$205^A78,IF(A78='Données projet'!$A$114,'Données projet'!$B$114,BY77+BX78-CG77)))</f>
        <v>228.49999999999997</v>
      </c>
      <c r="BZ78" s="13">
        <f>BY78*VLOOKUP('Données projet'!$B$12,Paramètres!$A$1:$I$89,3,0)*VLOOKUP('Données projet'!$B$12,Paramètres!$A$1:$I$89,5,0)</f>
        <v>199.61760000000001</v>
      </c>
      <c r="CA78" s="13">
        <f t="shared" si="93"/>
        <v>49.66011842098839</v>
      </c>
      <c r="CB78" s="20">
        <f t="shared" si="64"/>
        <v>434.1586929165548</v>
      </c>
      <c r="CC78" s="59">
        <f t="shared" si="65"/>
        <v>727.49202624988811</v>
      </c>
      <c r="CD78" s="59">
        <f ca="1">AVERAGE(OFFSET($CC$3,0,0,'Données projet'!$E$12+1,1))-AVERAGE(OFFSET($H$3,0,0,'Données projet'!$E$12+1,1))</f>
        <v>223.81948236065614</v>
      </c>
      <c r="CE78" s="59">
        <f t="shared" si="94"/>
        <v>320.1204011431372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1.2604375858173988</v>
      </c>
      <c r="CL78" s="21">
        <f>EXP(-LN(2)/25)*CL77+(1-EXP(-LN(2)/25))/(LN(2)/25)*Calculateur!CG78*Calculateur!CI78*VLOOKUP('Données projet'!$B$12,Paramètres!$A$1:$I$89,3,0)*0.475*44/12</f>
        <v>5.0808090489113669</v>
      </c>
      <c r="CM78" s="21">
        <f>EXP(-LN(2)/2)*CM77+(1-EXP(-LN(2)/2))/(LN(2)/2)*CG78*CJ78*VLOOKUP('Données projet'!$B$12,Paramètres!$A$1:$I$89,3,0)*0.475*44/12</f>
        <v>4.6816730805294441E-6</v>
      </c>
      <c r="CN78" s="22">
        <f t="shared" si="66"/>
        <v>6.3412513164018458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7.4</v>
      </c>
      <c r="CT78" s="12">
        <f>IF('Données projet'!$A$140&gt;35,CT77+CS78-DB77,IF(A78&lt;'Données projet'!$A$140,$CQ$205^A78,IF(A78='Données projet'!$A$140,'Données projet'!$B$140,CT77+CS78-DB77)))</f>
        <v>396.00000000000011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3.9</v>
      </c>
      <c r="DO78" s="12">
        <f>IF('Données projet'!$A$166&gt;35,DO77+DN78-DW77,IF(A78&lt;'Données projet'!$A$166,$DL$205^A78,IF(A78='Données projet'!$A$166,'Données projet'!$B$166,DO77+DN78-DW77)))</f>
        <v>322.4999999999996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168.08890945052406</v>
      </c>
      <c r="T79" s="59">
        <f t="shared" si="88"/>
        <v>182.52462557642343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2.4981038868055823</v>
      </c>
      <c r="AA79" s="21">
        <f>EXP(-LN(2)/25)*AA78+(1-EXP(-LN(2)/25))/(LN(2)/25)*Calculateur!V79*Calculateur!X79*VLOOKUP('Données projet'!$B$9,Paramètres!$A$1:$I$89,3,0)*0.475*44/12</f>
        <v>3.4442840352983084</v>
      </c>
      <c r="AB79" s="21">
        <f>EXP(-LN(2)/2)*AB78+(1-EXP(-LN(2)/2))/(LN(2)/2)*V79*Y79*VLOOKUP('Données projet'!$B$9,Paramètres!$A$1:$I$89,3,0)*0.475*44/12</f>
        <v>6.491771190254891E-7</v>
      </c>
      <c r="AC79" s="22">
        <f t="shared" si="57"/>
        <v>5.9423885712810094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421.19999999999959</v>
      </c>
      <c r="AJ79" s="13">
        <f>AI79*VLOOKUP('Données projet'!$B$10,Paramètres!$A$1:$I$89,3,0)*VLOOKUP('Données projet'!$B$10,Paramètres!$A$1:$I$89,5,0)</f>
        <v>251.87759999999977</v>
      </c>
      <c r="AK79" s="13">
        <f t="shared" si="89"/>
        <v>60.987825380023018</v>
      </c>
      <c r="AL79" s="20">
        <f t="shared" si="58"/>
        <v>544.90728253687291</v>
      </c>
      <c r="AM79" s="59">
        <f t="shared" si="59"/>
        <v>838.24061587020628</v>
      </c>
      <c r="AN79" s="59">
        <f ca="1">AVERAGE(OFFSET($AM$3,0,0,'Données projet'!$E$10+1,1))-AVERAGE(OFFSET($H$3,0,0,'Données projet'!$E$10+1,1))</f>
        <v>216.94426559495264</v>
      </c>
      <c r="AO79" s="59">
        <f t="shared" si="90"/>
        <v>225.33715877618704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3.5890792250456132</v>
      </c>
      <c r="AW79" s="21">
        <f>EXP(-LN(2)/2)*AW78+(1-EXP(-LN(2)/2))/(LN(2)/2)*AQ79*AT79*VLOOKUP('Données projet'!$B$10,Paramètres!$A$1:$I$89,3,0)*0.475*44/12</f>
        <v>2.8287601320527758E-6</v>
      </c>
      <c r="AX79" s="21">
        <f t="shared" si="60"/>
        <v>3.5890820538057451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6.1</v>
      </c>
      <c r="BD79" s="12">
        <f>IF('Données projet'!$A$88&gt;35,BD78+BC79-BL78,IF(A79&lt;'Données projet'!$A$88,$BA$205^A79,IF(A79='Données projet'!$A$88,'Données projet'!$B$88,BD78+BC79-BL78)))</f>
        <v>257.60000000000019</v>
      </c>
      <c r="BE79" s="13">
        <f>BD79*VLOOKUP('Données projet'!$B$11,Paramètres!$A$1:$I$89,3,0)*VLOOKUP('Données projet'!$B$11,Paramètres!$A$1:$I$89,5,0)</f>
        <v>233.07648000000017</v>
      </c>
      <c r="BF79" s="13">
        <f t="shared" si="91"/>
        <v>56.947373142454929</v>
      </c>
      <c r="BG79" s="20">
        <f t="shared" si="61"/>
        <v>505.12487755644264</v>
      </c>
      <c r="BH79" s="59">
        <f t="shared" si="62"/>
        <v>798.45821088977596</v>
      </c>
      <c r="BI79" s="59">
        <f ca="1">AVERAGE(OFFSET($BH$3,0,0,'Données projet'!$E$11+1,1))-AVERAGE(OFFSET($H$3,0,0,'Données projet'!$E$11+1,1))</f>
        <v>237.22177246688199</v>
      </c>
      <c r="BJ79" s="59">
        <f t="shared" si="92"/>
        <v>149.27472147904302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0.86755619294262842</v>
      </c>
      <c r="BR79" s="21">
        <f>EXP(-LN(2)/2)*BR78+(1-EXP(-LN(2)/2))/(LN(2)/2)*BL79*BO79*VLOOKUP('Données projet'!$B$11,Paramètres!$A$1:$I$89,3,0)*0.475*44/12</f>
        <v>7.3782776050906506E-7</v>
      </c>
      <c r="BS79" s="22">
        <f t="shared" si="63"/>
        <v>0.86755693077038898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3.7</v>
      </c>
      <c r="BY79" s="12">
        <f>IF('Données projet'!$A$114&gt;35,BY78+BX79-CG78,IF(A79&lt;'Données projet'!$A$114,$BV$205^A79,IF(A79='Données projet'!$A$114,'Données projet'!$B$114,BY78+BX79-CG78)))</f>
        <v>232.19999999999996</v>
      </c>
      <c r="BZ79" s="13">
        <f>BY79*VLOOKUP('Données projet'!$B$12,Paramètres!$A$1:$I$89,3,0)*VLOOKUP('Données projet'!$B$12,Paramètres!$A$1:$I$89,5,0)</f>
        <v>202.84991999999997</v>
      </c>
      <c r="CA79" s="13">
        <f t="shared" si="93"/>
        <v>50.369977187686075</v>
      </c>
      <c r="CB79" s="20">
        <f t="shared" si="64"/>
        <v>441.02465426855321</v>
      </c>
      <c r="CC79" s="59">
        <f t="shared" si="65"/>
        <v>734.35798760188652</v>
      </c>
      <c r="CD79" s="59">
        <f ca="1">AVERAGE(OFFSET($CC$3,0,0,'Données projet'!$E$12+1,1))-AVERAGE(OFFSET($H$3,0,0,'Données projet'!$E$12+1,1))</f>
        <v>223.81948236065614</v>
      </c>
      <c r="CE79" s="59">
        <f t="shared" si="94"/>
        <v>320.1204011431372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1.2357211735505351</v>
      </c>
      <c r="CL79" s="21">
        <f>EXP(-LN(2)/25)*CL78+(1-EXP(-LN(2)/25))/(LN(2)/25)*Calculateur!CG79*Calculateur!CI79*VLOOKUP('Données projet'!$B$12,Paramètres!$A$1:$I$89,3,0)*0.475*44/12</f>
        <v>4.9418740582807503</v>
      </c>
      <c r="CM79" s="21">
        <f>EXP(-LN(2)/2)*CM78+(1-EXP(-LN(2)/2))/(LN(2)/2)*CG79*CJ79*VLOOKUP('Données projet'!$B$12,Paramètres!$A$1:$I$89,3,0)*0.475*44/12</f>
        <v>3.3104427825408836E-6</v>
      </c>
      <c r="CN79" s="22">
        <f t="shared" si="66"/>
        <v>6.1775985422740671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7.4</v>
      </c>
      <c r="CT79" s="12">
        <f>IF('Données projet'!$A$140&gt;35,CT78+CS79-DB78,IF(A79&lt;'Données projet'!$A$140,$CQ$205^A79,IF(A79='Données projet'!$A$140,'Données projet'!$B$140,CT78+CS79-DB78)))</f>
        <v>403.40000000000009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3.9</v>
      </c>
      <c r="DO79" s="12">
        <f>IF('Données projet'!$A$166&gt;35,DO78+DN79-DW78,IF(A79&lt;'Données projet'!$A$166,$DL$205^A79,IF(A79='Données projet'!$A$166,'Données projet'!$B$166,DO78+DN79-DW78)))</f>
        <v>326.39999999999958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168.08890945052406</v>
      </c>
      <c r="T80" s="59">
        <f t="shared" si="88"/>
        <v>182.52462557642343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2.4491175932782436</v>
      </c>
      <c r="AA80" s="21">
        <f>EXP(-LN(2)/25)*AA79+(1-EXP(-LN(2)/25))/(LN(2)/25)*Calculateur!V80*Calculateur!X80*VLOOKUP('Données projet'!$B$9,Paramètres!$A$1:$I$89,3,0)*0.475*44/12</f>
        <v>3.3500999072260509</v>
      </c>
      <c r="AB80" s="21">
        <f>EXP(-LN(2)/2)*AB79+(1-EXP(-LN(2)/2))/(LN(2)/2)*V80*Y80*VLOOKUP('Données projet'!$B$9,Paramètres!$A$1:$I$89,3,0)*0.475*44/12</f>
        <v>4.5903754305406987E-7</v>
      </c>
      <c r="AC80" s="22">
        <f t="shared" si="57"/>
        <v>5.7992179595418376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428.39999999999958</v>
      </c>
      <c r="AJ80" s="13">
        <f>AI80*VLOOKUP('Données projet'!$B$10,Paramètres!$A$1:$I$89,3,0)*VLOOKUP('Données projet'!$B$10,Paramètres!$A$1:$I$89,5,0)</f>
        <v>256.18319999999977</v>
      </c>
      <c r="AK80" s="13">
        <f t="shared" si="89"/>
        <v>61.90809149979912</v>
      </c>
      <c r="AL80" s="20">
        <f t="shared" si="58"/>
        <v>554.00899936214978</v>
      </c>
      <c r="AM80" s="59">
        <f t="shared" si="59"/>
        <v>847.34233269548304</v>
      </c>
      <c r="AN80" s="59">
        <f ca="1">AVERAGE(OFFSET($AM$3,0,0,'Données projet'!$E$10+1,1))-AVERAGE(OFFSET($H$3,0,0,'Données projet'!$E$10+1,1))</f>
        <v>216.94426559495264</v>
      </c>
      <c r="AO80" s="59">
        <f t="shared" si="90"/>
        <v>225.33715877618704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3.4909356648952672</v>
      </c>
      <c r="AW80" s="21">
        <f>EXP(-LN(2)/2)*AW79+(1-EXP(-LN(2)/2))/(LN(2)/2)*AQ80*AT80*VLOOKUP('Données projet'!$B$10,Paramètres!$A$1:$I$89,3,0)*0.475*44/12</f>
        <v>2.0002354717246714E-6</v>
      </c>
      <c r="AX80" s="21">
        <f t="shared" si="60"/>
        <v>3.4909376651307391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6.1</v>
      </c>
      <c r="BD80" s="12">
        <f>IF('Données projet'!$A$88&gt;35,BD79+BC80-BL79,IF(A80&lt;'Données projet'!$A$88,$BA$205^A80,IF(A80='Données projet'!$A$88,'Données projet'!$B$88,BD79+BC80-BL79)))</f>
        <v>263.70000000000022</v>
      </c>
      <c r="BE80" s="13">
        <f>BD80*VLOOKUP('Données projet'!$B$11,Paramètres!$A$1:$I$89,3,0)*VLOOKUP('Données projet'!$B$11,Paramètres!$A$1:$I$89,5,0)</f>
        <v>238.59576000000018</v>
      </c>
      <c r="BF80" s="13">
        <f t="shared" si="91"/>
        <v>58.137298297430824</v>
      </c>
      <c r="BG80" s="20">
        <f t="shared" si="61"/>
        <v>516.81007653469237</v>
      </c>
      <c r="BH80" s="59">
        <f t="shared" si="62"/>
        <v>810.14340986802563</v>
      </c>
      <c r="BI80" s="59">
        <f ca="1">AVERAGE(OFFSET($BH$3,0,0,'Données projet'!$E$11+1,1))-AVERAGE(OFFSET($H$3,0,0,'Données projet'!$E$11+1,1))</f>
        <v>237.22177246688199</v>
      </c>
      <c r="BJ80" s="59">
        <f t="shared" si="92"/>
        <v>149.27472147904302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0.84383282322381492</v>
      </c>
      <c r="BR80" s="21">
        <f>EXP(-LN(2)/2)*BR79+(1-EXP(-LN(2)/2))/(LN(2)/2)*BL80*BO80*VLOOKUP('Données projet'!$B$11,Paramètres!$A$1:$I$89,3,0)*0.475*44/12</f>
        <v>5.2172301280364385E-7</v>
      </c>
      <c r="BS80" s="22">
        <f t="shared" si="63"/>
        <v>0.84383334494682771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3.7</v>
      </c>
      <c r="BY80" s="12">
        <f>IF('Données projet'!$A$114&gt;35,BY79+BX80-CG79,IF(A80&lt;'Données projet'!$A$114,$BV$205^A80,IF(A80='Données projet'!$A$114,'Données projet'!$B$114,BY79+BX80-CG79)))</f>
        <v>235.89999999999995</v>
      </c>
      <c r="BZ80" s="13">
        <f>BY80*VLOOKUP('Données projet'!$B$12,Paramètres!$A$1:$I$89,3,0)*VLOOKUP('Données projet'!$B$12,Paramètres!$A$1:$I$89,5,0)</f>
        <v>206.08223999999998</v>
      </c>
      <c r="CA80" s="13">
        <f t="shared" si="93"/>
        <v>51.078520483703407</v>
      </c>
      <c r="CB80" s="20">
        <f t="shared" si="64"/>
        <v>447.88832450911667</v>
      </c>
      <c r="CC80" s="59">
        <f t="shared" si="65"/>
        <v>741.22165784244999</v>
      </c>
      <c r="CD80" s="59">
        <f ca="1">AVERAGE(OFFSET($CC$3,0,0,'Données projet'!$E$12+1,1))-AVERAGE(OFFSET($H$3,0,0,'Données projet'!$E$12+1,1))</f>
        <v>223.81948236065614</v>
      </c>
      <c r="CE80" s="59">
        <f t="shared" si="94"/>
        <v>320.1204011431372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1.2114894350527017</v>
      </c>
      <c r="CL80" s="21">
        <f>EXP(-LN(2)/25)*CL79+(1-EXP(-LN(2)/25))/(LN(2)/25)*Calculateur!CG80*Calculateur!CI80*VLOOKUP('Données projet'!$B$12,Paramètres!$A$1:$I$89,3,0)*0.475*44/12</f>
        <v>4.8067382522752009</v>
      </c>
      <c r="CM80" s="21">
        <f>EXP(-LN(2)/2)*CM79+(1-EXP(-LN(2)/2))/(LN(2)/2)*CG80*CJ80*VLOOKUP('Données projet'!$B$12,Paramètres!$A$1:$I$89,3,0)*0.475*44/12</f>
        <v>2.340836540264722E-6</v>
      </c>
      <c r="CN80" s="22">
        <f t="shared" si="66"/>
        <v>6.0182300281644432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7.4</v>
      </c>
      <c r="CT80" s="12">
        <f>IF('Données projet'!$A$140&gt;35,CT79+CS80-DB79,IF(A80&lt;'Données projet'!$A$140,$CQ$205^A80,IF(A80='Données projet'!$A$140,'Données projet'!$B$140,CT79+CS80-DB79)))</f>
        <v>410.80000000000007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3.9</v>
      </c>
      <c r="DO80" s="12">
        <f>IF('Données projet'!$A$166&gt;35,DO79+DN80-DW79,IF(A80&lt;'Données projet'!$A$166,$DL$205^A80,IF(A80='Données projet'!$A$166,'Données projet'!$B$166,DO79+DN80-DW79)))</f>
        <v>330.29999999999956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168.08890945052406</v>
      </c>
      <c r="T81" s="59">
        <f t="shared" si="88"/>
        <v>182.52462557642343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2.4010918910882872</v>
      </c>
      <c r="AA81" s="21">
        <f>EXP(-LN(2)/25)*AA80+(1-EXP(-LN(2)/25))/(LN(2)/25)*Calculateur!V81*Calculateur!X81*VLOOKUP('Données projet'!$B$9,Paramètres!$A$1:$I$89,3,0)*0.475*44/12</f>
        <v>3.2584912490888573</v>
      </c>
      <c r="AB81" s="21">
        <f>EXP(-LN(2)/2)*AB80+(1-EXP(-LN(2)/2))/(LN(2)/2)*V81*Y81*VLOOKUP('Données projet'!$B$9,Paramètres!$A$1:$I$89,3,0)*0.475*44/12</f>
        <v>3.245885595127446E-7</v>
      </c>
      <c r="AC81" s="22">
        <f t="shared" si="57"/>
        <v>5.6595834647657037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435.59999999999957</v>
      </c>
      <c r="AJ81" s="13">
        <f>AI81*VLOOKUP('Données projet'!$B$10,Paramètres!$A$1:$I$89,3,0)*VLOOKUP('Données projet'!$B$10,Paramètres!$A$1:$I$89,5,0)</f>
        <v>260.48879999999974</v>
      </c>
      <c r="AK81" s="13">
        <f t="shared" si="89"/>
        <v>62.826558970958764</v>
      </c>
      <c r="AL81" s="20">
        <f t="shared" si="58"/>
        <v>563.107583541086</v>
      </c>
      <c r="AM81" s="59">
        <f t="shared" si="59"/>
        <v>856.44091687441937</v>
      </c>
      <c r="AN81" s="59">
        <f ca="1">AVERAGE(OFFSET($AM$3,0,0,'Données projet'!$E$10+1,1))-AVERAGE(OFFSET($H$3,0,0,'Données projet'!$E$10+1,1))</f>
        <v>216.94426559495264</v>
      </c>
      <c r="AO81" s="59">
        <f t="shared" si="90"/>
        <v>225.33715877618704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3.3954758455583782</v>
      </c>
      <c r="AW81" s="21">
        <f>EXP(-LN(2)/2)*AW80+(1-EXP(-LN(2)/2))/(LN(2)/2)*AQ81*AT81*VLOOKUP('Données projet'!$B$10,Paramètres!$A$1:$I$89,3,0)*0.475*44/12</f>
        <v>1.4143800660263879E-6</v>
      </c>
      <c r="AX81" s="21">
        <f t="shared" si="60"/>
        <v>3.3954772599384442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6.1</v>
      </c>
      <c r="BD81" s="12">
        <f>IF('Données projet'!$A$88&gt;35,BD80+BC81-BL80,IF(A81&lt;'Données projet'!$A$88,$BA$205^A81,IF(A81='Données projet'!$A$88,'Données projet'!$B$88,BD80+BC81-BL80)))</f>
        <v>269.80000000000024</v>
      </c>
      <c r="BE81" s="13">
        <f>BD81*VLOOKUP('Données projet'!$B$11,Paramètres!$A$1:$I$89,3,0)*VLOOKUP('Données projet'!$B$11,Paramètres!$A$1:$I$89,5,0)</f>
        <v>244.11504000000019</v>
      </c>
      <c r="BF81" s="13">
        <f t="shared" si="91"/>
        <v>59.324023461759062</v>
      </c>
      <c r="BG81" s="20">
        <f t="shared" si="61"/>
        <v>528.48970219589739</v>
      </c>
      <c r="BH81" s="59">
        <f t="shared" si="62"/>
        <v>821.82303552923076</v>
      </c>
      <c r="BI81" s="59">
        <f ca="1">AVERAGE(OFFSET($BH$3,0,0,'Données projet'!$E$11+1,1))-AVERAGE(OFFSET($H$3,0,0,'Données projet'!$E$11+1,1))</f>
        <v>237.22177246688199</v>
      </c>
      <c r="BJ81" s="59">
        <f t="shared" si="92"/>
        <v>149.27472147904302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0.82075817029752018</v>
      </c>
      <c r="BR81" s="21">
        <f>EXP(-LN(2)/2)*BR80+(1-EXP(-LN(2)/2))/(LN(2)/2)*BL81*BO81*VLOOKUP('Données projet'!$B$11,Paramètres!$A$1:$I$89,3,0)*0.475*44/12</f>
        <v>3.6891388025453253E-7</v>
      </c>
      <c r="BS81" s="22">
        <f t="shared" si="63"/>
        <v>0.82075853921140041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3.7</v>
      </c>
      <c r="BY81" s="12">
        <f>IF('Données projet'!$A$114&gt;35,BY80+BX81-CG80,IF(A81&lt;'Données projet'!$A$114,$BV$205^A81,IF(A81='Données projet'!$A$114,'Données projet'!$B$114,BY80+BX81-CG80)))</f>
        <v>239.59999999999994</v>
      </c>
      <c r="BZ81" s="13">
        <f>BY81*VLOOKUP('Données projet'!$B$12,Paramètres!$A$1:$I$89,3,0)*VLOOKUP('Données projet'!$B$12,Paramètres!$A$1:$I$89,5,0)</f>
        <v>209.31456</v>
      </c>
      <c r="CA81" s="13">
        <f t="shared" si="93"/>
        <v>51.78577132421475</v>
      </c>
      <c r="CB81" s="20">
        <f t="shared" si="64"/>
        <v>454.74974372300727</v>
      </c>
      <c r="CC81" s="59">
        <f t="shared" si="65"/>
        <v>748.08307705634058</v>
      </c>
      <c r="CD81" s="59">
        <f ca="1">AVERAGE(OFFSET($CC$3,0,0,'Données projet'!$E$12+1,1))-AVERAGE(OFFSET($H$3,0,0,'Données projet'!$E$12+1,1))</f>
        <v>223.81948236065614</v>
      </c>
      <c r="CE81" s="59">
        <f t="shared" si="94"/>
        <v>320.1204011431372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1.1877328661669098</v>
      </c>
      <c r="CL81" s="21">
        <f>EXP(-LN(2)/25)*CL80+(1-EXP(-LN(2)/25))/(LN(2)/25)*Calculateur!CG81*Calculateur!CI81*VLOOKUP('Données projet'!$B$12,Paramètres!$A$1:$I$89,3,0)*0.475*44/12</f>
        <v>4.6752977419913568</v>
      </c>
      <c r="CM81" s="21">
        <f>EXP(-LN(2)/2)*CM80+(1-EXP(-LN(2)/2))/(LN(2)/2)*CG81*CJ81*VLOOKUP('Données projet'!$B$12,Paramètres!$A$1:$I$89,3,0)*0.475*44/12</f>
        <v>1.6552213912704418E-6</v>
      </c>
      <c r="CN81" s="22">
        <f t="shared" si="66"/>
        <v>5.8630322633796581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7.4</v>
      </c>
      <c r="CT81" s="12">
        <f>IF('Données projet'!$A$140&gt;35,CT80+CS81-DB80,IF(A81&lt;'Données projet'!$A$140,$CQ$205^A81,IF(A81='Données projet'!$A$140,'Données projet'!$B$140,CT80+CS81-DB80)))</f>
        <v>418.20000000000005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3.9</v>
      </c>
      <c r="DO81" s="12">
        <f>IF('Données projet'!$A$166&gt;35,DO80+DN81-DW80,IF(A81&lt;'Données projet'!$A$166,$DL$205^A81,IF(A81='Données projet'!$A$166,'Données projet'!$B$166,DO80+DN81-DW80)))</f>
        <v>334.19999999999953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168.08890945052406</v>
      </c>
      <c r="T82" s="59">
        <f t="shared" si="88"/>
        <v>182.52462557642343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2.3540079436254899</v>
      </c>
      <c r="AA82" s="21">
        <f>EXP(-LN(2)/25)*AA81+(1-EXP(-LN(2)/25))/(LN(2)/25)*Calculateur!V82*Calculateur!X82*VLOOKUP('Données projet'!$B$9,Paramètres!$A$1:$I$89,3,0)*0.475*44/12</f>
        <v>3.1693876345259153</v>
      </c>
      <c r="AB82" s="21">
        <f>EXP(-LN(2)/2)*AB81+(1-EXP(-LN(2)/2))/(LN(2)/2)*V82*Y82*VLOOKUP('Données projet'!$B$9,Paramètres!$A$1:$I$89,3,0)*0.475*44/12</f>
        <v>2.2951877152703496E-7</v>
      </c>
      <c r="AC82" s="22">
        <f t="shared" si="57"/>
        <v>5.5233958076701759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442.79999999999956</v>
      </c>
      <c r="AJ82" s="13">
        <f>AI82*VLOOKUP('Données projet'!$B$10,Paramètres!$A$1:$I$89,3,0)*VLOOKUP('Données projet'!$B$10,Paramètres!$A$1:$I$89,5,0)</f>
        <v>264.79439999999977</v>
      </c>
      <c r="AK82" s="13">
        <f t="shared" si="89"/>
        <v>63.74326095490612</v>
      </c>
      <c r="AL82" s="20">
        <f t="shared" si="58"/>
        <v>572.2030928297944</v>
      </c>
      <c r="AM82" s="59">
        <f t="shared" si="59"/>
        <v>865.53642616312777</v>
      </c>
      <c r="AN82" s="59">
        <f ca="1">AVERAGE(OFFSET($AM$3,0,0,'Données projet'!$E$10+1,1))-AVERAGE(OFFSET($H$3,0,0,'Données projet'!$E$10+1,1))</f>
        <v>216.94426559495264</v>
      </c>
      <c r="AO82" s="59">
        <f t="shared" si="90"/>
        <v>225.33715877618704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3.3026263800012701</v>
      </c>
      <c r="AW82" s="21">
        <f>EXP(-LN(2)/2)*AW81+(1-EXP(-LN(2)/2))/(LN(2)/2)*AQ82*AT82*VLOOKUP('Données projet'!$B$10,Paramètres!$A$1:$I$89,3,0)*0.475*44/12</f>
        <v>1.0001177358623357E-6</v>
      </c>
      <c r="AX82" s="21">
        <f t="shared" si="60"/>
        <v>3.3026273801190058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6.1</v>
      </c>
      <c r="BD82" s="12">
        <f>IF('Données projet'!$A$88&gt;35,BD81+BC82-BL81,IF(A82&lt;'Données projet'!$A$88,$BA$205^A82,IF(A82='Données projet'!$A$88,'Données projet'!$B$88,BD81+BC82-BL81)))</f>
        <v>275.90000000000026</v>
      </c>
      <c r="BE82" s="13">
        <f>BD82*VLOOKUP('Données projet'!$B$11,Paramètres!$A$1:$I$89,3,0)*VLOOKUP('Données projet'!$B$11,Paramètres!$A$1:$I$89,5,0)</f>
        <v>249.63432000000023</v>
      </c>
      <c r="BF82" s="13">
        <f t="shared" si="91"/>
        <v>60.507629314318471</v>
      </c>
      <c r="BG82" s="20">
        <f t="shared" si="61"/>
        <v>540.16389505577172</v>
      </c>
      <c r="BH82" s="59">
        <f t="shared" si="62"/>
        <v>833.49722838910498</v>
      </c>
      <c r="BI82" s="59">
        <f ca="1">AVERAGE(OFFSET($BH$3,0,0,'Données projet'!$E$11+1,1))-AVERAGE(OFFSET($H$3,0,0,'Données projet'!$E$11+1,1))</f>
        <v>237.22177246688199</v>
      </c>
      <c r="BJ82" s="59">
        <f t="shared" si="92"/>
        <v>149.27472147904302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0.79831449496893814</v>
      </c>
      <c r="BR82" s="21">
        <f>EXP(-LN(2)/2)*BR81+(1-EXP(-LN(2)/2))/(LN(2)/2)*BL82*BO82*VLOOKUP('Données projet'!$B$11,Paramètres!$A$1:$I$89,3,0)*0.475*44/12</f>
        <v>2.6086150640182193E-7</v>
      </c>
      <c r="BS82" s="22">
        <f t="shared" si="63"/>
        <v>0.79831475583044453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3.7</v>
      </c>
      <c r="BY82" s="12">
        <f>IF('Données projet'!$A$114&gt;35,BY81+BX82-CG81,IF(A82&lt;'Données projet'!$A$114,$BV$205^A82,IF(A82='Données projet'!$A$114,'Données projet'!$B$114,BY81+BX82-CG81)))</f>
        <v>243.29999999999993</v>
      </c>
      <c r="BZ82" s="13">
        <f>BY82*VLOOKUP('Données projet'!$B$12,Paramètres!$A$1:$I$89,3,0)*VLOOKUP('Données projet'!$B$12,Paramètres!$A$1:$I$89,5,0)</f>
        <v>212.54687999999996</v>
      </c>
      <c r="CA82" s="13">
        <f t="shared" si="93"/>
        <v>52.491751972791846</v>
      </c>
      <c r="CB82" s="20">
        <f t="shared" si="64"/>
        <v>461.60895068594567</v>
      </c>
      <c r="CC82" s="59">
        <f t="shared" si="65"/>
        <v>754.94228401927899</v>
      </c>
      <c r="CD82" s="59">
        <f ca="1">AVERAGE(OFFSET($CC$3,0,0,'Données projet'!$E$12+1,1))-AVERAGE(OFFSET($H$3,0,0,'Données projet'!$E$12+1,1))</f>
        <v>223.81948236065614</v>
      </c>
      <c r="CE82" s="59">
        <f t="shared" si="94"/>
        <v>320.1204011431372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1.1644421491068919</v>
      </c>
      <c r="CL82" s="21">
        <f>EXP(-LN(2)/25)*CL81+(1-EXP(-LN(2)/25))/(LN(2)/25)*Calculateur!CG82*Calculateur!CI82*VLOOKUP('Données projet'!$B$12,Paramètres!$A$1:$I$89,3,0)*0.475*44/12</f>
        <v>4.5474514793733807</v>
      </c>
      <c r="CM82" s="21">
        <f>EXP(-LN(2)/2)*CM81+(1-EXP(-LN(2)/2))/(LN(2)/2)*CG82*CJ82*VLOOKUP('Données projet'!$B$12,Paramètres!$A$1:$I$89,3,0)*0.475*44/12</f>
        <v>1.170418270132361E-6</v>
      </c>
      <c r="CN82" s="22">
        <f t="shared" si="66"/>
        <v>5.711894798898542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7.4</v>
      </c>
      <c r="CT82" s="12">
        <f>IF('Données projet'!$A$140&gt;35,CT81+CS82-DB81,IF(A82&lt;'Données projet'!$A$140,$CQ$205^A82,IF(A82='Données projet'!$A$140,'Données projet'!$B$140,CT81+CS82-DB81)))</f>
        <v>425.6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3.9</v>
      </c>
      <c r="DO82" s="12">
        <f>IF('Données projet'!$A$166&gt;35,DO81+DN82-DW81,IF(A82&lt;'Données projet'!$A$166,$DL$205^A82,IF(A82='Données projet'!$A$166,'Données projet'!$B$166,DO81+DN82-DW81)))</f>
        <v>338.09999999999951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168.08890945052406</v>
      </c>
      <c r="T83" s="59">
        <f t="shared" si="88"/>
        <v>182.52462557642343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2.3078472836540658</v>
      </c>
      <c r="AA83" s="21">
        <f>EXP(-LN(2)/25)*AA82+(1-EXP(-LN(2)/25))/(LN(2)/25)*Calculateur!V83*Calculateur!X83*VLOOKUP('Données projet'!$B$9,Paramètres!$A$1:$I$89,3,0)*0.475*44/12</f>
        <v>3.082720562988952</v>
      </c>
      <c r="AB83" s="21">
        <f>EXP(-LN(2)/2)*AB82+(1-EXP(-LN(2)/2))/(LN(2)/2)*V83*Y83*VLOOKUP('Données projet'!$B$9,Paramètres!$A$1:$I$89,3,0)*0.475*44/12</f>
        <v>1.622942797563723E-7</v>
      </c>
      <c r="AC83" s="22">
        <f t="shared" si="57"/>
        <v>5.3905680089372972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450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449.99999999999955</v>
      </c>
      <c r="AJ83" s="13">
        <f>AI83*VLOOKUP('Données projet'!$B$10,Paramètres!$A$1:$I$89,3,0)*VLOOKUP('Données projet'!$B$10,Paramètres!$A$1:$I$89,5,0)</f>
        <v>269.09999999999974</v>
      </c>
      <c r="AK83" s="13">
        <f t="shared" si="89"/>
        <v>64.658229472790936</v>
      </c>
      <c r="AL83" s="20">
        <f t="shared" si="58"/>
        <v>581.29558299844382</v>
      </c>
      <c r="AM83" s="59">
        <f t="shared" si="59"/>
        <v>874.62891633177719</v>
      </c>
      <c r="AN83" s="59">
        <f ca="1">AVERAGE(OFFSET($AM$3,0,0,'Données projet'!$E$10+1,1))-AVERAGE(OFFSET($H$3,0,0,'Données projet'!$E$10+1,1))</f>
        <v>216.94426559495264</v>
      </c>
      <c r="AO83" s="59">
        <f t="shared" si="90"/>
        <v>225.33715877618704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450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3.2123158879625624</v>
      </c>
      <c r="AW83" s="21">
        <f>EXP(-LN(2)/2)*AW82+(1-EXP(-LN(2)/2))/(LN(2)/2)*AQ83*AT83*VLOOKUP('Données projet'!$B$10,Paramètres!$A$1:$I$89,3,0)*0.475*44/12</f>
        <v>7.0719003301319395E-7</v>
      </c>
      <c r="AX83" s="21">
        <f t="shared" si="60"/>
        <v>3.2123165951525956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282</v>
      </c>
      <c r="BB83" s="12">
        <f>VLOOKUP(A83,'Données projet'!$A$87:$I$107,9,0)</f>
        <v>6.1</v>
      </c>
      <c r="BC83" s="12">
        <f t="array" ref="BC83">INDEX(BB:BB,MIN(IF(ISNUMBER(BB83:BB279),ROW(BB83:BB279),"")))</f>
        <v>6.1</v>
      </c>
      <c r="BD83" s="12">
        <f>IF('Données projet'!$A$88&gt;35,BD82+BC83-BL82,IF(A83&lt;'Données projet'!$A$88,$BA$205^A83,IF(A83='Données projet'!$A$88,'Données projet'!$B$88,BD82+BC83-BL82)))</f>
        <v>282.00000000000028</v>
      </c>
      <c r="BE83" s="13">
        <f>BD83*VLOOKUP('Données projet'!$B$11,Paramètres!$A$1:$I$89,3,0)*VLOOKUP('Données projet'!$B$11,Paramètres!$A$1:$I$89,5,0)</f>
        <v>255.15360000000024</v>
      </c>
      <c r="BF83" s="13">
        <f t="shared" si="91"/>
        <v>61.688192762754483</v>
      </c>
      <c r="BG83" s="20">
        <f t="shared" si="61"/>
        <v>551.83278906179783</v>
      </c>
      <c r="BH83" s="59">
        <f t="shared" si="62"/>
        <v>845.1661223951312</v>
      </c>
      <c r="BI83" s="59">
        <f ca="1">AVERAGE(OFFSET($BH$3,0,0,'Données projet'!$E$11+1,1))-AVERAGE(OFFSET($H$3,0,0,'Données projet'!$E$11+1,1))</f>
        <v>237.22177246688199</v>
      </c>
      <c r="BJ83" s="59">
        <f t="shared" si="92"/>
        <v>149.27472147904302</v>
      </c>
      <c r="BK83" s="15">
        <f>IF(ISNA(VLOOKUP(A83,'Données projet'!$A$87:$I$107,3,0)),0,VLOOKUP(A83,'Données projet'!$A$87:$I$107,3,0))</f>
        <v>6</v>
      </c>
      <c r="BL83" s="21">
        <f>IF(ISNA(VLOOKUP(A83,'Données projet'!$A$87:$I$107,4,0)),0,VLOOKUP(A83,'Données projet'!$A$87:$I$107,4,0))</f>
        <v>42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0.77648454312247783</v>
      </c>
      <c r="BR83" s="21">
        <f>EXP(-LN(2)/2)*BR82+(1-EXP(-LN(2)/2))/(LN(2)/2)*BL83*BO83*VLOOKUP('Données projet'!$B$11,Paramètres!$A$1:$I$89,3,0)*0.475*44/12</f>
        <v>1.8445694012726627E-7</v>
      </c>
      <c r="BS83" s="22">
        <f t="shared" si="63"/>
        <v>0.776484727579418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247</v>
      </c>
      <c r="BW83" s="12">
        <f>VLOOKUP(A83,'Données projet'!$A$113:$I$133,9,0)</f>
        <v>3.7</v>
      </c>
      <c r="BX83" s="12">
        <f t="array" ref="BX83">INDEX(BW:BW,MIN(IF(ISNUMBER(BW83:BW279),ROW(BW83:BW279),"")))</f>
        <v>3.7</v>
      </c>
      <c r="BY83" s="12">
        <f>IF('Données projet'!$A$114&gt;35,BY82+BX83-CG82,IF(A83&lt;'Données projet'!$A$114,$BV$205^A83,IF(A83='Données projet'!$A$114,'Données projet'!$B$114,BY82+BX83-CG82)))</f>
        <v>246.99999999999991</v>
      </c>
      <c r="BZ83" s="13">
        <f>BY83*VLOOKUP('Données projet'!$B$12,Paramètres!$A$1:$I$89,3,0)*VLOOKUP('Données projet'!$B$12,Paramètres!$A$1:$I$89,5,0)</f>
        <v>215.77919999999995</v>
      </c>
      <c r="CA83" s="13">
        <f t="shared" si="93"/>
        <v>53.196483976998607</v>
      </c>
      <c r="CB83" s="20">
        <f t="shared" si="64"/>
        <v>468.4659829266057</v>
      </c>
      <c r="CC83" s="59">
        <f t="shared" si="65"/>
        <v>761.79931625993902</v>
      </c>
      <c r="CD83" s="59">
        <f ca="1">AVERAGE(OFFSET($CC$3,0,0,'Données projet'!$E$12+1,1))-AVERAGE(OFFSET($H$3,0,0,'Données projet'!$E$12+1,1))</f>
        <v>223.81948236065614</v>
      </c>
      <c r="CE83" s="59">
        <f t="shared" si="94"/>
        <v>320.1204011431372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28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1.1416081488024863</v>
      </c>
      <c r="CL83" s="21">
        <f>EXP(-LN(2)/25)*CL82+(1-EXP(-LN(2)/25))/(LN(2)/25)*Calculateur!CG83*Calculateur!CI83*VLOOKUP('Données projet'!$B$12,Paramètres!$A$1:$I$89,3,0)*0.475*44/12</f>
        <v>4.4231011795298354</v>
      </c>
      <c r="CM83" s="21">
        <f>EXP(-LN(2)/2)*CM82+(1-EXP(-LN(2)/2))/(LN(2)/2)*CG83*CJ83*VLOOKUP('Données projet'!$B$12,Paramètres!$A$1:$I$89,3,0)*0.475*44/12</f>
        <v>8.2761069563522089E-7</v>
      </c>
      <c r="CN83" s="22">
        <f t="shared" si="66"/>
        <v>5.5647101559430174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433</v>
      </c>
      <c r="CR83" s="12">
        <f>VLOOKUP(A83,'Données projet'!$A$139:$I$159,9,0)</f>
        <v>7.4</v>
      </c>
      <c r="CS83" s="12">
        <f t="array" ref="CS83">INDEX(CR:CR,MIN(IF(ISNUMBER(CR83:CR279),ROW(CR83:CR279),"")))</f>
        <v>7.4</v>
      </c>
      <c r="CT83" s="12">
        <f>IF('Données projet'!$A$140&gt;35,CT82+CS83-DB82,IF(A83&lt;'Données projet'!$A$140,$CQ$205^A83,IF(A83='Données projet'!$A$140,'Données projet'!$B$140,CT82+CS83-DB82)))</f>
        <v>433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433</v>
      </c>
      <c r="DC83" s="16" t="e">
        <f>IF(ISNA(VLOOKUP(A83,'Données projet'!$A$139:$I$159,5,0)),0%,VLOOKUP(A83,'Données projet'!$A$139:$I$159,5,0)*VLOOKUP('Données projet'!$B$13,Paramètres!$A$1:$I$89,7,0))</f>
        <v>#N/A</v>
      </c>
      <c r="DD83" s="16" t="e">
        <f>IF(ISNA(VLOOKUP(A83,'Données projet'!$A$139:$I$159,6,0)),0%,VLOOKUP(A83,'Données projet'!$A$139:$I$159,6,0)*VLOOKUP('Données projet'!$B$13,Paramètres!$A$1:$I$89,7,0))</f>
        <v>#N/A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342</v>
      </c>
      <c r="DM83" s="12">
        <f>VLOOKUP(A83,'Données projet'!$A$165:$I$185,9,0)</f>
        <v>3.9</v>
      </c>
      <c r="DN83" s="12">
        <f t="array" ref="DN83">INDEX(DM:DM,MIN(IF(ISNUMBER(DM83:DM279),ROW(DM83:DM279),"")))</f>
        <v>3.9</v>
      </c>
      <c r="DO83" s="12">
        <f>IF('Données projet'!$A$166&gt;35,DO82+DN83-DW82,IF(A83&lt;'Données projet'!$A$166,$DL$205^A83,IF(A83='Données projet'!$A$166,'Données projet'!$B$166,DO82+DN83-DW82)))</f>
        <v>341.99999999999949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8</v>
      </c>
      <c r="DW83" s="15">
        <f>IF(ISNA(VLOOKUP(A83,'Données projet'!$A$165:$I$185,4,0)),0,VLOOKUP(A83,'Données projet'!$A$165:$I$185,4,0))</f>
        <v>342</v>
      </c>
      <c r="DX83" s="16" t="e">
        <f>IF(ISNA(VLOOKUP(A83,'Données projet'!$A$165:$I$185,5,0)),0%,VLOOKUP(A83,'Données projet'!$A$165:$I$185,5,0)*VLOOKUP('Données projet'!$B$14,Paramètres!$A$1:$I$89,7,0))</f>
        <v>#N/A</v>
      </c>
      <c r="DY83" s="16" t="e">
        <f>IF(ISNA(VLOOKUP(A83,'Données projet'!$A$165:$I$185,6,0)),0%,VLOOKUP(A83,'Données projet'!$A$165:$I$185,6,0)*VLOOKUP('Données projet'!$B$14,Paramètres!$A$1:$I$89,7,0))</f>
        <v>#N/A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168.08890945052406</v>
      </c>
      <c r="T84" s="59">
        <f t="shared" si="88"/>
        <v>182.52462557642343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2.2625918060694588</v>
      </c>
      <c r="AA84" s="21">
        <f>EXP(-LN(2)/25)*AA83+(1-EXP(-LN(2)/25))/(LN(2)/25)*Calculateur!V84*Calculateur!X84*VLOOKUP('Données projet'!$B$9,Paramètres!$A$1:$I$89,3,0)*0.475*44/12</f>
        <v>2.9984234070807902</v>
      </c>
      <c r="AB84" s="21">
        <f>EXP(-LN(2)/2)*AB83+(1-EXP(-LN(2)/2))/(LN(2)/2)*V84*Y84*VLOOKUP('Données projet'!$B$9,Paramètres!$A$1:$I$89,3,0)*0.475*44/12</f>
        <v>1.1475938576351748E-7</v>
      </c>
      <c r="AC84" s="22">
        <f t="shared" si="57"/>
        <v>5.261015327909635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-4.5474735088646412E-13</v>
      </c>
      <c r="AJ84" s="13">
        <f>AI84*VLOOKUP('Données projet'!$B$10,Paramètres!$A$1:$I$89,3,0)*VLOOKUP('Données projet'!$B$10,Paramètres!$A$1:$I$89,5,0)</f>
        <v>-2.7193891583010558E-13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216.94426559495264</v>
      </c>
      <c r="AO84" s="59">
        <f t="shared" si="90"/>
        <v>225.33715877618704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3.1244749410778754</v>
      </c>
      <c r="AW84" s="21">
        <f>EXP(-LN(2)/2)*AW83+(1-EXP(-LN(2)/2))/(LN(2)/2)*AQ84*AT84*VLOOKUP('Données projet'!$B$10,Paramètres!$A$1:$I$89,3,0)*0.475*44/12</f>
        <v>5.0005886793116784E-7</v>
      </c>
      <c r="AX84" s="21">
        <f t="shared" si="60"/>
        <v>3.1244754411367435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5.6</v>
      </c>
      <c r="BD84" s="12">
        <f>IF('Données projet'!$A$88&gt;35,BD83+BC84-BL83,IF(A84&lt;'Données projet'!$A$88,$BA$205^A84,IF(A84='Données projet'!$A$88,'Données projet'!$B$88,BD83+BC84-BL83)))</f>
        <v>245.60000000000031</v>
      </c>
      <c r="BE84" s="13">
        <f>BD84*VLOOKUP('Données projet'!$B$11,Paramètres!$A$1:$I$89,3,0)*VLOOKUP('Données projet'!$B$11,Paramètres!$A$1:$I$89,5,0)</f>
        <v>222.2188800000003</v>
      </c>
      <c r="BF84" s="13">
        <f t="shared" si="91"/>
        <v>54.596866296848951</v>
      </c>
      <c r="BG84" s="20">
        <f t="shared" si="61"/>
        <v>482.12075813367898</v>
      </c>
      <c r="BH84" s="59">
        <f t="shared" si="62"/>
        <v>775.45409146701229</v>
      </c>
      <c r="BI84" s="59">
        <f ca="1">AVERAGE(OFFSET($BH$3,0,0,'Données projet'!$E$11+1,1))-AVERAGE(OFFSET($H$3,0,0,'Données projet'!$E$11+1,1))</f>
        <v>237.22177246688199</v>
      </c>
      <c r="BJ84" s="59">
        <f t="shared" si="92"/>
        <v>149.27472147904302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0.75525153245724619</v>
      </c>
      <c r="BR84" s="21">
        <f>EXP(-LN(2)/2)*BR83+(1-EXP(-LN(2)/2))/(LN(2)/2)*BL84*BO84*VLOOKUP('Données projet'!$B$11,Paramètres!$A$1:$I$89,3,0)*0.475*44/12</f>
        <v>1.3043075320091096E-7</v>
      </c>
      <c r="BS84" s="22">
        <f t="shared" si="63"/>
        <v>0.75525166288799939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2.9</v>
      </c>
      <c r="BY84" s="12">
        <f>IF('Données projet'!$A$114&gt;35,BY83+BX84-CG83,IF(A84&lt;'Données projet'!$A$114,$BV$205^A84,IF(A84='Données projet'!$A$114,'Données projet'!$B$114,BY83+BX84-CG83)))</f>
        <v>221.89999999999992</v>
      </c>
      <c r="BZ84" s="13">
        <f>BY84*VLOOKUP('Données projet'!$B$12,Paramètres!$A$1:$I$89,3,0)*VLOOKUP('Données projet'!$B$12,Paramètres!$A$1:$I$89,5,0)</f>
        <v>193.85183999999995</v>
      </c>
      <c r="CA84" s="13">
        <f t="shared" si="93"/>
        <v>48.390542715745532</v>
      </c>
      <c r="CB84" s="20">
        <f t="shared" si="64"/>
        <v>421.90548322992339</v>
      </c>
      <c r="CC84" s="59">
        <f t="shared" si="65"/>
        <v>715.23881656325671</v>
      </c>
      <c r="CD84" s="59">
        <f ca="1">AVERAGE(OFFSET($CC$3,0,0,'Données projet'!$E$12+1,1))-AVERAGE(OFFSET($H$3,0,0,'Données projet'!$E$12+1,1))</f>
        <v>223.81948236065614</v>
      </c>
      <c r="CE84" s="59">
        <f t="shared" si="94"/>
        <v>320.1204011431372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1.1192219093166851</v>
      </c>
      <c r="CL84" s="21">
        <f>EXP(-LN(2)/25)*CL83+(1-EXP(-LN(2)/25))/(LN(2)/25)*Calculateur!CG84*Calculateur!CI84*VLOOKUP('Données projet'!$B$12,Paramètres!$A$1:$I$89,3,0)*0.475*44/12</f>
        <v>4.3021512451748105</v>
      </c>
      <c r="CM84" s="21">
        <f>EXP(-LN(2)/2)*CM83+(1-EXP(-LN(2)/2))/(LN(2)/2)*CG84*CJ84*VLOOKUP('Données projet'!$B$12,Paramètres!$A$1:$I$89,3,0)*0.475*44/12</f>
        <v>5.8520913506618051E-7</v>
      </c>
      <c r="CN84" s="22">
        <f t="shared" si="66"/>
        <v>5.4213737397006314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-5.1159076974727213E-13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168.08890945052406</v>
      </c>
      <c r="T85" s="59">
        <f t="shared" si="88"/>
        <v>182.52462557642343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2.2182237607971702</v>
      </c>
      <c r="AA85" s="21">
        <f>EXP(-LN(2)/25)*AA84+(1-EXP(-LN(2)/25))/(LN(2)/25)*Calculateur!V85*Calculateur!X85*VLOOKUP('Données projet'!$B$9,Paramètres!$A$1:$I$89,3,0)*0.475*44/12</f>
        <v>2.9164313613339319</v>
      </c>
      <c r="AB85" s="21">
        <f>EXP(-LN(2)/2)*AB84+(1-EXP(-LN(2)/2))/(LN(2)/2)*V85*Y85*VLOOKUP('Données projet'!$B$9,Paramètres!$A$1:$I$89,3,0)*0.475*44/12</f>
        <v>8.1147139878186151E-8</v>
      </c>
      <c r="AC85" s="22">
        <f t="shared" si="57"/>
        <v>5.1346552032782418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-4.5474735088646412E-13</v>
      </c>
      <c r="AJ85" s="13">
        <f>AI85*VLOOKUP('Données projet'!$B$10,Paramètres!$A$1:$I$89,3,0)*VLOOKUP('Données projet'!$B$10,Paramètres!$A$1:$I$89,5,0)</f>
        <v>-2.7193891583010558E-13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216.94426559495264</v>
      </c>
      <c r="AO85" s="59">
        <f t="shared" si="90"/>
        <v>225.33715877618704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3.039036009505105</v>
      </c>
      <c r="AW85" s="21">
        <f>EXP(-LN(2)/2)*AW84+(1-EXP(-LN(2)/2))/(LN(2)/2)*AQ85*AT85*VLOOKUP('Données projet'!$B$10,Paramètres!$A$1:$I$89,3,0)*0.475*44/12</f>
        <v>3.5359501650659697E-7</v>
      </c>
      <c r="AX85" s="21">
        <f t="shared" si="60"/>
        <v>3.0390363631001214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5.6</v>
      </c>
      <c r="BD85" s="12">
        <f>IF('Données projet'!$A$88&gt;35,BD84+BC85-BL84,IF(A85&lt;'Données projet'!$A$88,$BA$205^A85,IF(A85='Données projet'!$A$88,'Données projet'!$B$88,BD84+BC85-BL84)))</f>
        <v>251.2000000000003</v>
      </c>
      <c r="BE85" s="13">
        <f>BD85*VLOOKUP('Données projet'!$B$11,Paramètres!$A$1:$I$89,3,0)*VLOOKUP('Données projet'!$B$11,Paramètres!$A$1:$I$89,5,0)</f>
        <v>227.28576000000027</v>
      </c>
      <c r="BF85" s="13">
        <f t="shared" si="91"/>
        <v>55.695394520076427</v>
      </c>
      <c r="BG85" s="20">
        <f t="shared" si="61"/>
        <v>492.85884412246696</v>
      </c>
      <c r="BH85" s="59">
        <f t="shared" si="62"/>
        <v>786.19217745580022</v>
      </c>
      <c r="BI85" s="59">
        <f ca="1">AVERAGE(OFFSET($BH$3,0,0,'Données projet'!$E$11+1,1))-AVERAGE(OFFSET($H$3,0,0,'Données projet'!$E$11+1,1))</f>
        <v>237.22177246688199</v>
      </c>
      <c r="BJ85" s="59">
        <f t="shared" si="92"/>
        <v>149.27472147904302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0.7345991395852508</v>
      </c>
      <c r="BR85" s="21">
        <f>EXP(-LN(2)/2)*BR84+(1-EXP(-LN(2)/2))/(LN(2)/2)*BL85*BO85*VLOOKUP('Données projet'!$B$11,Paramètres!$A$1:$I$89,3,0)*0.475*44/12</f>
        <v>9.2228470063633133E-8</v>
      </c>
      <c r="BS85" s="22">
        <f t="shared" si="63"/>
        <v>0.73459923181372089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2.9</v>
      </c>
      <c r="BY85" s="12">
        <f>IF('Données projet'!$A$114&gt;35,BY84+BX85-CG84,IF(A85&lt;'Données projet'!$A$114,$BV$205^A85,IF(A85='Données projet'!$A$114,'Données projet'!$B$114,BY84+BX85-CG84)))</f>
        <v>224.79999999999993</v>
      </c>
      <c r="BZ85" s="13">
        <f>BY85*VLOOKUP('Données projet'!$B$12,Paramètres!$A$1:$I$89,3,0)*VLOOKUP('Données projet'!$B$12,Paramètres!$A$1:$I$89,5,0)</f>
        <v>196.38527999999997</v>
      </c>
      <c r="CA85" s="13">
        <f t="shared" si="93"/>
        <v>48.948920378863868</v>
      </c>
      <c r="CB85" s="20">
        <f t="shared" si="64"/>
        <v>427.29039899318786</v>
      </c>
      <c r="CC85" s="59">
        <f t="shared" si="65"/>
        <v>720.62373232652112</v>
      </c>
      <c r="CD85" s="59">
        <f ca="1">AVERAGE(OFFSET($CC$3,0,0,'Données projet'!$E$12+1,1))-AVERAGE(OFFSET($H$3,0,0,'Données projet'!$E$12+1,1))</f>
        <v>223.81948236065614</v>
      </c>
      <c r="CE85" s="59">
        <f t="shared" si="94"/>
        <v>320.1204011431372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1.0972746503329427</v>
      </c>
      <c r="CL85" s="21">
        <f>EXP(-LN(2)/25)*CL84+(1-EXP(-LN(2)/25))/(LN(2)/25)*Calculateur!CG85*Calculateur!CI85*VLOOKUP('Données projet'!$B$12,Paramètres!$A$1:$I$89,3,0)*0.475*44/12</f>
        <v>4.1845086931352045</v>
      </c>
      <c r="CM85" s="21">
        <f>EXP(-LN(2)/2)*CM84+(1-EXP(-LN(2)/2))/(LN(2)/2)*CG85*CJ85*VLOOKUP('Données projet'!$B$12,Paramètres!$A$1:$I$89,3,0)*0.475*44/12</f>
        <v>4.1380534781761044E-7</v>
      </c>
      <c r="CN85" s="22">
        <f t="shared" si="66"/>
        <v>5.2817837572734954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-5.1159076974727213E-13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168.08890945052406</v>
      </c>
      <c r="T86" s="59">
        <f t="shared" si="88"/>
        <v>182.52462557642343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2.1747257458308358</v>
      </c>
      <c r="AA86" s="21">
        <f>EXP(-LN(2)/25)*AA85+(1-EXP(-LN(2)/25))/(LN(2)/25)*Calculateur!V86*Calculateur!X86*VLOOKUP('Données projet'!$B$9,Paramètres!$A$1:$I$89,3,0)*0.475*44/12</f>
        <v>2.8366813923897958</v>
      </c>
      <c r="AB86" s="21">
        <f>EXP(-LN(2)/2)*AB85+(1-EXP(-LN(2)/2))/(LN(2)/2)*V86*Y86*VLOOKUP('Données projet'!$B$9,Paramètres!$A$1:$I$89,3,0)*0.475*44/12</f>
        <v>5.737969288175874E-8</v>
      </c>
      <c r="AC86" s="22">
        <f t="shared" si="57"/>
        <v>5.0114071956003245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-4.5474735088646412E-13</v>
      </c>
      <c r="AJ86" s="13">
        <f>AI86*VLOOKUP('Données projet'!$B$10,Paramètres!$A$1:$I$89,3,0)*VLOOKUP('Données projet'!$B$10,Paramètres!$A$1:$I$89,5,0)</f>
        <v>-2.7193891583010558E-13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216.94426559495264</v>
      </c>
      <c r="AO86" s="59">
        <f t="shared" si="90"/>
        <v>225.33715877618704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2.95593341000923</v>
      </c>
      <c r="AW86" s="21">
        <f>EXP(-LN(2)/2)*AW85+(1-EXP(-LN(2)/2))/(LN(2)/2)*AQ86*AT86*VLOOKUP('Données projet'!$B$10,Paramètres!$A$1:$I$89,3,0)*0.475*44/12</f>
        <v>2.5002943396558392E-7</v>
      </c>
      <c r="AX86" s="21">
        <f t="shared" si="60"/>
        <v>2.9559336600386641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5.6</v>
      </c>
      <c r="BD86" s="12">
        <f>IF('Données projet'!$A$88&gt;35,BD85+BC86-BL85,IF(A86&lt;'Données projet'!$A$88,$BA$205^A86,IF(A86='Données projet'!$A$88,'Données projet'!$B$88,BD85+BC86-BL85)))</f>
        <v>256.8000000000003</v>
      </c>
      <c r="BE86" s="13">
        <f>BD86*VLOOKUP('Données projet'!$B$11,Paramètres!$A$1:$I$89,3,0)*VLOOKUP('Données projet'!$B$11,Paramètres!$A$1:$I$89,5,0)</f>
        <v>232.35264000000026</v>
      </c>
      <c r="BF86" s="13">
        <f t="shared" si="91"/>
        <v>56.791075613550355</v>
      </c>
      <c r="BG86" s="20">
        <f t="shared" si="61"/>
        <v>503.59197136026728</v>
      </c>
      <c r="BH86" s="59">
        <f t="shared" si="62"/>
        <v>796.92530469360054</v>
      </c>
      <c r="BI86" s="59">
        <f ca="1">AVERAGE(OFFSET($BH$3,0,0,'Données projet'!$E$11+1,1))-AVERAGE(OFFSET($H$3,0,0,'Données projet'!$E$11+1,1))</f>
        <v>237.22177246688199</v>
      </c>
      <c r="BJ86" s="59">
        <f t="shared" si="92"/>
        <v>149.27472147904302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0.71451148748240234</v>
      </c>
      <c r="BR86" s="21">
        <f>EXP(-LN(2)/2)*BR85+(1-EXP(-LN(2)/2))/(LN(2)/2)*BL86*BO86*VLOOKUP('Données projet'!$B$11,Paramètres!$A$1:$I$89,3,0)*0.475*44/12</f>
        <v>6.5215376600455482E-8</v>
      </c>
      <c r="BS86" s="22">
        <f t="shared" si="63"/>
        <v>0.714511552697779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2.9</v>
      </c>
      <c r="BY86" s="12">
        <f>IF('Données projet'!$A$114&gt;35,BY85+BX86-CG85,IF(A86&lt;'Données projet'!$A$114,$BV$205^A86,IF(A86='Données projet'!$A$114,'Données projet'!$B$114,BY85+BX86-CG85)))</f>
        <v>227.69999999999993</v>
      </c>
      <c r="BZ86" s="13">
        <f>BY86*VLOOKUP('Données projet'!$B$12,Paramètres!$A$1:$I$89,3,0)*VLOOKUP('Données projet'!$B$12,Paramètres!$A$1:$I$89,5,0)</f>
        <v>198.91871999999995</v>
      </c>
      <c r="CA86" s="13">
        <f t="shared" si="93"/>
        <v>49.506460185916012</v>
      </c>
      <c r="CB86" s="20">
        <f t="shared" si="64"/>
        <v>432.67385549047032</v>
      </c>
      <c r="CC86" s="59">
        <f t="shared" si="65"/>
        <v>726.00718882380363</v>
      </c>
      <c r="CD86" s="59">
        <f ca="1">AVERAGE(OFFSET($CC$3,0,0,'Données projet'!$E$12+1,1))-AVERAGE(OFFSET($H$3,0,0,'Données projet'!$E$12+1,1))</f>
        <v>223.81948236065614</v>
      </c>
      <c r="CE86" s="59">
        <f t="shared" si="94"/>
        <v>320.1204011431372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1.0757577637113653</v>
      </c>
      <c r="CL86" s="21">
        <f>EXP(-LN(2)/25)*CL85+(1-EXP(-LN(2)/25))/(LN(2)/25)*Calculateur!CG86*Calculateur!CI86*VLOOKUP('Données projet'!$B$12,Paramètres!$A$1:$I$89,3,0)*0.475*44/12</f>
        <v>4.070083082867674</v>
      </c>
      <c r="CM86" s="21">
        <f>EXP(-LN(2)/2)*CM85+(1-EXP(-LN(2)/2))/(LN(2)/2)*CG86*CJ86*VLOOKUP('Données projet'!$B$12,Paramètres!$A$1:$I$89,3,0)*0.475*44/12</f>
        <v>2.9260456753309025E-7</v>
      </c>
      <c r="CN86" s="22">
        <f t="shared" si="66"/>
        <v>5.1458411391836067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-5.1159076974727213E-13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168.08890945052406</v>
      </c>
      <c r="T87" s="59">
        <f t="shared" si="88"/>
        <v>182.52462557642343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2.1320807004068216</v>
      </c>
      <c r="AA87" s="21">
        <f>EXP(-LN(2)/25)*AA86+(1-EXP(-LN(2)/25))/(LN(2)/25)*Calculateur!V87*Calculateur!X87*VLOOKUP('Données projet'!$B$9,Paramètres!$A$1:$I$89,3,0)*0.475*44/12</f>
        <v>2.7591121905403058</v>
      </c>
      <c r="AB87" s="21">
        <f>EXP(-LN(2)/2)*AB86+(1-EXP(-LN(2)/2))/(LN(2)/2)*V87*Y87*VLOOKUP('Données projet'!$B$9,Paramètres!$A$1:$I$89,3,0)*0.475*44/12</f>
        <v>4.0573569939093075E-8</v>
      </c>
      <c r="AC87" s="22">
        <f t="shared" si="57"/>
        <v>4.8911929315206981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-4.5474735088646412E-13</v>
      </c>
      <c r="AJ87" s="13">
        <f>AI87*VLOOKUP('Données projet'!$B$10,Paramètres!$A$1:$I$89,3,0)*VLOOKUP('Données projet'!$B$10,Paramètres!$A$1:$I$89,5,0)</f>
        <v>-2.7193891583010558E-13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216.94426559495264</v>
      </c>
      <c r="AO87" s="59">
        <f t="shared" si="90"/>
        <v>225.33715877618704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2.8751032554667453</v>
      </c>
      <c r="AW87" s="21">
        <f>EXP(-LN(2)/2)*AW86+(1-EXP(-LN(2)/2))/(LN(2)/2)*AQ87*AT87*VLOOKUP('Données projet'!$B$10,Paramètres!$A$1:$I$89,3,0)*0.475*44/12</f>
        <v>1.7679750825329849E-7</v>
      </c>
      <c r="AX87" s="21">
        <f t="shared" si="60"/>
        <v>2.8751034322642535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5.6</v>
      </c>
      <c r="BD87" s="12">
        <f>IF('Données projet'!$A$88&gt;35,BD86+BC87-BL86,IF(A87&lt;'Données projet'!$A$88,$BA$205^A87,IF(A87='Données projet'!$A$88,'Données projet'!$B$88,BD86+BC87-BL86)))</f>
        <v>262.40000000000032</v>
      </c>
      <c r="BE87" s="13">
        <f>BD87*VLOOKUP('Données projet'!$B$11,Paramètres!$A$1:$I$89,3,0)*VLOOKUP('Données projet'!$B$11,Paramètres!$A$1:$I$89,5,0)</f>
        <v>237.41952000000029</v>
      </c>
      <c r="BF87" s="13">
        <f t="shared" si="91"/>
        <v>57.883978814320969</v>
      </c>
      <c r="BG87" s="20">
        <f t="shared" si="61"/>
        <v>514.32026043494284</v>
      </c>
      <c r="BH87" s="59">
        <f t="shared" si="62"/>
        <v>807.6535937682761</v>
      </c>
      <c r="BI87" s="59">
        <f ca="1">AVERAGE(OFFSET($BH$3,0,0,'Données projet'!$E$11+1,1))-AVERAGE(OFFSET($H$3,0,0,'Données projet'!$E$11+1,1))</f>
        <v>237.22177246688199</v>
      </c>
      <c r="BJ87" s="59">
        <f t="shared" si="92"/>
        <v>149.27472147904302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0.69497313328266996</v>
      </c>
      <c r="BR87" s="21">
        <f>EXP(-LN(2)/2)*BR86+(1-EXP(-LN(2)/2))/(LN(2)/2)*BL87*BO87*VLOOKUP('Données projet'!$B$11,Paramètres!$A$1:$I$89,3,0)*0.475*44/12</f>
        <v>4.6114235031816567E-8</v>
      </c>
      <c r="BS87" s="22">
        <f t="shared" si="63"/>
        <v>0.69497317939690495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2.9</v>
      </c>
      <c r="BY87" s="12">
        <f>IF('Données projet'!$A$114&gt;35,BY86+BX87-CG86,IF(A87&lt;'Données projet'!$A$114,$BV$205^A87,IF(A87='Données projet'!$A$114,'Données projet'!$B$114,BY86+BX87-CG86)))</f>
        <v>230.59999999999994</v>
      </c>
      <c r="BZ87" s="13">
        <f>BY87*VLOOKUP('Données projet'!$B$12,Paramètres!$A$1:$I$89,3,0)*VLOOKUP('Données projet'!$B$12,Paramètres!$A$1:$I$89,5,0)</f>
        <v>201.45215999999996</v>
      </c>
      <c r="CA87" s="13">
        <f t="shared" si="93"/>
        <v>50.063174041807549</v>
      </c>
      <c r="CB87" s="20">
        <f t="shared" si="64"/>
        <v>438.05587345614805</v>
      </c>
      <c r="CC87" s="59">
        <f t="shared" si="65"/>
        <v>731.38920678948136</v>
      </c>
      <c r="CD87" s="59">
        <f ca="1">AVERAGE(OFFSET($CC$3,0,0,'Données projet'!$E$12+1,1))-AVERAGE(OFFSET($H$3,0,0,'Données projet'!$E$12+1,1))</f>
        <v>223.81948236065614</v>
      </c>
      <c r="CE87" s="59">
        <f t="shared" si="94"/>
        <v>320.1204011431372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1.0546628101124322</v>
      </c>
      <c r="CL87" s="21">
        <f>EXP(-LN(2)/25)*CL86+(1-EXP(-LN(2)/25))/(LN(2)/25)*Calculateur!CG87*Calculateur!CI87*VLOOKUP('Données projet'!$B$12,Paramètres!$A$1:$I$89,3,0)*0.475*44/12</f>
        <v>3.9587864469302905</v>
      </c>
      <c r="CM87" s="21">
        <f>EXP(-LN(2)/2)*CM86+(1-EXP(-LN(2)/2))/(LN(2)/2)*CG87*CJ87*VLOOKUP('Données projet'!$B$12,Paramètres!$A$1:$I$89,3,0)*0.475*44/12</f>
        <v>2.0690267390880522E-7</v>
      </c>
      <c r="CN87" s="22">
        <f t="shared" si="66"/>
        <v>5.0134494639453964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-5.1159076974727213E-13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168.08890945052406</v>
      </c>
      <c r="T88" s="59">
        <f t="shared" si="88"/>
        <v>182.52462557642343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2.0902718983126634</v>
      </c>
      <c r="AA88" s="21">
        <f>EXP(-LN(2)/25)*AA87+(1-EXP(-LN(2)/25))/(LN(2)/25)*Calculateur!V88*Calculateur!X88*VLOOKUP('Données projet'!$B$9,Paramètres!$A$1:$I$89,3,0)*0.475*44/12</f>
        <v>2.683664122594577</v>
      </c>
      <c r="AB88" s="21">
        <f>EXP(-LN(2)/2)*AB87+(1-EXP(-LN(2)/2))/(LN(2)/2)*V88*Y88*VLOOKUP('Données projet'!$B$9,Paramètres!$A$1:$I$89,3,0)*0.475*44/12</f>
        <v>2.868984644087937E-8</v>
      </c>
      <c r="AC88" s="22">
        <f t="shared" si="57"/>
        <v>4.7739360495970864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-4.5474735088646412E-13</v>
      </c>
      <c r="AJ88" s="13">
        <f>AI88*VLOOKUP('Données projet'!$B$10,Paramètres!$A$1:$I$89,3,0)*VLOOKUP('Données projet'!$B$10,Paramètres!$A$1:$I$89,5,0)</f>
        <v>-2.7193891583010558E-13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216.94426559495264</v>
      </c>
      <c r="AO88" s="59">
        <f t="shared" si="90"/>
        <v>225.33715877618704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2.796483405750898</v>
      </c>
      <c r="AW88" s="21">
        <f>EXP(-LN(2)/2)*AW87+(1-EXP(-LN(2)/2))/(LN(2)/2)*AQ88*AT88*VLOOKUP('Données projet'!$B$10,Paramètres!$A$1:$I$89,3,0)*0.475*44/12</f>
        <v>1.2501471698279196E-7</v>
      </c>
      <c r="AX88" s="21">
        <f t="shared" si="60"/>
        <v>2.7964835307656148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5.6</v>
      </c>
      <c r="BD88" s="12">
        <f>IF('Données projet'!$A$88&gt;35,BD87+BC88-BL87,IF(A88&lt;'Données projet'!$A$88,$BA$205^A88,IF(A88='Données projet'!$A$88,'Données projet'!$B$88,BD87+BC88-BL87)))</f>
        <v>268.00000000000034</v>
      </c>
      <c r="BE88" s="13">
        <f>BD88*VLOOKUP('Données projet'!$B$11,Paramètres!$A$1:$I$89,3,0)*VLOOKUP('Données projet'!$B$11,Paramètres!$A$1:$I$89,5,0)</f>
        <v>242.48640000000032</v>
      </c>
      <c r="BF88" s="13">
        <f t="shared" si="91"/>
        <v>58.974170235372526</v>
      </c>
      <c r="BG88" s="20">
        <f t="shared" si="61"/>
        <v>525.04382649327442</v>
      </c>
      <c r="BH88" s="59">
        <f t="shared" si="62"/>
        <v>818.37715982660779</v>
      </c>
      <c r="BI88" s="59">
        <f ca="1">AVERAGE(OFFSET($BH$3,0,0,'Données projet'!$E$11+1,1))-AVERAGE(OFFSET($H$3,0,0,'Données projet'!$E$11+1,1))</f>
        <v>237.22177246688199</v>
      </c>
      <c r="BJ88" s="59">
        <f t="shared" si="92"/>
        <v>149.27472147904302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0.67596905640600669</v>
      </c>
      <c r="BR88" s="21">
        <f>EXP(-LN(2)/2)*BR87+(1-EXP(-LN(2)/2))/(LN(2)/2)*BL88*BO88*VLOOKUP('Données projet'!$B$11,Paramètres!$A$1:$I$89,3,0)*0.475*44/12</f>
        <v>3.2607688300227741E-8</v>
      </c>
      <c r="BS88" s="22">
        <f t="shared" si="63"/>
        <v>0.67596908901369501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2.9</v>
      </c>
      <c r="BY88" s="12">
        <f>IF('Données projet'!$A$114&gt;35,BY87+BX88-CG87,IF(A88&lt;'Données projet'!$A$114,$BV$205^A88,IF(A88='Données projet'!$A$114,'Données projet'!$B$114,BY87+BX88-CG87)))</f>
        <v>233.49999999999994</v>
      </c>
      <c r="BZ88" s="13">
        <f>BY88*VLOOKUP('Données projet'!$B$12,Paramètres!$A$1:$I$89,3,0)*VLOOKUP('Données projet'!$B$12,Paramètres!$A$1:$I$89,5,0)</f>
        <v>203.98560000000001</v>
      </c>
      <c r="CA88" s="13">
        <f t="shared" si="93"/>
        <v>50.619073534794722</v>
      </c>
      <c r="CB88" s="20">
        <f t="shared" si="64"/>
        <v>443.43647307310084</v>
      </c>
      <c r="CC88" s="59">
        <f t="shared" si="65"/>
        <v>736.7698064064341</v>
      </c>
      <c r="CD88" s="59">
        <f ca="1">AVERAGE(OFFSET($CC$3,0,0,'Données projet'!$E$12+1,1))-AVERAGE(OFFSET($H$3,0,0,'Données projet'!$E$12+1,1))</f>
        <v>223.81948236065614</v>
      </c>
      <c r="CE88" s="59">
        <f t="shared" si="94"/>
        <v>320.1204011431372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1.033981515686923</v>
      </c>
      <c r="CL88" s="21">
        <f>EXP(-LN(2)/25)*CL87+(1-EXP(-LN(2)/25))/(LN(2)/25)*Calculateur!CG88*Calculateur!CI88*VLOOKUP('Données projet'!$B$12,Paramètres!$A$1:$I$89,3,0)*0.475*44/12</f>
        <v>3.8505332233554506</v>
      </c>
      <c r="CM88" s="21">
        <f>EXP(-LN(2)/2)*CM87+(1-EXP(-LN(2)/2))/(LN(2)/2)*CG88*CJ88*VLOOKUP('Données projet'!$B$12,Paramètres!$A$1:$I$89,3,0)*0.475*44/12</f>
        <v>1.4630228376654513E-7</v>
      </c>
      <c r="CN88" s="22">
        <f t="shared" si="66"/>
        <v>4.8845148853446574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-5.1159076974727213E-13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168.08890945052406</v>
      </c>
      <c r="T89" s="59">
        <f t="shared" si="88"/>
        <v>182.52462557642343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2.04928294132672</v>
      </c>
      <c r="AA89" s="21">
        <f>EXP(-LN(2)/25)*AA88+(1-EXP(-LN(2)/25))/(LN(2)/25)*Calculateur!V89*Calculateur!X89*VLOOKUP('Données projet'!$B$9,Paramètres!$A$1:$I$89,3,0)*0.475*44/12</f>
        <v>2.6102791860344658</v>
      </c>
      <c r="AB89" s="21">
        <f>EXP(-LN(2)/2)*AB88+(1-EXP(-LN(2)/2))/(LN(2)/2)*V89*Y89*VLOOKUP('Données projet'!$B$9,Paramètres!$A$1:$I$89,3,0)*0.475*44/12</f>
        <v>2.0286784969546538E-8</v>
      </c>
      <c r="AC89" s="22">
        <f t="shared" si="57"/>
        <v>4.6595621476479705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-4.5474735088646412E-13</v>
      </c>
      <c r="AJ89" s="13">
        <f>AI89*VLOOKUP('Données projet'!$B$10,Paramètres!$A$1:$I$89,3,0)*VLOOKUP('Données projet'!$B$10,Paramètres!$A$1:$I$89,5,0)</f>
        <v>-2.7193891583010558E-13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216.94426559495264</v>
      </c>
      <c r="AO89" s="59">
        <f t="shared" si="90"/>
        <v>225.33715877618704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2.7200134199599688</v>
      </c>
      <c r="AW89" s="21">
        <f>EXP(-LN(2)/2)*AW88+(1-EXP(-LN(2)/2))/(LN(2)/2)*AQ89*AT89*VLOOKUP('Données projet'!$B$10,Paramètres!$A$1:$I$89,3,0)*0.475*44/12</f>
        <v>8.8398754126649244E-8</v>
      </c>
      <c r="AX89" s="21">
        <f t="shared" si="60"/>
        <v>2.7200135083587229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5.6</v>
      </c>
      <c r="BD89" s="12">
        <f>IF('Données projet'!$A$88&gt;35,BD88+BC89-BL88,IF(A89&lt;'Données projet'!$A$88,$BA$205^A89,IF(A89='Données projet'!$A$88,'Données projet'!$B$88,BD88+BC89-BL88)))</f>
        <v>273.60000000000036</v>
      </c>
      <c r="BE89" s="13">
        <f>BD89*VLOOKUP('Données projet'!$B$11,Paramètres!$A$1:$I$89,3,0)*VLOOKUP('Données projet'!$B$11,Paramètres!$A$1:$I$89,5,0)</f>
        <v>247.55328000000031</v>
      </c>
      <c r="BF89" s="13">
        <f t="shared" si="91"/>
        <v>60.061713068870304</v>
      </c>
      <c r="BG89" s="20">
        <f t="shared" si="61"/>
        <v>535.76277959494962</v>
      </c>
      <c r="BH89" s="59">
        <f t="shared" si="62"/>
        <v>829.09611292828299</v>
      </c>
      <c r="BI89" s="59">
        <f ca="1">AVERAGE(OFFSET($BH$3,0,0,'Données projet'!$E$11+1,1))-AVERAGE(OFFSET($H$3,0,0,'Données projet'!$E$11+1,1))</f>
        <v>237.22177246688199</v>
      </c>
      <c r="BJ89" s="59">
        <f t="shared" si="92"/>
        <v>149.27472147904302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0.65748464701091669</v>
      </c>
      <c r="BR89" s="21">
        <f>EXP(-LN(2)/2)*BR88+(1-EXP(-LN(2)/2))/(LN(2)/2)*BL89*BO89*VLOOKUP('Données projet'!$B$11,Paramètres!$A$1:$I$89,3,0)*0.475*44/12</f>
        <v>2.3057117515908283E-8</v>
      </c>
      <c r="BS89" s="22">
        <f t="shared" si="63"/>
        <v>0.65748467006803424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2.9</v>
      </c>
      <c r="BY89" s="12">
        <f>IF('Données projet'!$A$114&gt;35,BY88+BX89-CG88,IF(A89&lt;'Données projet'!$A$114,$BV$205^A89,IF(A89='Données projet'!$A$114,'Données projet'!$B$114,BY88+BX89-CG88)))</f>
        <v>236.39999999999995</v>
      </c>
      <c r="BZ89" s="13">
        <f>BY89*VLOOKUP('Données projet'!$B$12,Paramètres!$A$1:$I$89,3,0)*VLOOKUP('Données projet'!$B$12,Paramètres!$A$1:$I$89,5,0)</f>
        <v>206.51903999999999</v>
      </c>
      <c r="CA89" s="13">
        <f t="shared" si="93"/>
        <v>51.174169948732491</v>
      </c>
      <c r="CB89" s="20">
        <f t="shared" si="64"/>
        <v>448.81567399404236</v>
      </c>
      <c r="CC89" s="59">
        <f t="shared" si="65"/>
        <v>742.14900732737567</v>
      </c>
      <c r="CD89" s="59">
        <f ca="1">AVERAGE(OFFSET($CC$3,0,0,'Données projet'!$E$12+1,1))-AVERAGE(OFFSET($H$3,0,0,'Données projet'!$E$12+1,1))</f>
        <v>223.81948236065614</v>
      </c>
      <c r="CE89" s="59">
        <f t="shared" si="94"/>
        <v>320.1204011431372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1.0137057688307538</v>
      </c>
      <c r="CL89" s="21">
        <f>EXP(-LN(2)/25)*CL88+(1-EXP(-LN(2)/25))/(LN(2)/25)*Calculateur!CG89*Calculateur!CI89*VLOOKUP('Données projet'!$B$12,Paramètres!$A$1:$I$89,3,0)*0.475*44/12</f>
        <v>3.745240189872054</v>
      </c>
      <c r="CM89" s="21">
        <f>EXP(-LN(2)/2)*CM88+(1-EXP(-LN(2)/2))/(LN(2)/2)*CG89*CJ89*VLOOKUP('Données projet'!$B$12,Paramètres!$A$1:$I$89,3,0)*0.475*44/12</f>
        <v>1.0345133695440261E-7</v>
      </c>
      <c r="CN89" s="22">
        <f t="shared" si="66"/>
        <v>4.7589460621541448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-5.1159076974727213E-13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168.08890945052406</v>
      </c>
      <c r="T90" s="59">
        <f t="shared" si="88"/>
        <v>182.52462557642343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2.009097752786476</v>
      </c>
      <c r="AA90" s="21">
        <f>EXP(-LN(2)/25)*AA89+(1-EXP(-LN(2)/25))/(LN(2)/25)*Calculateur!V90*Calculateur!X90*VLOOKUP('Données projet'!$B$9,Paramètres!$A$1:$I$89,3,0)*0.475*44/12</f>
        <v>2.5389009644237368</v>
      </c>
      <c r="AB90" s="21">
        <f>EXP(-LN(2)/2)*AB89+(1-EXP(-LN(2)/2))/(LN(2)/2)*V90*Y90*VLOOKUP('Données projet'!$B$9,Paramètres!$A$1:$I$89,3,0)*0.475*44/12</f>
        <v>1.4344923220439685E-8</v>
      </c>
      <c r="AC90" s="22">
        <f t="shared" si="57"/>
        <v>4.5479987315551362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-4.5474735088646412E-13</v>
      </c>
      <c r="AJ90" s="13">
        <f>AI90*VLOOKUP('Données projet'!$B$10,Paramètres!$A$1:$I$89,3,0)*VLOOKUP('Données projet'!$B$10,Paramètres!$A$1:$I$89,5,0)</f>
        <v>-2.7193891583010558E-13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216.94426559495264</v>
      </c>
      <c r="AO90" s="59">
        <f t="shared" si="90"/>
        <v>225.33715877618704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2.6456345099518743</v>
      </c>
      <c r="AW90" s="21">
        <f>EXP(-LN(2)/2)*AW89+(1-EXP(-LN(2)/2))/(LN(2)/2)*AQ90*AT90*VLOOKUP('Données projet'!$B$10,Paramètres!$A$1:$I$89,3,0)*0.475*44/12</f>
        <v>6.250735849139598E-8</v>
      </c>
      <c r="AX90" s="21">
        <f t="shared" si="60"/>
        <v>2.6456345724592327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5.6</v>
      </c>
      <c r="BD90" s="12">
        <f>IF('Données projet'!$A$88&gt;35,BD89+BC90-BL89,IF(A90&lt;'Données projet'!$A$88,$BA$205^A90,IF(A90='Données projet'!$A$88,'Données projet'!$B$88,BD89+BC90-BL89)))</f>
        <v>279.20000000000039</v>
      </c>
      <c r="BE90" s="13">
        <f>BD90*VLOOKUP('Données projet'!$B$11,Paramètres!$A$1:$I$89,3,0)*VLOOKUP('Données projet'!$B$11,Paramètres!$A$1:$I$89,5,0)</f>
        <v>252.62016000000034</v>
      </c>
      <c r="BF90" s="13">
        <f t="shared" si="91"/>
        <v>61.146667772298876</v>
      </c>
      <c r="BG90" s="20">
        <f t="shared" si="61"/>
        <v>546.47722503675448</v>
      </c>
      <c r="BH90" s="59">
        <f t="shared" si="62"/>
        <v>839.81055837008785</v>
      </c>
      <c r="BI90" s="59">
        <f ca="1">AVERAGE(OFFSET($BH$3,0,0,'Données projet'!$E$11+1,1))-AVERAGE(OFFSET($H$3,0,0,'Données projet'!$E$11+1,1))</f>
        <v>237.22177246688199</v>
      </c>
      <c r="BJ90" s="59">
        <f t="shared" si="92"/>
        <v>149.27472147904302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0.63950569476278829</v>
      </c>
      <c r="BR90" s="21">
        <f>EXP(-LN(2)/2)*BR89+(1-EXP(-LN(2)/2))/(LN(2)/2)*BL90*BO90*VLOOKUP('Données projet'!$B$11,Paramètres!$A$1:$I$89,3,0)*0.475*44/12</f>
        <v>1.630384415011387E-8</v>
      </c>
      <c r="BS90" s="22">
        <f t="shared" si="63"/>
        <v>0.63950571106663245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2.9</v>
      </c>
      <c r="BY90" s="12">
        <f>IF('Données projet'!$A$114&gt;35,BY89+BX90-CG89,IF(A90&lt;'Données projet'!$A$114,$BV$205^A90,IF(A90='Données projet'!$A$114,'Données projet'!$B$114,BY89+BX90-CG89)))</f>
        <v>239.29999999999995</v>
      </c>
      <c r="BZ90" s="13">
        <f>BY90*VLOOKUP('Données projet'!$B$12,Paramètres!$A$1:$I$89,3,0)*VLOOKUP('Données projet'!$B$12,Paramètres!$A$1:$I$89,5,0)</f>
        <v>209.05247999999997</v>
      </c>
      <c r="CA90" s="13">
        <f t="shared" si="93"/>
        <v>51.728474274704773</v>
      </c>
      <c r="CB90" s="20">
        <f t="shared" si="64"/>
        <v>454.19349536177742</v>
      </c>
      <c r="CC90" s="59">
        <f t="shared" si="65"/>
        <v>747.52682869511068</v>
      </c>
      <c r="CD90" s="59">
        <f ca="1">AVERAGE(OFFSET($CC$3,0,0,'Données projet'!$E$12+1,1))-AVERAGE(OFFSET($H$3,0,0,'Données projet'!$E$12+1,1))</f>
        <v>223.81948236065614</v>
      </c>
      <c r="CE90" s="59">
        <f t="shared" si="94"/>
        <v>320.1204011431372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0.99382761700344968</v>
      </c>
      <c r="CL90" s="21">
        <f>EXP(-LN(2)/25)*CL89+(1-EXP(-LN(2)/25))/(LN(2)/25)*Calculateur!CG90*Calculateur!CI90*VLOOKUP('Données projet'!$B$12,Paramètres!$A$1:$I$89,3,0)*0.475*44/12</f>
        <v>3.6428263999263808</v>
      </c>
      <c r="CM90" s="21">
        <f>EXP(-LN(2)/2)*CM89+(1-EXP(-LN(2)/2))/(LN(2)/2)*CG90*CJ90*VLOOKUP('Données projet'!$B$12,Paramètres!$A$1:$I$89,3,0)*0.475*44/12</f>
        <v>7.3151141883272563E-8</v>
      </c>
      <c r="CN90" s="22">
        <f t="shared" si="66"/>
        <v>4.6366540900809721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-5.1159076974727213E-13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168.08890945052406</v>
      </c>
      <c r="T91" s="59">
        <f t="shared" si="88"/>
        <v>182.52462557642343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1.9697005712829614</v>
      </c>
      <c r="AA91" s="21">
        <f>EXP(-LN(2)/25)*AA90+(1-EXP(-LN(2)/25))/(LN(2)/25)*Calculateur!V91*Calculateur!X91*VLOOKUP('Données projet'!$B$9,Paramètres!$A$1:$I$89,3,0)*0.475*44/12</f>
        <v>2.4694745840365706</v>
      </c>
      <c r="AB91" s="21">
        <f>EXP(-LN(2)/2)*AB90+(1-EXP(-LN(2)/2))/(LN(2)/2)*V91*Y91*VLOOKUP('Données projet'!$B$9,Paramètres!$A$1:$I$89,3,0)*0.475*44/12</f>
        <v>1.0143392484773269E-8</v>
      </c>
      <c r="AC91" s="22">
        <f t="shared" si="57"/>
        <v>4.4391751654629248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-4.5474735088646412E-13</v>
      </c>
      <c r="AJ91" s="13">
        <f>AI91*VLOOKUP('Données projet'!$B$10,Paramètres!$A$1:$I$89,3,0)*VLOOKUP('Données projet'!$B$10,Paramètres!$A$1:$I$89,5,0)</f>
        <v>-2.7193891583010558E-13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216.94426559495264</v>
      </c>
      <c r="AO91" s="59">
        <f t="shared" si="90"/>
        <v>225.33715877618704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2.5732894951493681</v>
      </c>
      <c r="AW91" s="21">
        <f>EXP(-LN(2)/2)*AW90+(1-EXP(-LN(2)/2))/(LN(2)/2)*AQ91*AT91*VLOOKUP('Données projet'!$B$10,Paramètres!$A$1:$I$89,3,0)*0.475*44/12</f>
        <v>4.4199377063324622E-8</v>
      </c>
      <c r="AX91" s="21">
        <f t="shared" si="60"/>
        <v>2.5732895393487452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5.6</v>
      </c>
      <c r="BD91" s="12">
        <f>IF('Données projet'!$A$88&gt;35,BD90+BC91-BL90,IF(A91&lt;'Données projet'!$A$88,$BA$205^A91,IF(A91='Données projet'!$A$88,'Données projet'!$B$88,BD90+BC91-BL90)))</f>
        <v>284.80000000000041</v>
      </c>
      <c r="BE91" s="13">
        <f>BD91*VLOOKUP('Données projet'!$B$11,Paramètres!$A$1:$I$89,3,0)*VLOOKUP('Données projet'!$B$11,Paramètres!$A$1:$I$89,5,0)</f>
        <v>257.68704000000037</v>
      </c>
      <c r="BF91" s="13">
        <f t="shared" si="91"/>
        <v>62.229092239243457</v>
      </c>
      <c r="BG91" s="20">
        <f t="shared" si="61"/>
        <v>557.18726365001623</v>
      </c>
      <c r="BH91" s="59">
        <f t="shared" si="62"/>
        <v>850.52059698334961</v>
      </c>
      <c r="BI91" s="59">
        <f ca="1">AVERAGE(OFFSET($BH$3,0,0,'Données projet'!$E$11+1,1))-AVERAGE(OFFSET($H$3,0,0,'Données projet'!$E$11+1,1))</f>
        <v>237.22177246688199</v>
      </c>
      <c r="BJ91" s="59">
        <f t="shared" si="92"/>
        <v>149.27472147904302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0.62201837790935699</v>
      </c>
      <c r="BR91" s="21">
        <f>EXP(-LN(2)/2)*BR90+(1-EXP(-LN(2)/2))/(LN(2)/2)*BL91*BO91*VLOOKUP('Données projet'!$B$11,Paramètres!$A$1:$I$89,3,0)*0.475*44/12</f>
        <v>1.1528558757954142E-8</v>
      </c>
      <c r="BS91" s="22">
        <f t="shared" si="63"/>
        <v>0.62201838943791576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2.9</v>
      </c>
      <c r="BY91" s="12">
        <f>IF('Données projet'!$A$114&gt;35,BY90+BX91-CG90,IF(A91&lt;'Données projet'!$A$114,$BV$205^A91,IF(A91='Données projet'!$A$114,'Données projet'!$B$114,BY90+BX91-CG90)))</f>
        <v>242.19999999999996</v>
      </c>
      <c r="BZ91" s="13">
        <f>BY91*VLOOKUP('Données projet'!$B$12,Paramètres!$A$1:$I$89,3,0)*VLOOKUP('Données projet'!$B$12,Paramètres!$A$1:$I$89,5,0)</f>
        <v>211.58591999999996</v>
      </c>
      <c r="CA91" s="13">
        <f t="shared" si="93"/>
        <v>52.281997222074629</v>
      </c>
      <c r="CB91" s="20">
        <f t="shared" si="64"/>
        <v>459.56995582844655</v>
      </c>
      <c r="CC91" s="59">
        <f t="shared" si="65"/>
        <v>752.90328916177987</v>
      </c>
      <c r="CD91" s="59">
        <f ca="1">AVERAGE(OFFSET($CC$3,0,0,'Données projet'!$E$12+1,1))-AVERAGE(OFFSET($H$3,0,0,'Données projet'!$E$12+1,1))</f>
        <v>223.81948236065614</v>
      </c>
      <c r="CE91" s="59">
        <f t="shared" si="94"/>
        <v>320.1204011431372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0.97433926360900358</v>
      </c>
      <c r="CL91" s="21">
        <f>EXP(-LN(2)/25)*CL90+(1-EXP(-LN(2)/25))/(LN(2)/25)*Calculateur!CG91*Calculateur!CI91*VLOOKUP('Données projet'!$B$12,Paramètres!$A$1:$I$89,3,0)*0.475*44/12</f>
        <v>3.5432131204524793</v>
      </c>
      <c r="CM91" s="21">
        <f>EXP(-LN(2)/2)*CM90+(1-EXP(-LN(2)/2))/(LN(2)/2)*CG91*CJ91*VLOOKUP('Données projet'!$B$12,Paramètres!$A$1:$I$89,3,0)*0.475*44/12</f>
        <v>5.1725668477201305E-8</v>
      </c>
      <c r="CN91" s="22">
        <f t="shared" si="66"/>
        <v>4.5175524357871515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-5.1159076974727213E-13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168.08890945052406</v>
      </c>
      <c r="T92" s="59">
        <f t="shared" si="88"/>
        <v>182.52462557642343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1.9310759444788228</v>
      </c>
      <c r="AA92" s="21">
        <f>EXP(-LN(2)/25)*AA91+(1-EXP(-LN(2)/25))/(LN(2)/25)*Calculateur!V92*Calculateur!X92*VLOOKUP('Données projet'!$B$9,Paramètres!$A$1:$I$89,3,0)*0.475*44/12</f>
        <v>2.4019466716720661</v>
      </c>
      <c r="AB92" s="21">
        <f>EXP(-LN(2)/2)*AB91+(1-EXP(-LN(2)/2))/(LN(2)/2)*V92*Y92*VLOOKUP('Données projet'!$B$9,Paramètres!$A$1:$I$89,3,0)*0.475*44/12</f>
        <v>7.1724616102198425E-9</v>
      </c>
      <c r="AC92" s="22">
        <f t="shared" si="57"/>
        <v>4.3330226233233509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-4.5474735088646412E-13</v>
      </c>
      <c r="AJ92" s="13">
        <f>AI92*VLOOKUP('Données projet'!$B$10,Paramètres!$A$1:$I$89,3,0)*VLOOKUP('Données projet'!$B$10,Paramètres!$A$1:$I$89,5,0)</f>
        <v>-2.7193891583010558E-13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216.94426559495264</v>
      </c>
      <c r="AO92" s="59">
        <f t="shared" si="90"/>
        <v>225.33715877618704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2.5029227585810956</v>
      </c>
      <c r="AW92" s="21">
        <f>EXP(-LN(2)/2)*AW91+(1-EXP(-LN(2)/2))/(LN(2)/2)*AQ92*AT92*VLOOKUP('Données projet'!$B$10,Paramètres!$A$1:$I$89,3,0)*0.475*44/12</f>
        <v>3.125367924569799E-8</v>
      </c>
      <c r="AX92" s="21">
        <f t="shared" si="60"/>
        <v>2.5029227898347748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5.6</v>
      </c>
      <c r="BD92" s="12">
        <f>IF('Données projet'!$A$88&gt;35,BD91+BC92-BL91,IF(A92&lt;'Données projet'!$A$88,$BA$205^A92,IF(A92='Données projet'!$A$88,'Données projet'!$B$88,BD91+BC92-BL91)))</f>
        <v>290.40000000000043</v>
      </c>
      <c r="BE92" s="13">
        <f>BD92*VLOOKUP('Données projet'!$B$11,Paramètres!$A$1:$I$89,3,0)*VLOOKUP('Données projet'!$B$11,Paramètres!$A$1:$I$89,5,0)</f>
        <v>262.75392000000039</v>
      </c>
      <c r="BF92" s="13">
        <f t="shared" si="91"/>
        <v>63.309041956360382</v>
      </c>
      <c r="BG92" s="20">
        <f t="shared" si="61"/>
        <v>567.89299207399495</v>
      </c>
      <c r="BH92" s="59">
        <f t="shared" si="62"/>
        <v>861.2263254073282</v>
      </c>
      <c r="BI92" s="59">
        <f ca="1">AVERAGE(OFFSET($BH$3,0,0,'Données projet'!$E$11+1,1))-AVERAGE(OFFSET($H$3,0,0,'Données projet'!$E$11+1,1))</f>
        <v>237.22177246688199</v>
      </c>
      <c r="BJ92" s="59">
        <f t="shared" si="92"/>
        <v>149.27472147904302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0.6050092526549008</v>
      </c>
      <c r="BR92" s="21">
        <f>EXP(-LN(2)/2)*BR91+(1-EXP(-LN(2)/2))/(LN(2)/2)*BL92*BO92*VLOOKUP('Données projet'!$B$11,Paramètres!$A$1:$I$89,3,0)*0.475*44/12</f>
        <v>8.1519220750569352E-9</v>
      </c>
      <c r="BS92" s="22">
        <f t="shared" si="63"/>
        <v>0.60500926080682282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2.9</v>
      </c>
      <c r="BY92" s="12">
        <f>IF('Données projet'!$A$114&gt;35,BY91+BX92-CG91,IF(A92&lt;'Données projet'!$A$114,$BV$205^A92,IF(A92='Données projet'!$A$114,'Données projet'!$B$114,BY91+BX92-CG91)))</f>
        <v>245.09999999999997</v>
      </c>
      <c r="BZ92" s="13">
        <f>BY92*VLOOKUP('Données projet'!$B$12,Paramètres!$A$1:$I$89,3,0)*VLOOKUP('Données projet'!$B$12,Paramètres!$A$1:$I$89,5,0)</f>
        <v>214.11936</v>
      </c>
      <c r="CA92" s="13">
        <f t="shared" si="93"/>
        <v>52.834749228990397</v>
      </c>
      <c r="CB92" s="20">
        <f t="shared" si="64"/>
        <v>464.94507357382491</v>
      </c>
      <c r="CC92" s="59">
        <f t="shared" si="65"/>
        <v>758.27840690715823</v>
      </c>
      <c r="CD92" s="59">
        <f ca="1">AVERAGE(OFFSET($CC$3,0,0,'Données projet'!$E$12+1,1))-AVERAGE(OFFSET($H$3,0,0,'Données projet'!$E$12+1,1))</f>
        <v>223.81948236065614</v>
      </c>
      <c r="CE92" s="59">
        <f t="shared" si="94"/>
        <v>320.1204011431372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0.95523306493790072</v>
      </c>
      <c r="CL92" s="21">
        <f>EXP(-LN(2)/25)*CL91+(1-EXP(-LN(2)/25))/(LN(2)/25)*Calculateur!CG92*Calculateur!CI92*VLOOKUP('Données projet'!$B$12,Paramètres!$A$1:$I$89,3,0)*0.475*44/12</f>
        <v>3.4463237713442263</v>
      </c>
      <c r="CM92" s="21">
        <f>EXP(-LN(2)/2)*CM91+(1-EXP(-LN(2)/2))/(LN(2)/2)*CG92*CJ92*VLOOKUP('Données projet'!$B$12,Paramètres!$A$1:$I$89,3,0)*0.475*44/12</f>
        <v>3.6575570941636282E-8</v>
      </c>
      <c r="CN92" s="22">
        <f t="shared" si="66"/>
        <v>4.4015568728576984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-5.1159076974727213E-13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168.08890945052406</v>
      </c>
      <c r="T93" s="59">
        <f t="shared" si="88"/>
        <v>182.52462557642343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1.8932087230476171</v>
      </c>
      <c r="AA93" s="21">
        <f>EXP(-LN(2)/25)*AA92+(1-EXP(-LN(2)/25))/(LN(2)/25)*Calculateur!V93*Calculateur!X93*VLOOKUP('Données projet'!$B$9,Paramètres!$A$1:$I$89,3,0)*0.475*44/12</f>
        <v>2.3362653136223077</v>
      </c>
      <c r="AB93" s="21">
        <f>EXP(-LN(2)/2)*AB92+(1-EXP(-LN(2)/2))/(LN(2)/2)*V93*Y93*VLOOKUP('Données projet'!$B$9,Paramètres!$A$1:$I$89,3,0)*0.475*44/12</f>
        <v>5.0716962423866344E-9</v>
      </c>
      <c r="AC93" s="22">
        <f t="shared" si="57"/>
        <v>4.2294740417416206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-4.5474735088646412E-13</v>
      </c>
      <c r="AJ93" s="13">
        <f>AI93*VLOOKUP('Données projet'!$B$10,Paramètres!$A$1:$I$89,3,0)*VLOOKUP('Données projet'!$B$10,Paramètres!$A$1:$I$89,5,0)</f>
        <v>-2.7193891583010558E-13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216.94426559495264</v>
      </c>
      <c r="AO93" s="59">
        <f t="shared" si="90"/>
        <v>225.33715877618704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2.434480204124708</v>
      </c>
      <c r="AW93" s="21">
        <f>EXP(-LN(2)/2)*AW92+(1-EXP(-LN(2)/2))/(LN(2)/2)*AQ93*AT93*VLOOKUP('Données projet'!$B$10,Paramètres!$A$1:$I$89,3,0)*0.475*44/12</f>
        <v>2.2099688531662311E-8</v>
      </c>
      <c r="AX93" s="21">
        <f t="shared" si="60"/>
        <v>2.4344802262243967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296</v>
      </c>
      <c r="BB93" s="12">
        <f>VLOOKUP(A93,'Données projet'!$A$87:$I$107,9,0)</f>
        <v>5.6</v>
      </c>
      <c r="BC93" s="12">
        <f t="array" ref="BC93">INDEX(BB:BB,MIN(IF(ISNUMBER(BB93:BB289),ROW(BB93:BB289),"")))</f>
        <v>5.6</v>
      </c>
      <c r="BD93" s="12">
        <f>IF('Données projet'!$A$88&gt;35,BD92+BC93-BL92,IF(A93&lt;'Données projet'!$A$88,$BA$205^A93,IF(A93='Données projet'!$A$88,'Données projet'!$B$88,BD92+BC93-BL92)))</f>
        <v>296.00000000000045</v>
      </c>
      <c r="BE93" s="13">
        <f>BD93*VLOOKUP('Données projet'!$B$11,Paramètres!$A$1:$I$89,3,0)*VLOOKUP('Données projet'!$B$11,Paramètres!$A$1:$I$89,5,0)</f>
        <v>267.82080000000042</v>
      </c>
      <c r="BF93" s="13">
        <f t="shared" si="91"/>
        <v>64.38657014789743</v>
      </c>
      <c r="BG93" s="20">
        <f t="shared" si="61"/>
        <v>578.59450300758874</v>
      </c>
      <c r="BH93" s="59">
        <f t="shared" si="62"/>
        <v>871.92783634092211</v>
      </c>
      <c r="BI93" s="59">
        <f ca="1">AVERAGE(OFFSET($BH$3,0,0,'Données projet'!$E$11+1,1))-AVERAGE(OFFSET($H$3,0,0,'Données projet'!$E$11+1,1))</f>
        <v>237.22177246688199</v>
      </c>
      <c r="BJ93" s="59">
        <f t="shared" si="92"/>
        <v>149.27472147904302</v>
      </c>
      <c r="BK93" s="15">
        <f>IF(ISNA(VLOOKUP(A93,'Données projet'!$A$87:$I$107,3,0)),0,VLOOKUP(A93,'Données projet'!$A$87:$I$107,3,0))</f>
        <v>7</v>
      </c>
      <c r="BL93" s="15">
        <f>IF(ISNA(VLOOKUP(A93,'Données projet'!$A$87:$I$107,4,0)),0,VLOOKUP(A93,'Données projet'!$A$87:$I$107,4,0))</f>
        <v>42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0.58846524282499868</v>
      </c>
      <c r="BR93" s="21">
        <f>EXP(-LN(2)/2)*BR92+(1-EXP(-LN(2)/2))/(LN(2)/2)*BL93*BO93*VLOOKUP('Données projet'!$B$11,Paramètres!$A$1:$I$89,3,0)*0.475*44/12</f>
        <v>5.7642793789770708E-9</v>
      </c>
      <c r="BS93" s="22">
        <f t="shared" si="63"/>
        <v>0.58846524858927807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248</v>
      </c>
      <c r="BW93" s="12">
        <f>VLOOKUP(A93,'Données projet'!$A$113:$I$133,9,0)</f>
        <v>2.9</v>
      </c>
      <c r="BX93" s="12">
        <f t="array" ref="BX93">INDEX(BW:BW,MIN(IF(ISNUMBER(BW93:BW289),ROW(BW93:BW289),"")))</f>
        <v>2.9</v>
      </c>
      <c r="BY93" s="12">
        <f>IF('Données projet'!$A$114&gt;35,BY92+BX93-CG92,IF(A93&lt;'Données projet'!$A$114,$BV$205^A93,IF(A93='Données projet'!$A$114,'Données projet'!$B$114,BY92+BX93-CG92)))</f>
        <v>247.99999999999997</v>
      </c>
      <c r="BZ93" s="13">
        <f>BY93*VLOOKUP('Données projet'!$B$12,Paramètres!$A$1:$I$89,3,0)*VLOOKUP('Données projet'!$B$12,Paramètres!$A$1:$I$89,5,0)</f>
        <v>216.65280000000001</v>
      </c>
      <c r="CA93" s="13">
        <f t="shared" si="93"/>
        <v>53.38674047237982</v>
      </c>
      <c r="CB93" s="20">
        <f t="shared" si="64"/>
        <v>470.31886632272813</v>
      </c>
      <c r="CC93" s="59">
        <f t="shared" si="65"/>
        <v>763.65219965606138</v>
      </c>
      <c r="CD93" s="59">
        <f ca="1">AVERAGE(OFFSET($CC$3,0,0,'Données projet'!$E$12+1,1))-AVERAGE(OFFSET($H$3,0,0,'Données projet'!$E$12+1,1))</f>
        <v>223.81948236065614</v>
      </c>
      <c r="CE93" s="59">
        <f t="shared" si="94"/>
        <v>320.1204011431372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248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0.93650152716910773</v>
      </c>
      <c r="CL93" s="21">
        <f>EXP(-LN(2)/25)*CL92+(1-EXP(-LN(2)/25))/(LN(2)/25)*Calculateur!CG93*Calculateur!CI93*VLOOKUP('Données projet'!$B$12,Paramètres!$A$1:$I$89,3,0)*0.475*44/12</f>
        <v>3.3520838665825279</v>
      </c>
      <c r="CM93" s="21">
        <f>EXP(-LN(2)/2)*CM92+(1-EXP(-LN(2)/2))/(LN(2)/2)*CG93*CJ93*VLOOKUP('Données projet'!$B$12,Paramètres!$A$1:$I$89,3,0)*0.475*44/12</f>
        <v>2.5862834238600653E-8</v>
      </c>
      <c r="CN93" s="22">
        <f t="shared" si="66"/>
        <v>4.2885854196144697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-5.1159076974727213E-13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168.08890945052406</v>
      </c>
      <c r="T94" s="59">
        <f t="shared" si="88"/>
        <v>182.52462557642343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1.856084054731953</v>
      </c>
      <c r="AA94" s="21">
        <f>EXP(-LN(2)/25)*AA93+(1-EXP(-LN(2)/25))/(LN(2)/25)*Calculateur!V94*Calculateur!X94*VLOOKUP('Données projet'!$B$9,Paramètres!$A$1:$I$89,3,0)*0.475*44/12</f>
        <v>2.2723800157624523</v>
      </c>
      <c r="AB94" s="21">
        <f>EXP(-LN(2)/2)*AB93+(1-EXP(-LN(2)/2))/(LN(2)/2)*V94*Y94*VLOOKUP('Données projet'!$B$9,Paramètres!$A$1:$I$89,3,0)*0.475*44/12</f>
        <v>3.5862308051099212E-9</v>
      </c>
      <c r="AC94" s="22">
        <f t="shared" si="57"/>
        <v>4.128464074080636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-4.5474735088646412E-13</v>
      </c>
      <c r="AJ94" s="13">
        <f>AI94*VLOOKUP('Données projet'!$B$10,Paramètres!$A$1:$I$89,3,0)*VLOOKUP('Données projet'!$B$10,Paramètres!$A$1:$I$89,5,0)</f>
        <v>-2.7193891583010558E-13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216.94426559495264</v>
      </c>
      <c r="AO94" s="59">
        <f t="shared" si="90"/>
        <v>225.33715877618704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2.3679092149191678</v>
      </c>
      <c r="AW94" s="21">
        <f>EXP(-LN(2)/2)*AW93+(1-EXP(-LN(2)/2))/(LN(2)/2)*AQ94*AT94*VLOOKUP('Données projet'!$B$10,Paramètres!$A$1:$I$89,3,0)*0.475*44/12</f>
        <v>1.5626839622848995E-8</v>
      </c>
      <c r="AX94" s="21">
        <f t="shared" si="60"/>
        <v>2.3679092305460077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4.9000000000000004</v>
      </c>
      <c r="BD94" s="12">
        <f>IF('Données projet'!$A$88&gt;35,BD93+BC94-BL93,IF(A94&lt;'Données projet'!$A$88,$BA$205^A94,IF(A94='Données projet'!$A$88,'Données projet'!$B$88,BD93+BC94-BL93)))</f>
        <v>258.90000000000043</v>
      </c>
      <c r="BE94" s="13">
        <f>BD94*VLOOKUP('Données projet'!$B$11,Paramètres!$A$1:$I$89,3,0)*VLOOKUP('Données projet'!$B$11,Paramètres!$A$1:$I$89,5,0)</f>
        <v>234.25272000000038</v>
      </c>
      <c r="BF94" s="13">
        <f t="shared" si="91"/>
        <v>57.2012362311714</v>
      </c>
      <c r="BG94" s="20">
        <f t="shared" si="61"/>
        <v>507.61564043595746</v>
      </c>
      <c r="BH94" s="59">
        <f t="shared" si="62"/>
        <v>800.94897376929077</v>
      </c>
      <c r="BI94" s="59">
        <f ca="1">AVERAGE(OFFSET($BH$3,0,0,'Données projet'!$E$11+1,1))-AVERAGE(OFFSET($H$3,0,0,'Données projet'!$E$11+1,1))</f>
        <v>237.22177246688199</v>
      </c>
      <c r="BJ94" s="59">
        <f t="shared" si="92"/>
        <v>149.27472147904302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0.57237362981390694</v>
      </c>
      <c r="BR94" s="21">
        <f>EXP(-LN(2)/2)*BR93+(1-EXP(-LN(2)/2))/(LN(2)/2)*BL94*BO94*VLOOKUP('Données projet'!$B$11,Paramètres!$A$1:$I$89,3,0)*0.475*44/12</f>
        <v>4.0759610375284676E-9</v>
      </c>
      <c r="BS94" s="22">
        <f t="shared" si="63"/>
        <v>0.57237363388986795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-2.8421709430404007E-14</v>
      </c>
      <c r="BZ94" s="13">
        <f>BY94*VLOOKUP('Données projet'!$B$12,Paramètres!$A$1:$I$89,3,0)*VLOOKUP('Données projet'!$B$12,Paramètres!$A$1:$I$89,5,0)</f>
        <v>-2.4829205358400945E-14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223.81948236065614</v>
      </c>
      <c r="CE94" s="59">
        <f t="shared" si="94"/>
        <v>320.1204011431372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0.91813730343085087</v>
      </c>
      <c r="CL94" s="21">
        <f>EXP(-LN(2)/25)*CL93+(1-EXP(-LN(2)/25))/(LN(2)/25)*Calculateur!CG94*Calculateur!CI94*VLOOKUP('Données projet'!$B$12,Paramètres!$A$1:$I$89,3,0)*0.475*44/12</f>
        <v>3.2604209569723994</v>
      </c>
      <c r="CM94" s="21">
        <f>EXP(-LN(2)/2)*CM93+(1-EXP(-LN(2)/2))/(LN(2)/2)*CG94*CJ94*VLOOKUP('Données projet'!$B$12,Paramètres!$A$1:$I$89,3,0)*0.475*44/12</f>
        <v>1.8287785470818141E-8</v>
      </c>
      <c r="CN94" s="22">
        <f t="shared" si="66"/>
        <v>4.1785582786910354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-5.1159076974727213E-13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168.08890945052406</v>
      </c>
      <c r="T95" s="59">
        <f t="shared" si="88"/>
        <v>182.52462557642343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1.8196873785181473</v>
      </c>
      <c r="AA95" s="21">
        <f>EXP(-LN(2)/25)*AA94+(1-EXP(-LN(2)/25))/(LN(2)/25)*Calculateur!V95*Calculateur!X95*VLOOKUP('Données projet'!$B$9,Paramètres!$A$1:$I$89,3,0)*0.475*44/12</f>
        <v>2.2102416647321568</v>
      </c>
      <c r="AB95" s="21">
        <f>EXP(-LN(2)/2)*AB94+(1-EXP(-LN(2)/2))/(LN(2)/2)*V95*Y95*VLOOKUP('Données projet'!$B$9,Paramètres!$A$1:$I$89,3,0)*0.475*44/12</f>
        <v>2.5358481211933172E-9</v>
      </c>
      <c r="AC95" s="22">
        <f t="shared" si="57"/>
        <v>4.0299290457861519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-4.5474735088646412E-13</v>
      </c>
      <c r="AJ95" s="13">
        <f>AI95*VLOOKUP('Données projet'!$B$10,Paramètres!$A$1:$I$89,3,0)*VLOOKUP('Données projet'!$B$10,Paramètres!$A$1:$I$89,5,0)</f>
        <v>-2.7193891583010558E-13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216.94426559495264</v>
      </c>
      <c r="AO95" s="59">
        <f t="shared" si="90"/>
        <v>225.33715877618704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2.3031586129142694</v>
      </c>
      <c r="AW95" s="21">
        <f>EXP(-LN(2)/2)*AW94+(1-EXP(-LN(2)/2))/(LN(2)/2)*AQ95*AT95*VLOOKUP('Données projet'!$B$10,Paramètres!$A$1:$I$89,3,0)*0.475*44/12</f>
        <v>1.1049844265831155E-8</v>
      </c>
      <c r="AX95" s="21">
        <f t="shared" si="60"/>
        <v>2.3031586239641135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4.9000000000000004</v>
      </c>
      <c r="BD95" s="12">
        <f>IF('Données projet'!$A$88&gt;35,BD94+BC95-BL94,IF(A95&lt;'Données projet'!$A$88,$BA$205^A95,IF(A95='Données projet'!$A$88,'Données projet'!$B$88,BD94+BC95-BL94)))</f>
        <v>263.80000000000041</v>
      </c>
      <c r="BE95" s="13">
        <f>BD95*VLOOKUP('Données projet'!$B$11,Paramètres!$A$1:$I$89,3,0)*VLOOKUP('Données projet'!$B$11,Paramètres!$A$1:$I$89,5,0)</f>
        <v>238.68624000000034</v>
      </c>
      <c r="BF95" s="13">
        <f t="shared" si="91"/>
        <v>58.156778382060978</v>
      </c>
      <c r="BG95" s="20">
        <f t="shared" si="61"/>
        <v>517.00159034875685</v>
      </c>
      <c r="BH95" s="59">
        <f t="shared" si="62"/>
        <v>810.33492368209022</v>
      </c>
      <c r="BI95" s="59">
        <f ca="1">AVERAGE(OFFSET($BH$3,0,0,'Données projet'!$E$11+1,1))-AVERAGE(OFFSET($H$3,0,0,'Données projet'!$E$11+1,1))</f>
        <v>237.22177246688199</v>
      </c>
      <c r="BJ95" s="59">
        <f t="shared" si="92"/>
        <v>149.27472147904302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0.55672204280682469</v>
      </c>
      <c r="BR95" s="21">
        <f>EXP(-LN(2)/2)*BR94+(1-EXP(-LN(2)/2))/(LN(2)/2)*BL95*BO95*VLOOKUP('Données projet'!$B$11,Paramètres!$A$1:$I$89,3,0)*0.475*44/12</f>
        <v>2.8821396894885354E-9</v>
      </c>
      <c r="BS95" s="22">
        <f t="shared" si="63"/>
        <v>0.55672204568896433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-2.8421709430404007E-14</v>
      </c>
      <c r="BZ95" s="13">
        <f>BY95*VLOOKUP('Données projet'!$B$12,Paramètres!$A$1:$I$89,3,0)*VLOOKUP('Données projet'!$B$12,Paramètres!$A$1:$I$89,5,0)</f>
        <v>-2.4829205358400945E-14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223.81948236065614</v>
      </c>
      <c r="CE95" s="59">
        <f t="shared" si="94"/>
        <v>320.1204011431372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0.90013319091903077</v>
      </c>
      <c r="CL95" s="21">
        <f>EXP(-LN(2)/25)*CL94+(1-EXP(-LN(2)/25))/(LN(2)/25)*Calculateur!CG95*Calculateur!CI95*VLOOKUP('Données projet'!$B$12,Paramètres!$A$1:$I$89,3,0)*0.475*44/12</f>
        <v>3.1712645744459027</v>
      </c>
      <c r="CM95" s="21">
        <f>EXP(-LN(2)/2)*CM94+(1-EXP(-LN(2)/2))/(LN(2)/2)*CG95*CJ95*VLOOKUP('Données projet'!$B$12,Paramètres!$A$1:$I$89,3,0)*0.475*44/12</f>
        <v>1.2931417119300326E-8</v>
      </c>
      <c r="CN95" s="22">
        <f t="shared" si="66"/>
        <v>4.0713977782963502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-5.1159076974727213E-13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168.08890945052406</v>
      </c>
      <c r="T96" s="59">
        <f t="shared" si="88"/>
        <v>182.52462557642343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1.7840044189251139</v>
      </c>
      <c r="AA96" s="21">
        <f>EXP(-LN(2)/25)*AA95+(1-EXP(-LN(2)/25))/(LN(2)/25)*Calculateur!V96*Calculateur!X96*VLOOKUP('Données projet'!$B$9,Paramètres!$A$1:$I$89,3,0)*0.475*44/12</f>
        <v>2.1498024901784984</v>
      </c>
      <c r="AB96" s="21">
        <f>EXP(-LN(2)/2)*AB95+(1-EXP(-LN(2)/2))/(LN(2)/2)*V96*Y96*VLOOKUP('Données projet'!$B$9,Paramètres!$A$1:$I$89,3,0)*0.475*44/12</f>
        <v>1.7931154025549606E-9</v>
      </c>
      <c r="AC96" s="22">
        <f t="shared" si="57"/>
        <v>3.933806910896728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-4.5474735088646412E-13</v>
      </c>
      <c r="AJ96" s="13">
        <f>AI96*VLOOKUP('Données projet'!$B$10,Paramètres!$A$1:$I$89,3,0)*VLOOKUP('Données projet'!$B$10,Paramètres!$A$1:$I$89,5,0)</f>
        <v>-2.7193891583010558E-13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216.94426559495264</v>
      </c>
      <c r="AO96" s="59">
        <f t="shared" si="90"/>
        <v>225.33715877618704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2.2401786195262812</v>
      </c>
      <c r="AW96" s="21">
        <f>EXP(-LN(2)/2)*AW95+(1-EXP(-LN(2)/2))/(LN(2)/2)*AQ96*AT96*VLOOKUP('Données projet'!$B$10,Paramètres!$A$1:$I$89,3,0)*0.475*44/12</f>
        <v>7.8134198114244975E-9</v>
      </c>
      <c r="AX96" s="21">
        <f t="shared" si="60"/>
        <v>2.2401786273397009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4.9000000000000004</v>
      </c>
      <c r="BD96" s="12">
        <f>IF('Données projet'!$A$88&gt;35,BD95+BC96-BL95,IF(A96&lt;'Données projet'!$A$88,$BA$205^A96,IF(A96='Données projet'!$A$88,'Données projet'!$B$88,BD95+BC96-BL95)))</f>
        <v>268.70000000000039</v>
      </c>
      <c r="BE96" s="13">
        <f>BD96*VLOOKUP('Données projet'!$B$11,Paramètres!$A$1:$I$89,3,0)*VLOOKUP('Données projet'!$B$11,Paramètres!$A$1:$I$89,5,0)</f>
        <v>243.11976000000033</v>
      </c>
      <c r="BF96" s="13">
        <f t="shared" si="91"/>
        <v>59.110256668778582</v>
      </c>
      <c r="BG96" s="20">
        <f t="shared" si="61"/>
        <v>526.38394569812317</v>
      </c>
      <c r="BH96" s="59">
        <f t="shared" si="62"/>
        <v>819.71727903145643</v>
      </c>
      <c r="BI96" s="59">
        <f ca="1">AVERAGE(OFFSET($BH$3,0,0,'Données projet'!$E$11+1,1))-AVERAGE(OFFSET($H$3,0,0,'Données projet'!$E$11+1,1))</f>
        <v>237.22177246688199</v>
      </c>
      <c r="BJ96" s="59">
        <f t="shared" si="92"/>
        <v>149.27472147904302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0.54149844926953228</v>
      </c>
      <c r="BR96" s="21">
        <f>EXP(-LN(2)/2)*BR95+(1-EXP(-LN(2)/2))/(LN(2)/2)*BL96*BO96*VLOOKUP('Données projet'!$B$11,Paramètres!$A$1:$I$89,3,0)*0.475*44/12</f>
        <v>2.0379805187642338E-9</v>
      </c>
      <c r="BS96" s="22">
        <f t="shared" si="63"/>
        <v>0.54149845130751284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-2.8421709430404007E-14</v>
      </c>
      <c r="BZ96" s="13">
        <f>BY96*VLOOKUP('Données projet'!$B$12,Paramètres!$A$1:$I$89,3,0)*VLOOKUP('Données projet'!$B$12,Paramètres!$A$1:$I$89,5,0)</f>
        <v>-2.4829205358400945E-14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223.81948236065614</v>
      </c>
      <c r="CE96" s="59">
        <f t="shared" si="94"/>
        <v>320.1204011431372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0.8824821280721431</v>
      </c>
      <c r="CL96" s="21">
        <f>EXP(-LN(2)/25)*CL95+(1-EXP(-LN(2)/25))/(LN(2)/25)*Calculateur!CG96*Calculateur!CI96*VLOOKUP('Données projet'!$B$12,Paramètres!$A$1:$I$89,3,0)*0.475*44/12</f>
        <v>3.0845461778881234</v>
      </c>
      <c r="CM96" s="21">
        <f>EXP(-LN(2)/2)*CM95+(1-EXP(-LN(2)/2))/(LN(2)/2)*CG96*CJ96*VLOOKUP('Données projet'!$B$12,Paramètres!$A$1:$I$89,3,0)*0.475*44/12</f>
        <v>9.1438927354090704E-9</v>
      </c>
      <c r="CN96" s="22">
        <f t="shared" si="66"/>
        <v>3.9670283151041592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-5.1159076974727213E-13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168.08890945052406</v>
      </c>
      <c r="T97" s="59">
        <f t="shared" si="88"/>
        <v>182.52462557642343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1.7490211804052436</v>
      </c>
      <c r="AA97" s="21">
        <f>EXP(-LN(2)/25)*AA96+(1-EXP(-LN(2)/25))/(LN(2)/25)*Calculateur!V97*Calculateur!X97*VLOOKUP('Données projet'!$B$9,Paramètres!$A$1:$I$89,3,0)*0.475*44/12</f>
        <v>2.0910160280313681</v>
      </c>
      <c r="AB97" s="21">
        <f>EXP(-LN(2)/2)*AB96+(1-EXP(-LN(2)/2))/(LN(2)/2)*V97*Y97*VLOOKUP('Données projet'!$B$9,Paramètres!$A$1:$I$89,3,0)*0.475*44/12</f>
        <v>1.2679240605966586E-9</v>
      </c>
      <c r="AC97" s="22">
        <f t="shared" si="57"/>
        <v>3.8400372097045357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-4.5474735088646412E-13</v>
      </c>
      <c r="AJ97" s="13">
        <f>AI97*VLOOKUP('Données projet'!$B$10,Paramètres!$A$1:$I$89,3,0)*VLOOKUP('Données projet'!$B$10,Paramètres!$A$1:$I$89,5,0)</f>
        <v>-2.7193891583010558E-13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216.94426559495264</v>
      </c>
      <c r="AO97" s="59">
        <f t="shared" si="90"/>
        <v>225.33715877618704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2.1789208173694612</v>
      </c>
      <c r="AW97" s="21">
        <f>EXP(-LN(2)/2)*AW96+(1-EXP(-LN(2)/2))/(LN(2)/2)*AQ97*AT97*VLOOKUP('Données projet'!$B$10,Paramètres!$A$1:$I$89,3,0)*0.475*44/12</f>
        <v>5.5249221329155777E-9</v>
      </c>
      <c r="AX97" s="21">
        <f t="shared" si="60"/>
        <v>2.1789208228943835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4.9000000000000004</v>
      </c>
      <c r="BD97" s="12">
        <f>IF('Données projet'!$A$88&gt;35,BD96+BC97-BL96,IF(A97&lt;'Données projet'!$A$88,$BA$205^A97,IF(A97='Données projet'!$A$88,'Données projet'!$B$88,BD96+BC97-BL96)))</f>
        <v>273.60000000000036</v>
      </c>
      <c r="BE97" s="13">
        <f>BD97*VLOOKUP('Données projet'!$B$11,Paramètres!$A$1:$I$89,3,0)*VLOOKUP('Données projet'!$B$11,Paramètres!$A$1:$I$89,5,0)</f>
        <v>247.55328000000031</v>
      </c>
      <c r="BF97" s="13">
        <f t="shared" si="91"/>
        <v>60.061713068870304</v>
      </c>
      <c r="BG97" s="20">
        <f t="shared" si="61"/>
        <v>535.76277959494962</v>
      </c>
      <c r="BH97" s="59">
        <f t="shared" si="62"/>
        <v>829.09611292828299</v>
      </c>
      <c r="BI97" s="59">
        <f ca="1">AVERAGE(OFFSET($BH$3,0,0,'Données projet'!$E$11+1,1))-AVERAGE(OFFSET($H$3,0,0,'Données projet'!$E$11+1,1))</f>
        <v>237.22177246688199</v>
      </c>
      <c r="BJ97" s="59">
        <f t="shared" si="92"/>
        <v>149.27472147904302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0.52669114569809106</v>
      </c>
      <c r="BR97" s="21">
        <f>EXP(-LN(2)/2)*BR96+(1-EXP(-LN(2)/2))/(LN(2)/2)*BL97*BO97*VLOOKUP('Données projet'!$B$11,Paramètres!$A$1:$I$89,3,0)*0.475*44/12</f>
        <v>1.4410698447442677E-9</v>
      </c>
      <c r="BS97" s="22">
        <f t="shared" si="63"/>
        <v>0.52669114713916088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-2.8421709430404007E-14</v>
      </c>
      <c r="BZ97" s="13">
        <f>BY97*VLOOKUP('Données projet'!$B$12,Paramètres!$A$1:$I$89,3,0)*VLOOKUP('Données projet'!$B$12,Paramètres!$A$1:$I$89,5,0)</f>
        <v>-2.4829205358400945E-14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223.81948236065614</v>
      </c>
      <c r="CE97" s="59">
        <f t="shared" si="94"/>
        <v>320.1204011431372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0.86517719180159769</v>
      </c>
      <c r="CL97" s="21">
        <f>EXP(-LN(2)/25)*CL96+(1-EXP(-LN(2)/25))/(LN(2)/25)*Calculateur!CG97*Calculateur!CI97*VLOOKUP('Données projet'!$B$12,Paramètres!$A$1:$I$89,3,0)*0.475*44/12</f>
        <v>3.0001991004445387</v>
      </c>
      <c r="CM97" s="21">
        <f>EXP(-LN(2)/2)*CM96+(1-EXP(-LN(2)/2))/(LN(2)/2)*CG97*CJ97*VLOOKUP('Données projet'!$B$12,Paramètres!$A$1:$I$89,3,0)*0.475*44/12</f>
        <v>6.4657085596501632E-9</v>
      </c>
      <c r="CN97" s="22">
        <f t="shared" si="66"/>
        <v>3.865376298711845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-5.1159076974727213E-13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168.08890945052406</v>
      </c>
      <c r="T98" s="59">
        <f t="shared" si="88"/>
        <v>182.52462557642343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1.7147239418550793</v>
      </c>
      <c r="AA98" s="21">
        <f>EXP(-LN(2)/25)*AA97+(1-EXP(-LN(2)/25))/(LN(2)/25)*Calculateur!V98*Calculateur!X98*VLOOKUP('Données projet'!$B$9,Paramètres!$A$1:$I$89,3,0)*0.475*44/12</f>
        <v>2.0338370847830967</v>
      </c>
      <c r="AB98" s="21">
        <f>EXP(-LN(2)/2)*AB97+(1-EXP(-LN(2)/2))/(LN(2)/2)*V98*Y98*VLOOKUP('Données projet'!$B$9,Paramètres!$A$1:$I$89,3,0)*0.475*44/12</f>
        <v>8.9655770127748031E-10</v>
      </c>
      <c r="AC98" s="22">
        <f t="shared" si="57"/>
        <v>3.7485610275347332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-4.5474735088646412E-13</v>
      </c>
      <c r="AJ98" s="13">
        <f>AI98*VLOOKUP('Données projet'!$B$10,Paramètres!$A$1:$I$89,3,0)*VLOOKUP('Données projet'!$B$10,Paramètres!$A$1:$I$89,5,0)</f>
        <v>-2.7193891583010558E-13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216.94426559495264</v>
      </c>
      <c r="AO98" s="59">
        <f t="shared" si="90"/>
        <v>225.33715877618704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2.1193381130340274</v>
      </c>
      <c r="AW98" s="21">
        <f>EXP(-LN(2)/2)*AW97+(1-EXP(-LN(2)/2))/(LN(2)/2)*AQ98*AT98*VLOOKUP('Données projet'!$B$10,Paramètres!$A$1:$I$89,3,0)*0.475*44/12</f>
        <v>3.9067099057122488E-9</v>
      </c>
      <c r="AX98" s="21">
        <f t="shared" si="60"/>
        <v>2.1193381169407375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4.9000000000000004</v>
      </c>
      <c r="BD98" s="12">
        <f>IF('Données projet'!$A$88&gt;35,BD97+BC98-BL97,IF(A98&lt;'Données projet'!$A$88,$BA$205^A98,IF(A98='Données projet'!$A$88,'Données projet'!$B$88,BD97+BC98-BL97)))</f>
        <v>278.50000000000034</v>
      </c>
      <c r="BE98" s="13">
        <f>BD98*VLOOKUP('Données projet'!$B$11,Paramètres!$A$1:$I$89,3,0)*VLOOKUP('Données projet'!$B$11,Paramètres!$A$1:$I$89,5,0)</f>
        <v>251.98680000000033</v>
      </c>
      <c r="BF98" s="13">
        <f t="shared" si="91"/>
        <v>61.011187970195103</v>
      </c>
      <c r="BG98" s="20">
        <f t="shared" si="61"/>
        <v>545.13816238142374</v>
      </c>
      <c r="BH98" s="59">
        <f t="shared" si="62"/>
        <v>838.47149571475711</v>
      </c>
      <c r="BI98" s="59">
        <f ca="1">AVERAGE(OFFSET($BH$3,0,0,'Données projet'!$E$11+1,1))-AVERAGE(OFFSET($H$3,0,0,'Données projet'!$E$11+1,1))</f>
        <v>237.22177246688199</v>
      </c>
      <c r="BJ98" s="59">
        <f t="shared" si="92"/>
        <v>149.27472147904302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0.51228874862149321</v>
      </c>
      <c r="BR98" s="21">
        <f>EXP(-LN(2)/2)*BR97+(1-EXP(-LN(2)/2))/(LN(2)/2)*BL98*BO98*VLOOKUP('Données projet'!$B$11,Paramètres!$A$1:$I$89,3,0)*0.475*44/12</f>
        <v>1.0189902593821169E-9</v>
      </c>
      <c r="BS98" s="22">
        <f t="shared" si="63"/>
        <v>0.51228874964048343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-2.8421709430404007E-14</v>
      </c>
      <c r="BZ98" s="13">
        <f>BY98*VLOOKUP('Données projet'!$B$12,Paramètres!$A$1:$I$89,3,0)*VLOOKUP('Données projet'!$B$12,Paramètres!$A$1:$I$89,5,0)</f>
        <v>-2.4829205358400945E-14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223.81948236065614</v>
      </c>
      <c r="CE98" s="59">
        <f t="shared" si="94"/>
        <v>320.1204011431372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0.84821159477634867</v>
      </c>
      <c r="CL98" s="21">
        <f>EXP(-LN(2)/25)*CL97+(1-EXP(-LN(2)/25))/(LN(2)/25)*Calculateur!CG98*Calculateur!CI98*VLOOKUP('Données projet'!$B$12,Paramètres!$A$1:$I$89,3,0)*0.475*44/12</f>
        <v>2.918158498269269</v>
      </c>
      <c r="CM98" s="21">
        <f>EXP(-LN(2)/2)*CM97+(1-EXP(-LN(2)/2))/(LN(2)/2)*CG98*CJ98*VLOOKUP('Données projet'!$B$12,Paramètres!$A$1:$I$89,3,0)*0.475*44/12</f>
        <v>4.5719463677045352E-9</v>
      </c>
      <c r="CN98" s="22">
        <f t="shared" si="66"/>
        <v>3.766370097617564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-5.1159076974727213E-13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168.08890945052406</v>
      </c>
      <c r="T99" s="59">
        <f t="shared" si="88"/>
        <v>182.52462557642343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1.6810992512336338</v>
      </c>
      <c r="AA99" s="21">
        <f>EXP(-LN(2)/25)*AA98+(1-EXP(-LN(2)/25))/(LN(2)/25)*Calculateur!V99*Calculateur!X99*VLOOKUP('Données projet'!$B$9,Paramètres!$A$1:$I$89,3,0)*0.475*44/12</f>
        <v>1.978221702744859</v>
      </c>
      <c r="AB99" s="21">
        <f>EXP(-LN(2)/2)*AB98+(1-EXP(-LN(2)/2))/(LN(2)/2)*V99*Y99*VLOOKUP('Données projet'!$B$9,Paramètres!$A$1:$I$89,3,0)*0.475*44/12</f>
        <v>6.339620302983293E-10</v>
      </c>
      <c r="AC99" s="22">
        <f t="shared" si="57"/>
        <v>3.659320954612455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-4.5474735088646412E-13</v>
      </c>
      <c r="AJ99" s="13">
        <f>AI99*VLOOKUP('Données projet'!$B$10,Paramètres!$A$1:$I$89,3,0)*VLOOKUP('Données projet'!$B$10,Paramètres!$A$1:$I$89,5,0)</f>
        <v>-2.7193891583010558E-13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216.94426559495264</v>
      </c>
      <c r="AO99" s="59">
        <f t="shared" si="90"/>
        <v>225.33715877618704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2.0613847008819643</v>
      </c>
      <c r="AW99" s="21">
        <f>EXP(-LN(2)/2)*AW98+(1-EXP(-LN(2)/2))/(LN(2)/2)*AQ99*AT99*VLOOKUP('Données projet'!$B$10,Paramètres!$A$1:$I$89,3,0)*0.475*44/12</f>
        <v>2.7624610664577889E-9</v>
      </c>
      <c r="AX99" s="21">
        <f t="shared" si="60"/>
        <v>2.0613847036444253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4.9000000000000004</v>
      </c>
      <c r="BD99" s="12">
        <f>IF('Données projet'!$A$88&gt;35,BD98+BC99-BL98,IF(A99&lt;'Données projet'!$A$88,$BA$205^A99,IF(A99='Données projet'!$A$88,'Données projet'!$B$88,BD98+BC99-BL98)))</f>
        <v>283.40000000000032</v>
      </c>
      <c r="BE99" s="13">
        <f>BD99*VLOOKUP('Données projet'!$B$11,Paramètres!$A$1:$I$89,3,0)*VLOOKUP('Données projet'!$B$11,Paramètres!$A$1:$I$89,5,0)</f>
        <v>256.42032000000029</v>
      </c>
      <c r="BF99" s="13">
        <f t="shared" si="91"/>
        <v>61.958720258016967</v>
      </c>
      <c r="BG99" s="20">
        <f t="shared" si="61"/>
        <v>554.51016178271334</v>
      </c>
      <c r="BH99" s="59">
        <f t="shared" si="62"/>
        <v>847.8434951160466</v>
      </c>
      <c r="BI99" s="59">
        <f ca="1">AVERAGE(OFFSET($BH$3,0,0,'Données projet'!$E$11+1,1))-AVERAGE(OFFSET($H$3,0,0,'Données projet'!$E$11+1,1))</f>
        <v>237.22177246688199</v>
      </c>
      <c r="BJ99" s="59">
        <f t="shared" si="92"/>
        <v>149.27472147904302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0.49828018585034406</v>
      </c>
      <c r="BR99" s="21">
        <f>EXP(-LN(2)/2)*BR98+(1-EXP(-LN(2)/2))/(LN(2)/2)*BL99*BO99*VLOOKUP('Données projet'!$B$11,Paramètres!$A$1:$I$89,3,0)*0.475*44/12</f>
        <v>7.2053492237213385E-10</v>
      </c>
      <c r="BS99" s="22">
        <f t="shared" si="63"/>
        <v>0.49828018657087897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-2.8421709430404007E-14</v>
      </c>
      <c r="BZ99" s="13">
        <f>BY99*VLOOKUP('Données projet'!$B$12,Paramètres!$A$1:$I$89,3,0)*VLOOKUP('Données projet'!$B$12,Paramètres!$A$1:$I$89,5,0)</f>
        <v>-2.4829205358400945E-14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223.81948236065614</v>
      </c>
      <c r="CE99" s="59">
        <f t="shared" si="94"/>
        <v>320.1204011431372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0.8315786827607724</v>
      </c>
      <c r="CL99" s="21">
        <f>EXP(-LN(2)/25)*CL98+(1-EXP(-LN(2)/25))/(LN(2)/25)*Calculateur!CG99*Calculateur!CI99*VLOOKUP('Données projet'!$B$12,Paramètres!$A$1:$I$89,3,0)*0.475*44/12</f>
        <v>2.8383613006748099</v>
      </c>
      <c r="CM99" s="21">
        <f>EXP(-LN(2)/2)*CM98+(1-EXP(-LN(2)/2))/(LN(2)/2)*CG99*CJ99*VLOOKUP('Données projet'!$B$12,Paramètres!$A$1:$I$89,3,0)*0.475*44/12</f>
        <v>3.2328542798250816E-9</v>
      </c>
      <c r="CN99" s="22">
        <f t="shared" si="66"/>
        <v>3.6699399866684366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-5.1159076974727213E-13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168.08890945052406</v>
      </c>
      <c r="T100" s="59">
        <f t="shared" si="88"/>
        <v>182.52462557642343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1.6481339202862386</v>
      </c>
      <c r="AA100" s="21">
        <f>EXP(-LN(2)/25)*AA99+(1-EXP(-LN(2)/25))/(LN(2)/25)*Calculateur!V100*Calculateur!X100*VLOOKUP('Données projet'!$B$9,Paramètres!$A$1:$I$89,3,0)*0.475*44/12</f>
        <v>1.9241271262531427</v>
      </c>
      <c r="AB100" s="21">
        <f>EXP(-LN(2)/2)*AB99+(1-EXP(-LN(2)/2))/(LN(2)/2)*V100*Y100*VLOOKUP('Données projet'!$B$9,Paramètres!$A$1:$I$89,3,0)*0.475*44/12</f>
        <v>4.4827885063874015E-10</v>
      </c>
      <c r="AC100" s="22">
        <f t="shared" si="57"/>
        <v>3.5722610469876601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-4.5474735088646412E-13</v>
      </c>
      <c r="AJ100" s="13">
        <f>AI100*VLOOKUP('Données projet'!$B$10,Paramètres!$A$1:$I$89,3,0)*VLOOKUP('Données projet'!$B$10,Paramètres!$A$1:$I$89,5,0)</f>
        <v>-2.7193891583010558E-13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216.94426559495264</v>
      </c>
      <c r="AO100" s="59">
        <f t="shared" si="90"/>
        <v>225.33715877618704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2.0050160278328368</v>
      </c>
      <c r="AW100" s="21">
        <f>EXP(-LN(2)/2)*AW99+(1-EXP(-LN(2)/2))/(LN(2)/2)*AQ100*AT100*VLOOKUP('Données projet'!$B$10,Paramètres!$A$1:$I$89,3,0)*0.475*44/12</f>
        <v>1.9533549528561244E-9</v>
      </c>
      <c r="AX100" s="21">
        <f t="shared" si="60"/>
        <v>2.0050160297861916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4.9000000000000004</v>
      </c>
      <c r="BD100" s="12">
        <f>IF('Données projet'!$A$88&gt;35,BD99+BC100-BL99,IF(A100&lt;'Données projet'!$A$88,$BA$205^A100,IF(A100='Données projet'!$A$88,'Données projet'!$B$88,BD99+BC100-BL99)))</f>
        <v>288.3000000000003</v>
      </c>
      <c r="BE100" s="13">
        <f>BD100*VLOOKUP('Données projet'!$B$11,Paramètres!$A$1:$I$89,3,0)*VLOOKUP('Données projet'!$B$11,Paramètres!$A$1:$I$89,5,0)</f>
        <v>260.85384000000028</v>
      </c>
      <c r="BF100" s="13">
        <f t="shared" si="91"/>
        <v>62.90434739590382</v>
      </c>
      <c r="BG100" s="20">
        <f t="shared" si="61"/>
        <v>563.87884304786633</v>
      </c>
      <c r="BH100" s="59">
        <f t="shared" si="62"/>
        <v>857.2121763811997</v>
      </c>
      <c r="BI100" s="59">
        <f ca="1">AVERAGE(OFFSET($BH$3,0,0,'Données projet'!$E$11+1,1))-AVERAGE(OFFSET($H$3,0,0,'Données projet'!$E$11+1,1))</f>
        <v>237.22177246688199</v>
      </c>
      <c r="BJ100" s="59">
        <f t="shared" si="92"/>
        <v>149.27472147904302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0.48465468796485028</v>
      </c>
      <c r="BR100" s="21">
        <f>EXP(-LN(2)/2)*BR99+(1-EXP(-LN(2)/2))/(LN(2)/2)*BL100*BO100*VLOOKUP('Données projet'!$B$11,Paramètres!$A$1:$I$89,3,0)*0.475*44/12</f>
        <v>5.0949512969105845E-10</v>
      </c>
      <c r="BS100" s="22">
        <f t="shared" si="63"/>
        <v>0.4846546884743454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-2.8421709430404007E-14</v>
      </c>
      <c r="BZ100" s="13">
        <f>BY100*VLOOKUP('Données projet'!$B$12,Paramètres!$A$1:$I$89,3,0)*VLOOKUP('Données projet'!$B$12,Paramètres!$A$1:$I$89,5,0)</f>
        <v>-2.4829205358400945E-14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223.81948236065614</v>
      </c>
      <c r="CE100" s="59">
        <f t="shared" si="94"/>
        <v>320.1204011431372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0.81527193200474701</v>
      </c>
      <c r="CL100" s="21">
        <f>EXP(-LN(2)/25)*CL99+(1-EXP(-LN(2)/25))/(LN(2)/25)*Calculateur!CG100*Calculateur!CI100*VLOOKUP('Données projet'!$B$12,Paramètres!$A$1:$I$89,3,0)*0.475*44/12</f>
        <v>2.7607461616449234</v>
      </c>
      <c r="CM100" s="21">
        <f>EXP(-LN(2)/2)*CM99+(1-EXP(-LN(2)/2))/(LN(2)/2)*CG100*CJ100*VLOOKUP('Données projet'!$B$12,Paramètres!$A$1:$I$89,3,0)*0.475*44/12</f>
        <v>2.2859731838522676E-9</v>
      </c>
      <c r="CN100" s="22">
        <f t="shared" si="66"/>
        <v>3.5760180959356438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-5.1159076974727213E-13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168.08890945052406</v>
      </c>
      <c r="T101" s="59">
        <f t="shared" si="88"/>
        <v>182.52462557642343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1.6158150193718555</v>
      </c>
      <c r="AA101" s="21">
        <f>EXP(-LN(2)/25)*AA100+(1-EXP(-LN(2)/25))/(LN(2)/25)*Calculateur!V101*Calculateur!X101*VLOOKUP('Données projet'!$B$9,Paramètres!$A$1:$I$89,3,0)*0.475*44/12</f>
        <v>1.8715117688003027</v>
      </c>
      <c r="AB101" s="21">
        <f>EXP(-LN(2)/2)*AB100+(1-EXP(-LN(2)/2))/(LN(2)/2)*V101*Y101*VLOOKUP('Données projet'!$B$9,Paramètres!$A$1:$I$89,3,0)*0.475*44/12</f>
        <v>3.1698101514916465E-10</v>
      </c>
      <c r="AC101" s="22">
        <f t="shared" si="57"/>
        <v>3.4873267884891392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-4.5474735088646412E-13</v>
      </c>
      <c r="AJ101" s="13">
        <f>AI101*VLOOKUP('Données projet'!$B$10,Paramètres!$A$1:$I$89,3,0)*VLOOKUP('Données projet'!$B$10,Paramètres!$A$1:$I$89,5,0)</f>
        <v>-2.7193891583010558E-13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216.94426559495264</v>
      </c>
      <c r="AO101" s="59">
        <f t="shared" si="90"/>
        <v>225.33715877618704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1.9501887591125375</v>
      </c>
      <c r="AW101" s="21">
        <f>EXP(-LN(2)/2)*AW100+(1-EXP(-LN(2)/2))/(LN(2)/2)*AQ101*AT101*VLOOKUP('Données projet'!$B$10,Paramètres!$A$1:$I$89,3,0)*0.475*44/12</f>
        <v>1.3812305332288944E-9</v>
      </c>
      <c r="AX101" s="21">
        <f t="shared" si="60"/>
        <v>1.950188760493768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4.9000000000000004</v>
      </c>
      <c r="BD101" s="12">
        <f>IF('Données projet'!$A$88&gt;35,BD100+BC101-BL100,IF(A101&lt;'Données projet'!$A$88,$BA$205^A101,IF(A101='Données projet'!$A$88,'Données projet'!$B$88,BD100+BC101-BL100)))</f>
        <v>293.20000000000027</v>
      </c>
      <c r="BE101" s="13">
        <f>BD101*VLOOKUP('Données projet'!$B$11,Paramètres!$A$1:$I$89,3,0)*VLOOKUP('Données projet'!$B$11,Paramètres!$A$1:$I$89,5,0)</f>
        <v>265.28736000000026</v>
      </c>
      <c r="BF101" s="13">
        <f t="shared" si="91"/>
        <v>63.848105500970064</v>
      </c>
      <c r="BG101" s="20">
        <f t="shared" si="61"/>
        <v>573.24426908085661</v>
      </c>
      <c r="BH101" s="59">
        <f t="shared" si="62"/>
        <v>866.57760241418987</v>
      </c>
      <c r="BI101" s="59">
        <f ca="1">AVERAGE(OFFSET($BH$3,0,0,'Données projet'!$E$11+1,1))-AVERAGE(OFFSET($H$3,0,0,'Données projet'!$E$11+1,1))</f>
        <v>237.22177246688199</v>
      </c>
      <c r="BJ101" s="59">
        <f t="shared" si="92"/>
        <v>149.27472147904302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0.4714017800355691</v>
      </c>
      <c r="BR101" s="21">
        <f>EXP(-LN(2)/2)*BR100+(1-EXP(-LN(2)/2))/(LN(2)/2)*BL101*BO101*VLOOKUP('Données projet'!$B$11,Paramètres!$A$1:$I$89,3,0)*0.475*44/12</f>
        <v>3.6026746118606693E-10</v>
      </c>
      <c r="BS101" s="22">
        <f t="shared" si="63"/>
        <v>0.47140178039583658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-2.8421709430404007E-14</v>
      </c>
      <c r="BZ101" s="13">
        <f>BY101*VLOOKUP('Données projet'!$B$12,Paramètres!$A$1:$I$89,3,0)*VLOOKUP('Données projet'!$B$12,Paramètres!$A$1:$I$89,5,0)</f>
        <v>-2.4829205358400945E-14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223.81948236065614</v>
      </c>
      <c r="CE101" s="59">
        <f t="shared" si="94"/>
        <v>320.1204011431372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0.79928494668491146</v>
      </c>
      <c r="CL101" s="21">
        <f>EXP(-LN(2)/25)*CL100+(1-EXP(-LN(2)/25))/(LN(2)/25)*Calculateur!CG101*Calculateur!CI101*VLOOKUP('Données projet'!$B$12,Paramètres!$A$1:$I$89,3,0)*0.475*44/12</f>
        <v>2.6852534126734122</v>
      </c>
      <c r="CM101" s="21">
        <f>EXP(-LN(2)/2)*CM100+(1-EXP(-LN(2)/2))/(LN(2)/2)*CG101*CJ101*VLOOKUP('Données projet'!$B$12,Paramètres!$A$1:$I$89,3,0)*0.475*44/12</f>
        <v>1.6164271399125408E-9</v>
      </c>
      <c r="CN101" s="22">
        <f t="shared" si="66"/>
        <v>3.4845383609747507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-5.1159076974727213E-13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168.08890945052406</v>
      </c>
      <c r="T102" s="59">
        <f t="shared" si="88"/>
        <v>182.52462557642343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1.5841298723918202</v>
      </c>
      <c r="AA102" s="21">
        <f>EXP(-LN(2)/25)*AA101+(1-EXP(-LN(2)/25))/(LN(2)/25)*Calculateur!V102*Calculateur!X102*VLOOKUP('Données projet'!$B$9,Paramètres!$A$1:$I$89,3,0)*0.475*44/12</f>
        <v>1.8203351810639319</v>
      </c>
      <c r="AB102" s="21">
        <f>EXP(-LN(2)/2)*AB101+(1-EXP(-LN(2)/2))/(LN(2)/2)*V102*Y102*VLOOKUP('Données projet'!$B$9,Paramètres!$A$1:$I$89,3,0)*0.475*44/12</f>
        <v>2.2413942531937008E-10</v>
      </c>
      <c r="AC102" s="22">
        <f t="shared" si="57"/>
        <v>3.4044650536798913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-4.5474735088646412E-13</v>
      </c>
      <c r="AJ102" s="13">
        <f>AI102*VLOOKUP('Données projet'!$B$10,Paramètres!$A$1:$I$89,3,0)*VLOOKUP('Données projet'!$B$10,Paramètres!$A$1:$I$89,5,0)</f>
        <v>-2.7193891583010558E-13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216.94426559495264</v>
      </c>
      <c r="AO102" s="59">
        <f t="shared" si="90"/>
        <v>225.33715877618704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1.8968607449386357</v>
      </c>
      <c r="AW102" s="21">
        <f>EXP(-LN(2)/2)*AW101+(1-EXP(-LN(2)/2))/(LN(2)/2)*AQ102*AT102*VLOOKUP('Données projet'!$B$10,Paramètres!$A$1:$I$89,3,0)*0.475*44/12</f>
        <v>9.7667747642806219E-10</v>
      </c>
      <c r="AX102" s="21">
        <f t="shared" si="60"/>
        <v>1.8968607459153131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4.9000000000000004</v>
      </c>
      <c r="BD102" s="12">
        <f>IF('Données projet'!$A$88&gt;35,BD101+BC102-BL101,IF(A102&lt;'Données projet'!$A$88,$BA$205^A102,IF(A102='Données projet'!$A$88,'Données projet'!$B$88,BD101+BC102-BL101)))</f>
        <v>298.10000000000025</v>
      </c>
      <c r="BE102" s="13">
        <f>BD102*VLOOKUP('Données projet'!$B$11,Paramètres!$A$1:$I$89,3,0)*VLOOKUP('Données projet'!$B$11,Paramètres!$A$1:$I$89,5,0)</f>
        <v>269.72088000000025</v>
      </c>
      <c r="BF102" s="13">
        <f t="shared" si="91"/>
        <v>64.790029413947011</v>
      </c>
      <c r="BG102" s="20">
        <f t="shared" si="61"/>
        <v>582.60650056262477</v>
      </c>
      <c r="BH102" s="59">
        <f t="shared" si="62"/>
        <v>875.93983389595815</v>
      </c>
      <c r="BI102" s="59">
        <f ca="1">AVERAGE(OFFSET($BH$3,0,0,'Données projet'!$E$11+1,1))-AVERAGE(OFFSET($H$3,0,0,'Données projet'!$E$11+1,1))</f>
        <v>237.22177246688199</v>
      </c>
      <c r="BJ102" s="59">
        <f t="shared" si="92"/>
        <v>149.27472147904302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0.45851127357055427</v>
      </c>
      <c r="BR102" s="21">
        <f>EXP(-LN(2)/2)*BR101+(1-EXP(-LN(2)/2))/(LN(2)/2)*BL102*BO102*VLOOKUP('Données projet'!$B$11,Paramètres!$A$1:$I$89,3,0)*0.475*44/12</f>
        <v>2.5474756484552923E-10</v>
      </c>
      <c r="BS102" s="22">
        <f t="shared" si="63"/>
        <v>0.45851127382530182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-2.8421709430404007E-14</v>
      </c>
      <c r="BZ102" s="13">
        <f>BY102*VLOOKUP('Données projet'!$B$12,Paramètres!$A$1:$I$89,3,0)*VLOOKUP('Données projet'!$B$12,Paramètres!$A$1:$I$89,5,0)</f>
        <v>-2.4829205358400945E-14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223.81948236065614</v>
      </c>
      <c r="CE102" s="59">
        <f t="shared" si="94"/>
        <v>320.1204011431372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0.78361145639609964</v>
      </c>
      <c r="CL102" s="21">
        <f>EXP(-LN(2)/25)*CL101+(1-EXP(-LN(2)/25))/(LN(2)/25)*Calculateur!CG102*Calculateur!CI102*VLOOKUP('Données projet'!$B$12,Paramètres!$A$1:$I$89,3,0)*0.475*44/12</f>
        <v>2.6118250168925181</v>
      </c>
      <c r="CM102" s="21">
        <f>EXP(-LN(2)/2)*CM101+(1-EXP(-LN(2)/2))/(LN(2)/2)*CG102*CJ102*VLOOKUP('Données projet'!$B$12,Paramètres!$A$1:$I$89,3,0)*0.475*44/12</f>
        <v>1.1429865919261338E-9</v>
      </c>
      <c r="CN102" s="22">
        <f t="shared" si="66"/>
        <v>3.3954364744316043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-5.1159076974727213E-13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168.08890945052406</v>
      </c>
      <c r="T103" s="59">
        <f t="shared" si="88"/>
        <v>182.52462557642343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1.5530660518180321</v>
      </c>
      <c r="AA103" s="21">
        <f>EXP(-LN(2)/25)*AA102+(1-EXP(-LN(2)/25))/(LN(2)/25)*Calculateur!V103*Calculateur!X103*VLOOKUP('Données projet'!$B$9,Paramètres!$A$1:$I$89,3,0)*0.475*44/12</f>
        <v>1.770558019810472</v>
      </c>
      <c r="AB103" s="21">
        <f>EXP(-LN(2)/2)*AB102+(1-EXP(-LN(2)/2))/(LN(2)/2)*V103*Y103*VLOOKUP('Données projet'!$B$9,Paramètres!$A$1:$I$89,3,0)*0.475*44/12</f>
        <v>1.5849050757458233E-10</v>
      </c>
      <c r="AC103" s="22">
        <f t="shared" si="57"/>
        <v>3.3236240717869947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-4.5474735088646412E-13</v>
      </c>
      <c r="AJ103" s="13">
        <f>AI103*VLOOKUP('Données projet'!$B$10,Paramètres!$A$1:$I$89,3,0)*VLOOKUP('Données projet'!$B$10,Paramètres!$A$1:$I$89,5,0)</f>
        <v>-2.7193891583010558E-13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216.94426559495264</v>
      </c>
      <c r="AO103" s="59">
        <f t="shared" si="90"/>
        <v>225.33715877618704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1.8449909881167175</v>
      </c>
      <c r="AW103" s="21">
        <f>EXP(-LN(2)/2)*AW102+(1-EXP(-LN(2)/2))/(LN(2)/2)*AQ103*AT103*VLOOKUP('Données projet'!$B$10,Paramètres!$A$1:$I$89,3,0)*0.475*44/12</f>
        <v>6.9061526661444722E-10</v>
      </c>
      <c r="AX103" s="21">
        <f t="shared" si="60"/>
        <v>1.8449909888073328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303</v>
      </c>
      <c r="BB103" s="12">
        <f>VLOOKUP(A103,'Données projet'!$A$87:$I$107,9,0)</f>
        <v>4.9000000000000004</v>
      </c>
      <c r="BC103" s="12">
        <f t="array" ref="BC103">INDEX(BB:BB,MIN(IF(ISNUMBER(BB103:BB299),ROW(BB103:BB299),"")))</f>
        <v>4.9000000000000004</v>
      </c>
      <c r="BD103" s="12">
        <f>IF('Données projet'!$A$88&gt;35,BD102+BC103-BL102,IF(A103&lt;'Données projet'!$A$88,$BA$205^A103,IF(A103='Données projet'!$A$88,'Données projet'!$B$88,BD102+BC103-BL102)))</f>
        <v>303.00000000000023</v>
      </c>
      <c r="BE103" s="13">
        <f>BD103*VLOOKUP('Données projet'!$B$11,Paramètres!$A$1:$I$89,3,0)*VLOOKUP('Données projet'!$B$11,Paramètres!$A$1:$I$89,5,0)</f>
        <v>274.15440000000018</v>
      </c>
      <c r="BF103" s="13">
        <f t="shared" si="91"/>
        <v>65.730152764515836</v>
      </c>
      <c r="BG103" s="20">
        <f t="shared" si="61"/>
        <v>591.96559606486528</v>
      </c>
      <c r="BH103" s="59">
        <f t="shared" si="62"/>
        <v>885.29892939819865</v>
      </c>
      <c r="BI103" s="59">
        <f ca="1">AVERAGE(OFFSET($BH$3,0,0,'Données projet'!$E$11+1,1))-AVERAGE(OFFSET($H$3,0,0,'Données projet'!$E$11+1,1))</f>
        <v>237.22177246688199</v>
      </c>
      <c r="BJ103" s="59">
        <f t="shared" si="92"/>
        <v>149.27472147904302</v>
      </c>
      <c r="BK103" s="15">
        <f>IF(ISNA(VLOOKUP(A103,'Données projet'!$A$87:$I$107,3,0)),0,VLOOKUP(A103,'Données projet'!$A$87:$I$107,3,0))</f>
        <v>8</v>
      </c>
      <c r="BL103" s="15">
        <f>IF(ISNA(VLOOKUP(A103,'Données projet'!$A$87:$I$107,4,0)),0,VLOOKUP(A103,'Données projet'!$A$87:$I$107,4,0))</f>
        <v>42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0.44597325868270754</v>
      </c>
      <c r="BR103" s="21">
        <f>EXP(-LN(2)/2)*BR102+(1-EXP(-LN(2)/2))/(LN(2)/2)*BL103*BO103*VLOOKUP('Données projet'!$B$11,Paramètres!$A$1:$I$89,3,0)*0.475*44/12</f>
        <v>1.8013373059303346E-10</v>
      </c>
      <c r="BS103" s="22">
        <f t="shared" si="63"/>
        <v>0.44597325886284128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-2.8421709430404007E-14</v>
      </c>
      <c r="BZ103" s="13">
        <f>BY103*VLOOKUP('Données projet'!$B$12,Paramètres!$A$1:$I$89,3,0)*VLOOKUP('Données projet'!$B$12,Paramètres!$A$1:$I$89,5,0)</f>
        <v>-2.4829205358400945E-14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223.81948236065614</v>
      </c>
      <c r="CE103" s="59">
        <f t="shared" si="94"/>
        <v>320.1204011431372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0.76824531369196636</v>
      </c>
      <c r="CL103" s="21">
        <f>EXP(-LN(2)/25)*CL102+(1-EXP(-LN(2)/25))/(LN(2)/25)*Calculateur!CG103*Calculateur!CI103*VLOOKUP('Données projet'!$B$12,Paramètres!$A$1:$I$89,3,0)*0.475*44/12</f>
        <v>2.5404045244556839</v>
      </c>
      <c r="CM103" s="21">
        <f>EXP(-LN(2)/2)*CM102+(1-EXP(-LN(2)/2))/(LN(2)/2)*CG103*CJ103*VLOOKUP('Données projet'!$B$12,Paramètres!$A$1:$I$89,3,0)*0.475*44/12</f>
        <v>8.082135699562704E-10</v>
      </c>
      <c r="CN103" s="22">
        <f t="shared" si="66"/>
        <v>3.3086498389558638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-5.1159076974727213E-13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168.08890945052406</v>
      </c>
      <c r="T104" s="59">
        <f t="shared" si="88"/>
        <v>182.52462557642343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1.5226113738186364</v>
      </c>
      <c r="AA104" s="21">
        <f>EXP(-LN(2)/25)*AA103+(1-EXP(-LN(2)/25))/(LN(2)/25)*Calculateur!V104*Calculateur!X104*VLOOKUP('Données projet'!$B$9,Paramètres!$A$1:$I$89,3,0)*0.475*44/12</f>
        <v>1.7221420176491551</v>
      </c>
      <c r="AB104" s="21">
        <f>EXP(-LN(2)/2)*AB103+(1-EXP(-LN(2)/2))/(LN(2)/2)*V104*Y104*VLOOKUP('Données projet'!$B$9,Paramètres!$A$1:$I$89,3,0)*0.475*44/12</f>
        <v>1.1206971265968504E-10</v>
      </c>
      <c r="AC104" s="22">
        <f t="shared" si="57"/>
        <v>3.2447533915798616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-4.5474735088646412E-13</v>
      </c>
      <c r="AJ104" s="13">
        <f>AI104*VLOOKUP('Données projet'!$B$10,Paramètres!$A$1:$I$89,3,0)*VLOOKUP('Données projet'!$B$10,Paramètres!$A$1:$I$89,5,0)</f>
        <v>-2.7193891583010558E-13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216.94426559495264</v>
      </c>
      <c r="AO104" s="59">
        <f t="shared" si="90"/>
        <v>225.33715877618704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1.7945396125228066</v>
      </c>
      <c r="AW104" s="21">
        <f>EXP(-LN(2)/2)*AW103+(1-EXP(-LN(2)/2))/(LN(2)/2)*AQ104*AT104*VLOOKUP('Données projet'!$B$10,Paramètres!$A$1:$I$89,3,0)*0.475*44/12</f>
        <v>4.883387382140311E-10</v>
      </c>
      <c r="AX104" s="21">
        <f t="shared" si="60"/>
        <v>1.7945396130111453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4.4000000000000004</v>
      </c>
      <c r="BD104" s="12">
        <f>IF('Données projet'!$A$88&gt;35,BD103+BC104-BL103,IF(A104&lt;'Données projet'!$A$88,$BA$205^A104,IF(A104='Données projet'!$A$88,'Données projet'!$B$88,BD103+BC104-BL103)))</f>
        <v>265.4000000000002</v>
      </c>
      <c r="BE104" s="13">
        <f>BD104*VLOOKUP('Données projet'!$B$11,Paramètres!$A$1:$I$89,3,0)*VLOOKUP('Données projet'!$B$11,Paramètres!$A$1:$I$89,5,0)</f>
        <v>240.13392000000016</v>
      </c>
      <c r="BF104" s="13">
        <f t="shared" si="91"/>
        <v>58.468343087048616</v>
      </c>
      <c r="BG104" s="20">
        <f t="shared" si="61"/>
        <v>520.06560820994321</v>
      </c>
      <c r="BH104" s="59">
        <f t="shared" si="62"/>
        <v>813.39894154327658</v>
      </c>
      <c r="BI104" s="59">
        <f ca="1">AVERAGE(OFFSET($BH$3,0,0,'Données projet'!$E$11+1,1))-AVERAGE(OFFSET($H$3,0,0,'Données projet'!$E$11+1,1))</f>
        <v>237.22177246688199</v>
      </c>
      <c r="BJ104" s="59">
        <f t="shared" si="92"/>
        <v>149.27472147904302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0.43377809647131449</v>
      </c>
      <c r="BR104" s="21">
        <f>EXP(-LN(2)/2)*BR103+(1-EXP(-LN(2)/2))/(LN(2)/2)*BL104*BO104*VLOOKUP('Données projet'!$B$11,Paramètres!$A$1:$I$89,3,0)*0.475*44/12</f>
        <v>1.2737378242276461E-10</v>
      </c>
      <c r="BS104" s="22">
        <f t="shared" si="63"/>
        <v>0.43377809659868827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-2.8421709430404007E-14</v>
      </c>
      <c r="BZ104" s="13">
        <f>BY104*VLOOKUP('Données projet'!$B$12,Paramètres!$A$1:$I$89,3,0)*VLOOKUP('Données projet'!$B$12,Paramètres!$A$1:$I$89,5,0)</f>
        <v>-2.4829205358400945E-14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223.81948236065614</v>
      </c>
      <c r="CE104" s="59">
        <f t="shared" si="94"/>
        <v>320.1204011431372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0.75318049167383949</v>
      </c>
      <c r="CL104" s="21">
        <f>EXP(-LN(2)/25)*CL103+(1-EXP(-LN(2)/25))/(LN(2)/25)*Calculateur!CG104*Calculateur!CI104*VLOOKUP('Données projet'!$B$12,Paramètres!$A$1:$I$89,3,0)*0.475*44/12</f>
        <v>2.4709370291403756</v>
      </c>
      <c r="CM104" s="21">
        <f>EXP(-LN(2)/2)*CM103+(1-EXP(-LN(2)/2))/(LN(2)/2)*CG104*CJ104*VLOOKUP('Données projet'!$B$12,Paramètres!$A$1:$I$89,3,0)*0.475*44/12</f>
        <v>5.714932959630669E-10</v>
      </c>
      <c r="CN104" s="22">
        <f t="shared" si="66"/>
        <v>3.2241175213857081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-5.1159076974727213E-13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168.08890945052406</v>
      </c>
      <c r="T105" s="59">
        <f t="shared" si="88"/>
        <v>182.52462557642343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1.4927538934792894</v>
      </c>
      <c r="AA105" s="21">
        <f>EXP(-LN(2)/25)*AA104+(1-EXP(-LN(2)/25))/(LN(2)/25)*Calculateur!V105*Calculateur!X105*VLOOKUP('Données projet'!$B$9,Paramètres!$A$1:$I$89,3,0)*0.475*44/12</f>
        <v>1.6750499536130263</v>
      </c>
      <c r="AB105" s="21">
        <f>EXP(-LN(2)/2)*AB104+(1-EXP(-LN(2)/2))/(LN(2)/2)*V105*Y105*VLOOKUP('Données projet'!$B$9,Paramètres!$A$1:$I$89,3,0)*0.475*44/12</f>
        <v>7.9245253787291163E-11</v>
      </c>
      <c r="AC105" s="22">
        <f t="shared" si="57"/>
        <v>3.1678038471715606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-4.5474735088646412E-13</v>
      </c>
      <c r="AJ105" s="13">
        <f>AI105*VLOOKUP('Données projet'!$B$10,Paramètres!$A$1:$I$89,3,0)*VLOOKUP('Données projet'!$B$10,Paramètres!$A$1:$I$89,5,0)</f>
        <v>-2.7193891583010558E-13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216.94426559495264</v>
      </c>
      <c r="AO105" s="59">
        <f t="shared" si="90"/>
        <v>225.33715877618704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1.7454678324476336</v>
      </c>
      <c r="AW105" s="21">
        <f>EXP(-LN(2)/2)*AW104+(1-EXP(-LN(2)/2))/(LN(2)/2)*AQ105*AT105*VLOOKUP('Données projet'!$B$10,Paramètres!$A$1:$I$89,3,0)*0.475*44/12</f>
        <v>3.4530763330722361E-10</v>
      </c>
      <c r="AX105" s="21">
        <f t="shared" si="60"/>
        <v>1.7454678327929412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4.4000000000000004</v>
      </c>
      <c r="BD105" s="12">
        <f>IF('Données projet'!$A$88&gt;35,BD104+BC105-BL104,IF(A105&lt;'Données projet'!$A$88,$BA$205^A105,IF(A105='Données projet'!$A$88,'Données projet'!$B$88,BD104+BC105-BL104)))</f>
        <v>269.80000000000018</v>
      </c>
      <c r="BE105" s="13">
        <f>BD105*VLOOKUP('Données projet'!$B$11,Paramètres!$A$1:$I$89,3,0)*VLOOKUP('Données projet'!$B$11,Paramètres!$A$1:$I$89,5,0)</f>
        <v>244.11504000000016</v>
      </c>
      <c r="BF105" s="13">
        <f t="shared" si="91"/>
        <v>59.324023461759062</v>
      </c>
      <c r="BG105" s="20">
        <f t="shared" si="61"/>
        <v>528.48970219589739</v>
      </c>
      <c r="BH105" s="59">
        <f t="shared" si="62"/>
        <v>821.82303552923076</v>
      </c>
      <c r="BI105" s="59">
        <f ca="1">AVERAGE(OFFSET($BH$3,0,0,'Données projet'!$E$11+1,1))-AVERAGE(OFFSET($H$3,0,0,'Données projet'!$E$11+1,1))</f>
        <v>237.22177246688199</v>
      </c>
      <c r="BJ105" s="59">
        <f t="shared" si="92"/>
        <v>149.27472147904302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0.42191641161190774</v>
      </c>
      <c r="BR105" s="21">
        <f>EXP(-LN(2)/2)*BR104+(1-EXP(-LN(2)/2))/(LN(2)/2)*BL105*BO105*VLOOKUP('Données projet'!$B$11,Paramètres!$A$1:$I$89,3,0)*0.475*44/12</f>
        <v>9.0066865296516732E-11</v>
      </c>
      <c r="BS105" s="22">
        <f t="shared" si="63"/>
        <v>0.42191641170197458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-2.8421709430404007E-14</v>
      </c>
      <c r="BZ105" s="13">
        <f>BY105*VLOOKUP('Données projet'!$B$12,Paramètres!$A$1:$I$89,3,0)*VLOOKUP('Données projet'!$B$12,Paramètres!$A$1:$I$89,5,0)</f>
        <v>-2.4829205358400945E-14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223.81948236065614</v>
      </c>
      <c r="CE105" s="59">
        <f t="shared" si="94"/>
        <v>320.1204011431372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0.73841108162685398</v>
      </c>
      <c r="CL105" s="21">
        <f>EXP(-LN(2)/25)*CL104+(1-EXP(-LN(2)/25))/(LN(2)/25)*Calculateur!CG105*Calculateur!CI105*VLOOKUP('Données projet'!$B$12,Paramètres!$A$1:$I$89,3,0)*0.475*44/12</f>
        <v>2.4033691261376009</v>
      </c>
      <c r="CM105" s="21">
        <f>EXP(-LN(2)/2)*CM104+(1-EXP(-LN(2)/2))/(LN(2)/2)*CG105*CJ105*VLOOKUP('Données projet'!$B$12,Paramètres!$A$1:$I$89,3,0)*0.475*44/12</f>
        <v>4.041067849781352E-10</v>
      </c>
      <c r="CN105" s="22">
        <f t="shared" si="66"/>
        <v>3.1417802081685617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-5.1159076974727213E-13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168.08890945052406</v>
      </c>
      <c r="T106" s="59">
        <f t="shared" si="88"/>
        <v>182.52462557642343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1.4634819001181323</v>
      </c>
      <c r="AA106" s="21">
        <f>EXP(-LN(2)/25)*AA105+(1-EXP(-LN(2)/25))/(LN(2)/25)*Calculateur!V106*Calculateur!X106*VLOOKUP('Données projet'!$B$9,Paramètres!$A$1:$I$89,3,0)*0.475*44/12</f>
        <v>1.6292456245444293</v>
      </c>
      <c r="AB106" s="21">
        <f>EXP(-LN(2)/2)*AB105+(1-EXP(-LN(2)/2))/(LN(2)/2)*V106*Y106*VLOOKUP('Données projet'!$B$9,Paramètres!$A$1:$I$89,3,0)*0.475*44/12</f>
        <v>5.6034856329842519E-11</v>
      </c>
      <c r="AC106" s="22">
        <f t="shared" si="57"/>
        <v>3.0927275247185961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-4.5474735088646412E-13</v>
      </c>
      <c r="AJ106" s="13">
        <f>AI106*VLOOKUP('Données projet'!$B$10,Paramètres!$A$1:$I$89,3,0)*VLOOKUP('Données projet'!$B$10,Paramètres!$A$1:$I$89,5,0)</f>
        <v>-2.7193891583010558E-13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216.94426559495264</v>
      </c>
      <c r="AO106" s="59">
        <f t="shared" si="90"/>
        <v>225.33715877618704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1.6977379227791891</v>
      </c>
      <c r="AW106" s="21">
        <f>EXP(-LN(2)/2)*AW105+(1-EXP(-LN(2)/2))/(LN(2)/2)*AQ106*AT106*VLOOKUP('Données projet'!$B$10,Paramètres!$A$1:$I$89,3,0)*0.475*44/12</f>
        <v>2.4416936910701555E-10</v>
      </c>
      <c r="AX106" s="21">
        <f t="shared" si="60"/>
        <v>1.6977379230233585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4.4000000000000004</v>
      </c>
      <c r="BD106" s="12">
        <f>IF('Données projet'!$A$88&gt;35,BD105+BC106-BL105,IF(A106&lt;'Données projet'!$A$88,$BA$205^A106,IF(A106='Données projet'!$A$88,'Données projet'!$B$88,BD105+BC106-BL105)))</f>
        <v>274.20000000000016</v>
      </c>
      <c r="BE106" s="13">
        <f>BD106*VLOOKUP('Données projet'!$B$11,Paramètres!$A$1:$I$89,3,0)*VLOOKUP('Données projet'!$B$11,Paramètres!$A$1:$I$89,5,0)</f>
        <v>248.09616000000014</v>
      </c>
      <c r="BF106" s="13">
        <f t="shared" si="91"/>
        <v>60.178080967364686</v>
      </c>
      <c r="BG106" s="20">
        <f t="shared" si="61"/>
        <v>536.91096968482714</v>
      </c>
      <c r="BH106" s="59">
        <f t="shared" si="62"/>
        <v>830.24430301816051</v>
      </c>
      <c r="BI106" s="59">
        <f ca="1">AVERAGE(OFFSET($BH$3,0,0,'Données projet'!$E$11+1,1))-AVERAGE(OFFSET($H$3,0,0,'Données projet'!$E$11+1,1))</f>
        <v>237.22177246688199</v>
      </c>
      <c r="BJ106" s="59">
        <f t="shared" si="92"/>
        <v>149.27472147904302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0.41037908514876031</v>
      </c>
      <c r="BR106" s="21">
        <f>EXP(-LN(2)/2)*BR105+(1-EXP(-LN(2)/2))/(LN(2)/2)*BL106*BO106*VLOOKUP('Données projet'!$B$11,Paramètres!$A$1:$I$89,3,0)*0.475*44/12</f>
        <v>6.3686891211382306E-11</v>
      </c>
      <c r="BS106" s="22">
        <f t="shared" si="63"/>
        <v>0.4103790852124472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-2.8421709430404007E-14</v>
      </c>
      <c r="BZ106" s="13">
        <f>BY106*VLOOKUP('Données projet'!$B$12,Paramètres!$A$1:$I$89,3,0)*VLOOKUP('Données projet'!$B$12,Paramètres!$A$1:$I$89,5,0)</f>
        <v>-2.4829205358400945E-14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223.81948236065614</v>
      </c>
      <c r="CE106" s="59">
        <f t="shared" si="94"/>
        <v>320.1204011431372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0.72393129070243922</v>
      </c>
      <c r="CL106" s="21">
        <f>EXP(-LN(2)/25)*CL105+(1-EXP(-LN(2)/25))/(LN(2)/25)*Calculateur!CG106*Calculateur!CI106*VLOOKUP('Données projet'!$B$12,Paramètres!$A$1:$I$89,3,0)*0.475*44/12</f>
        <v>2.3376488709956789</v>
      </c>
      <c r="CM106" s="21">
        <f>EXP(-LN(2)/2)*CM105+(1-EXP(-LN(2)/2))/(LN(2)/2)*CG106*CJ106*VLOOKUP('Données projet'!$B$12,Paramètres!$A$1:$I$89,3,0)*0.475*44/12</f>
        <v>2.8574664798153345E-10</v>
      </c>
      <c r="CN106" s="22">
        <f t="shared" si="66"/>
        <v>3.0615801619838647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-5.1159076974727213E-13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168.08890945052406</v>
      </c>
      <c r="T107" s="59">
        <f t="shared" si="88"/>
        <v>182.52462557642343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1.4347839126926343</v>
      </c>
      <c r="AA107" s="21">
        <f>EXP(-LN(2)/25)*AA106+(1-EXP(-LN(2)/25))/(LN(2)/25)*Calculateur!V107*Calculateur!X107*VLOOKUP('Données projet'!$B$9,Paramètres!$A$1:$I$89,3,0)*0.475*44/12</f>
        <v>1.5846938172629581</v>
      </c>
      <c r="AB107" s="21">
        <f>EXP(-LN(2)/2)*AB106+(1-EXP(-LN(2)/2))/(LN(2)/2)*V107*Y107*VLOOKUP('Données projet'!$B$9,Paramètres!$A$1:$I$89,3,0)*0.475*44/12</f>
        <v>3.9622626893645581E-11</v>
      </c>
      <c r="AC107" s="22">
        <f t="shared" si="57"/>
        <v>3.0194777299952147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-4.5474735088646412E-13</v>
      </c>
      <c r="AJ107" s="13">
        <f>AI107*VLOOKUP('Données projet'!$B$10,Paramètres!$A$1:$I$89,3,0)*VLOOKUP('Données projet'!$B$10,Paramètres!$A$1:$I$89,5,0)</f>
        <v>-2.7193891583010558E-13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216.94426559495264</v>
      </c>
      <c r="AO107" s="59">
        <f t="shared" si="90"/>
        <v>225.33715877618704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1.651313190000635</v>
      </c>
      <c r="AW107" s="21">
        <f>EXP(-LN(2)/2)*AW106+(1-EXP(-LN(2)/2))/(LN(2)/2)*AQ107*AT107*VLOOKUP('Données projet'!$B$10,Paramètres!$A$1:$I$89,3,0)*0.475*44/12</f>
        <v>1.726538166536118E-10</v>
      </c>
      <c r="AX107" s="21">
        <f t="shared" si="60"/>
        <v>1.6513131901732889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4.4000000000000004</v>
      </c>
      <c r="BD107" s="12">
        <f>IF('Données projet'!$A$88&gt;35,BD106+BC107-BL106,IF(A107&lt;'Données projet'!$A$88,$BA$205^A107,IF(A107='Données projet'!$A$88,'Données projet'!$B$88,BD106+BC107-BL106)))</f>
        <v>278.60000000000014</v>
      </c>
      <c r="BE107" s="13">
        <f>BD107*VLOOKUP('Données projet'!$B$11,Paramètres!$A$1:$I$89,3,0)*VLOOKUP('Données projet'!$B$11,Paramètres!$A$1:$I$89,5,0)</f>
        <v>252.07728000000014</v>
      </c>
      <c r="BF107" s="13">
        <f t="shared" si="91"/>
        <v>61.030544652155044</v>
      </c>
      <c r="BG107" s="20">
        <f t="shared" si="61"/>
        <v>545.32946126917022</v>
      </c>
      <c r="BH107" s="59">
        <f t="shared" si="62"/>
        <v>838.66279460250348</v>
      </c>
      <c r="BI107" s="59">
        <f ca="1">AVERAGE(OFFSET($BH$3,0,0,'Données projet'!$E$11+1,1))-AVERAGE(OFFSET($H$3,0,0,'Données projet'!$E$11+1,1))</f>
        <v>237.22177246688199</v>
      </c>
      <c r="BJ107" s="59">
        <f t="shared" si="92"/>
        <v>149.27472147904302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0.39915724748446929</v>
      </c>
      <c r="BR107" s="21">
        <f>EXP(-LN(2)/2)*BR106+(1-EXP(-LN(2)/2))/(LN(2)/2)*BL107*BO107*VLOOKUP('Données projet'!$B$11,Paramètres!$A$1:$I$89,3,0)*0.475*44/12</f>
        <v>4.5033432648258366E-11</v>
      </c>
      <c r="BS107" s="22">
        <f t="shared" si="63"/>
        <v>0.39915724752950271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-2.8421709430404007E-14</v>
      </c>
      <c r="BZ107" s="13">
        <f>BY107*VLOOKUP('Données projet'!$B$12,Paramètres!$A$1:$I$89,3,0)*VLOOKUP('Données projet'!$B$12,Paramètres!$A$1:$I$89,5,0)</f>
        <v>-2.4829205358400945E-14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223.81948236065614</v>
      </c>
      <c r="CE107" s="59">
        <f t="shared" si="94"/>
        <v>320.1204011431372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0.70973543964625185</v>
      </c>
      <c r="CL107" s="21">
        <f>EXP(-LN(2)/25)*CL106+(1-EXP(-LN(2)/25))/(LN(2)/25)*Calculateur!CG107*Calculateur!CI107*VLOOKUP('Données projet'!$B$12,Paramètres!$A$1:$I$89,3,0)*0.475*44/12</f>
        <v>2.2737257396866908</v>
      </c>
      <c r="CM107" s="21">
        <f>EXP(-LN(2)/2)*CM106+(1-EXP(-LN(2)/2))/(LN(2)/2)*CG107*CJ107*VLOOKUP('Données projet'!$B$12,Paramètres!$A$1:$I$89,3,0)*0.475*44/12</f>
        <v>2.020533924890676E-10</v>
      </c>
      <c r="CN107" s="22">
        <f t="shared" si="66"/>
        <v>2.9834611795349959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-5.1159076974727213E-13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168.08890945052406</v>
      </c>
      <c r="T108" s="59">
        <f t="shared" si="88"/>
        <v>182.52462557642343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1.4066486752965064</v>
      </c>
      <c r="AA108" s="21">
        <f>EXP(-LN(2)/25)*AA107+(1-EXP(-LN(2)/25))/(LN(2)/25)*Calculateur!V108*Calculateur!X108*VLOOKUP('Données projet'!$B$9,Paramètres!$A$1:$I$89,3,0)*0.475*44/12</f>
        <v>1.5413602814944765</v>
      </c>
      <c r="AB108" s="21">
        <f>EXP(-LN(2)/2)*AB107+(1-EXP(-LN(2)/2))/(LN(2)/2)*V108*Y108*VLOOKUP('Données projet'!$B$9,Paramètres!$A$1:$I$89,3,0)*0.475*44/12</f>
        <v>2.801742816492126E-11</v>
      </c>
      <c r="AC108" s="22">
        <f t="shared" si="57"/>
        <v>2.9480089568190007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-4.5474735088646412E-13</v>
      </c>
      <c r="AJ108" s="13">
        <f>AI108*VLOOKUP('Données projet'!$B$10,Paramètres!$A$1:$I$89,3,0)*VLOOKUP('Données projet'!$B$10,Paramètres!$A$1:$I$89,5,0)</f>
        <v>-2.7193891583010558E-13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216.94426559495264</v>
      </c>
      <c r="AO108" s="59">
        <f t="shared" si="90"/>
        <v>225.33715877618704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1.6061579439812812</v>
      </c>
      <c r="AW108" s="21">
        <f>EXP(-LN(2)/2)*AW107+(1-EXP(-LN(2)/2))/(LN(2)/2)*AQ108*AT108*VLOOKUP('Données projet'!$B$10,Paramètres!$A$1:$I$89,3,0)*0.475*44/12</f>
        <v>1.2208468455350777E-10</v>
      </c>
      <c r="AX108" s="21">
        <f t="shared" si="60"/>
        <v>1.606157944103366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4.4000000000000004</v>
      </c>
      <c r="BD108" s="12">
        <f>IF('Données projet'!$A$88&gt;35,BD107+BC108-BL107,IF(A108&lt;'Données projet'!$A$88,$BA$205^A108,IF(A108='Données projet'!$A$88,'Données projet'!$B$88,BD107+BC108-BL107)))</f>
        <v>283.00000000000011</v>
      </c>
      <c r="BE108" s="13">
        <f>BD108*VLOOKUP('Données projet'!$B$11,Paramètres!$A$1:$I$89,3,0)*VLOOKUP('Données projet'!$B$11,Paramètres!$A$1:$I$89,5,0)</f>
        <v>256.05840000000006</v>
      </c>
      <c r="BF108" s="13">
        <f t="shared" si="91"/>
        <v>61.881442594256484</v>
      </c>
      <c r="BG108" s="20">
        <f t="shared" si="61"/>
        <v>553.74522585166358</v>
      </c>
      <c r="BH108" s="59">
        <f t="shared" si="62"/>
        <v>847.07855918499695</v>
      </c>
      <c r="BI108" s="59">
        <f ca="1">AVERAGE(OFFSET($BH$3,0,0,'Données projet'!$E$11+1,1))-AVERAGE(OFFSET($H$3,0,0,'Données projet'!$E$11+1,1))</f>
        <v>237.22177246688199</v>
      </c>
      <c r="BJ108" s="59">
        <f t="shared" si="92"/>
        <v>149.27472147904302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0.38824227156123914</v>
      </c>
      <c r="BR108" s="21">
        <f>EXP(-LN(2)/2)*BR107+(1-EXP(-LN(2)/2))/(LN(2)/2)*BL108*BO108*VLOOKUP('Données projet'!$B$11,Paramètres!$A$1:$I$89,3,0)*0.475*44/12</f>
        <v>3.1843445605691153E-11</v>
      </c>
      <c r="BS108" s="22">
        <f t="shared" si="63"/>
        <v>0.38824227159308261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-2.8421709430404007E-14</v>
      </c>
      <c r="BZ108" s="13">
        <f>BY108*VLOOKUP('Données projet'!$B$12,Paramètres!$A$1:$I$89,3,0)*VLOOKUP('Données projet'!$B$12,Paramètres!$A$1:$I$89,5,0)</f>
        <v>-2.4829205358400945E-14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223.81948236065614</v>
      </c>
      <c r="CE108" s="59">
        <f t="shared" si="94"/>
        <v>320.1204011431372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0.69581796057066214</v>
      </c>
      <c r="CL108" s="21">
        <f>EXP(-LN(2)/25)*CL107+(1-EXP(-LN(2)/25))/(LN(2)/25)*Calculateur!CG108*Calculateur!CI108*VLOOKUP('Données projet'!$B$12,Paramètres!$A$1:$I$89,3,0)*0.475*44/12</f>
        <v>2.2115505897649181</v>
      </c>
      <c r="CM108" s="21">
        <f>EXP(-LN(2)/2)*CM107+(1-EXP(-LN(2)/2))/(LN(2)/2)*CG108*CJ108*VLOOKUP('Données projet'!$B$12,Paramètres!$A$1:$I$89,3,0)*0.475*44/12</f>
        <v>1.4287332399076673E-10</v>
      </c>
      <c r="CN108" s="22">
        <f t="shared" si="66"/>
        <v>2.9073685504784534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-5.1159076974727213E-13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168.08890945052406</v>
      </c>
      <c r="T109" s="59">
        <f t="shared" si="88"/>
        <v>182.52462557642343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1.3790651527449163</v>
      </c>
      <c r="AA109" s="21">
        <f>EXP(-LN(2)/25)*AA108+(1-EXP(-LN(2)/25))/(LN(2)/25)*Calculateur!V109*Calculateur!X109*VLOOKUP('Données projet'!$B$9,Paramètres!$A$1:$I$89,3,0)*0.475*44/12</f>
        <v>1.4992117035403956</v>
      </c>
      <c r="AB109" s="21">
        <f>EXP(-LN(2)/2)*AB108+(1-EXP(-LN(2)/2))/(LN(2)/2)*V109*Y109*VLOOKUP('Données projet'!$B$9,Paramètres!$A$1:$I$89,3,0)*0.475*44/12</f>
        <v>1.9811313446822791E-11</v>
      </c>
      <c r="AC109" s="22">
        <f t="shared" si="57"/>
        <v>2.8782768563051229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-4.5474735088646412E-13</v>
      </c>
      <c r="AJ109" s="13">
        <f>AI109*VLOOKUP('Données projet'!$B$10,Paramètres!$A$1:$I$89,3,0)*VLOOKUP('Données projet'!$B$10,Paramètres!$A$1:$I$89,5,0)</f>
        <v>-2.7193891583010558E-13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216.94426559495264</v>
      </c>
      <c r="AO109" s="59">
        <f t="shared" si="90"/>
        <v>225.33715877618704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1.5622374705389377</v>
      </c>
      <c r="AW109" s="21">
        <f>EXP(-LN(2)/2)*AW108+(1-EXP(-LN(2)/2))/(LN(2)/2)*AQ109*AT109*VLOOKUP('Données projet'!$B$10,Paramètres!$A$1:$I$89,3,0)*0.475*44/12</f>
        <v>8.6326908326805902E-11</v>
      </c>
      <c r="AX109" s="21">
        <f t="shared" si="60"/>
        <v>1.5622374706252646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4.4000000000000004</v>
      </c>
      <c r="BD109" s="12">
        <f>IF('Données projet'!$A$88&gt;35,BD108+BC109-BL108,IF(A109&lt;'Données projet'!$A$88,$BA$205^A109,IF(A109='Données projet'!$A$88,'Données projet'!$B$88,BD108+BC109-BL108)))</f>
        <v>287.40000000000009</v>
      </c>
      <c r="BE109" s="13">
        <f>BD109*VLOOKUP('Données projet'!$B$11,Paramètres!$A$1:$I$89,3,0)*VLOOKUP('Données projet'!$B$11,Paramètres!$A$1:$I$89,5,0)</f>
        <v>260.03952000000004</v>
      </c>
      <c r="BF109" s="13">
        <f t="shared" si="91"/>
        <v>62.730801948604871</v>
      </c>
      <c r="BG109" s="20">
        <f t="shared" si="61"/>
        <v>562.15831072715355</v>
      </c>
      <c r="BH109" s="59">
        <f t="shared" si="62"/>
        <v>855.49164406048681</v>
      </c>
      <c r="BI109" s="59">
        <f ca="1">AVERAGE(OFFSET($BH$3,0,0,'Données projet'!$E$11+1,1))-AVERAGE(OFFSET($H$3,0,0,'Données projet'!$E$11+1,1))</f>
        <v>237.22177246688199</v>
      </c>
      <c r="BJ109" s="59">
        <f t="shared" si="92"/>
        <v>149.27472147904302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0.37762576622862332</v>
      </c>
      <c r="BR109" s="21">
        <f>EXP(-LN(2)/2)*BR108+(1-EXP(-LN(2)/2))/(LN(2)/2)*BL109*BO109*VLOOKUP('Données projet'!$B$11,Paramètres!$A$1:$I$89,3,0)*0.475*44/12</f>
        <v>2.2516716324129183E-11</v>
      </c>
      <c r="BS109" s="22">
        <f t="shared" si="63"/>
        <v>0.37762576625114003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-2.8421709430404007E-14</v>
      </c>
      <c r="BZ109" s="13">
        <f>BY109*VLOOKUP('Données projet'!$B$12,Paramètres!$A$1:$I$89,3,0)*VLOOKUP('Données projet'!$B$12,Paramètres!$A$1:$I$89,5,0)</f>
        <v>-2.4829205358400945E-14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223.81948236065614</v>
      </c>
      <c r="CE109" s="59">
        <f t="shared" si="94"/>
        <v>320.1204011431372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0.68217339477092065</v>
      </c>
      <c r="CL109" s="21">
        <f>EXP(-LN(2)/25)*CL108+(1-EXP(-LN(2)/25))/(LN(2)/25)*Calculateur!CG109*Calculateur!CI109*VLOOKUP('Données projet'!$B$12,Paramètres!$A$1:$I$89,3,0)*0.475*44/12</f>
        <v>2.1510756225874057</v>
      </c>
      <c r="CM109" s="21">
        <f>EXP(-LN(2)/2)*CM108+(1-EXP(-LN(2)/2))/(LN(2)/2)*CG109*CJ109*VLOOKUP('Données projet'!$B$12,Paramètres!$A$1:$I$89,3,0)*0.475*44/12</f>
        <v>1.010266962445338E-10</v>
      </c>
      <c r="CN109" s="22">
        <f t="shared" si="66"/>
        <v>2.833249017459353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-5.1159076974727213E-13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168.08890945052406</v>
      </c>
      <c r="T110" s="59">
        <f t="shared" si="88"/>
        <v>182.52462557642343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1.3520225262462753</v>
      </c>
      <c r="AA110" s="21">
        <f>EXP(-LN(2)/25)*AA109+(1-EXP(-LN(2)/25))/(LN(2)/25)*Calculateur!V110*Calculateur!X110*VLOOKUP('Données projet'!$B$9,Paramètres!$A$1:$I$89,3,0)*0.475*44/12</f>
        <v>1.4582156806669664</v>
      </c>
      <c r="AB110" s="21">
        <f>EXP(-LN(2)/2)*AB109+(1-EXP(-LN(2)/2))/(LN(2)/2)*V110*Y110*VLOOKUP('Données projet'!$B$9,Paramètres!$A$1:$I$89,3,0)*0.475*44/12</f>
        <v>1.400871408246063E-11</v>
      </c>
      <c r="AC110" s="22">
        <f t="shared" si="57"/>
        <v>2.8102382069272505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-4.5474735088646412E-13</v>
      </c>
      <c r="AJ110" s="13">
        <f>AI110*VLOOKUP('Données projet'!$B$10,Paramètres!$A$1:$I$89,3,0)*VLOOKUP('Données projet'!$B$10,Paramètres!$A$1:$I$89,5,0)</f>
        <v>-2.7193891583010558E-13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216.94426559495264</v>
      </c>
      <c r="AO110" s="59">
        <f t="shared" si="90"/>
        <v>225.33715877618704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1.5195180047525525</v>
      </c>
      <c r="AW110" s="21">
        <f>EXP(-LN(2)/2)*AW109+(1-EXP(-LN(2)/2))/(LN(2)/2)*AQ110*AT110*VLOOKUP('Données projet'!$B$10,Paramètres!$A$1:$I$89,3,0)*0.475*44/12</f>
        <v>6.1042342276753887E-11</v>
      </c>
      <c r="AX110" s="21">
        <f t="shared" si="60"/>
        <v>1.5195180048135948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4.4000000000000004</v>
      </c>
      <c r="BD110" s="12">
        <f>IF('Données projet'!$A$88&gt;35,BD109+BC110-BL109,IF(A110&lt;'Données projet'!$A$88,$BA$205^A110,IF(A110='Données projet'!$A$88,'Données projet'!$B$88,BD109+BC110-BL109)))</f>
        <v>291.80000000000007</v>
      </c>
      <c r="BE110" s="13">
        <f>BD110*VLOOKUP('Données projet'!$B$11,Paramètres!$A$1:$I$89,3,0)*VLOOKUP('Données projet'!$B$11,Paramètres!$A$1:$I$89,5,0)</f>
        <v>264.02064000000007</v>
      </c>
      <c r="BF110" s="13">
        <f t="shared" si="91"/>
        <v>63.578648990959174</v>
      </c>
      <c r="BG110" s="20">
        <f t="shared" si="61"/>
        <v>570.56876165925394</v>
      </c>
      <c r="BH110" s="59">
        <f t="shared" si="62"/>
        <v>863.90209499258731</v>
      </c>
      <c r="BI110" s="59">
        <f ca="1">AVERAGE(OFFSET($BH$3,0,0,'Données projet'!$E$11+1,1))-AVERAGE(OFFSET($H$3,0,0,'Données projet'!$E$11+1,1))</f>
        <v>237.22177246688199</v>
      </c>
      <c r="BJ110" s="59">
        <f t="shared" si="92"/>
        <v>149.27472147904302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0.36729956979262562</v>
      </c>
      <c r="BR110" s="21">
        <f>EXP(-LN(2)/2)*BR109+(1-EXP(-LN(2)/2))/(LN(2)/2)*BL110*BO110*VLOOKUP('Données projet'!$B$11,Paramètres!$A$1:$I$89,3,0)*0.475*44/12</f>
        <v>1.5921722802845577E-11</v>
      </c>
      <c r="BS110" s="22">
        <f t="shared" si="63"/>
        <v>0.36729956980854733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-2.8421709430404007E-14</v>
      </c>
      <c r="BZ110" s="13">
        <f>BY110*VLOOKUP('Données projet'!$B$12,Paramètres!$A$1:$I$89,3,0)*VLOOKUP('Données projet'!$B$12,Paramètres!$A$1:$I$89,5,0)</f>
        <v>-2.4829205358400945E-14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223.81948236065614</v>
      </c>
      <c r="CE110" s="59">
        <f t="shared" si="94"/>
        <v>320.1204011431372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0.66879639058414875</v>
      </c>
      <c r="CL110" s="21">
        <f>EXP(-LN(2)/25)*CL109+(1-EXP(-LN(2)/25))/(LN(2)/25)*Calculateur!CG110*Calculateur!CI110*VLOOKUP('Données projet'!$B$12,Paramètres!$A$1:$I$89,3,0)*0.475*44/12</f>
        <v>2.0922543465676022</v>
      </c>
      <c r="CM110" s="21">
        <f>EXP(-LN(2)/2)*CM109+(1-EXP(-LN(2)/2))/(LN(2)/2)*CG110*CJ110*VLOOKUP('Données projet'!$B$12,Paramètres!$A$1:$I$89,3,0)*0.475*44/12</f>
        <v>7.1436661995383363E-11</v>
      </c>
      <c r="CN110" s="22">
        <f t="shared" si="66"/>
        <v>2.7610507372231878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-5.1159076974727213E-13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168.08890945052406</v>
      </c>
      <c r="T111" s="59">
        <f t="shared" si="88"/>
        <v>182.52462557642343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1.3255101891588992</v>
      </c>
      <c r="AA111" s="21">
        <f>EXP(-LN(2)/25)*AA110+(1-EXP(-LN(2)/25))/(LN(2)/25)*Calculateur!V111*Calculateur!X111*VLOOKUP('Données projet'!$B$9,Paramètres!$A$1:$I$89,3,0)*0.475*44/12</f>
        <v>1.4183406961948983</v>
      </c>
      <c r="AB111" s="21">
        <f>EXP(-LN(2)/2)*AB110+(1-EXP(-LN(2)/2))/(LN(2)/2)*V111*Y111*VLOOKUP('Données projet'!$B$9,Paramètres!$A$1:$I$89,3,0)*0.475*44/12</f>
        <v>9.9056567234113953E-12</v>
      </c>
      <c r="AC111" s="22">
        <f t="shared" si="57"/>
        <v>2.7438508853637034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-4.5474735088646412E-13</v>
      </c>
      <c r="AJ111" s="13">
        <f>AI111*VLOOKUP('Données projet'!$B$10,Paramètres!$A$1:$I$89,3,0)*VLOOKUP('Données projet'!$B$10,Paramètres!$A$1:$I$89,5,0)</f>
        <v>-2.7193891583010558E-13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216.94426559495264</v>
      </c>
      <c r="AO111" s="59">
        <f t="shared" si="90"/>
        <v>225.33715877618704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1.477966705004615</v>
      </c>
      <c r="AW111" s="21">
        <f>EXP(-LN(2)/2)*AW110+(1-EXP(-LN(2)/2))/(LN(2)/2)*AQ111*AT111*VLOOKUP('Données projet'!$B$10,Paramètres!$A$1:$I$89,3,0)*0.475*44/12</f>
        <v>4.3163454163402951E-11</v>
      </c>
      <c r="AX111" s="21">
        <f t="shared" si="60"/>
        <v>1.4779667050477785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4.4000000000000004</v>
      </c>
      <c r="BD111" s="12">
        <f>IF('Données projet'!$A$88&gt;35,BD110+BC111-BL110,IF(A111&lt;'Données projet'!$A$88,$BA$205^A111,IF(A111='Données projet'!$A$88,'Données projet'!$B$88,BD110+BC111-BL110)))</f>
        <v>296.20000000000005</v>
      </c>
      <c r="BE111" s="13">
        <f>BD111*VLOOKUP('Données projet'!$B$11,Paramètres!$A$1:$I$89,3,0)*VLOOKUP('Données projet'!$B$11,Paramètres!$A$1:$I$89,5,0)</f>
        <v>268.00176000000005</v>
      </c>
      <c r="BF111" s="13">
        <f t="shared" si="91"/>
        <v>64.425009159185578</v>
      </c>
      <c r="BG111" s="20">
        <f t="shared" si="61"/>
        <v>578.97662295224825</v>
      </c>
      <c r="BH111" s="59">
        <f t="shared" si="62"/>
        <v>872.30995628558162</v>
      </c>
      <c r="BI111" s="59">
        <f ca="1">AVERAGE(OFFSET($BH$3,0,0,'Données projet'!$E$11+1,1))-AVERAGE(OFFSET($H$3,0,0,'Données projet'!$E$11+1,1))</f>
        <v>237.22177246688199</v>
      </c>
      <c r="BJ111" s="59">
        <f t="shared" si="92"/>
        <v>149.27472147904302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0.35725574374120139</v>
      </c>
      <c r="BR111" s="21">
        <f>EXP(-LN(2)/2)*BR110+(1-EXP(-LN(2)/2))/(LN(2)/2)*BL111*BO111*VLOOKUP('Données projet'!$B$11,Paramètres!$A$1:$I$89,3,0)*0.475*44/12</f>
        <v>1.1258358162064591E-11</v>
      </c>
      <c r="BS111" s="22">
        <f t="shared" si="63"/>
        <v>0.35725574375245978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-2.8421709430404007E-14</v>
      </c>
      <c r="BZ111" s="13">
        <f>BY111*VLOOKUP('Données projet'!$B$12,Paramètres!$A$1:$I$89,3,0)*VLOOKUP('Données projet'!$B$12,Paramètres!$A$1:$I$89,5,0)</f>
        <v>-2.4829205358400945E-14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223.81948236065614</v>
      </c>
      <c r="CE111" s="59">
        <f t="shared" si="94"/>
        <v>320.1204011431372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0.65568170129031256</v>
      </c>
      <c r="CL111" s="21">
        <f>EXP(-LN(2)/25)*CL110+(1-EXP(-LN(2)/25))/(LN(2)/25)*Calculateur!CG111*Calculateur!CI111*VLOOKUP('Données projet'!$B$12,Paramètres!$A$1:$I$89,3,0)*0.475*44/12</f>
        <v>2.035041541433837</v>
      </c>
      <c r="CM111" s="21">
        <f>EXP(-LN(2)/2)*CM110+(1-EXP(-LN(2)/2))/(LN(2)/2)*CG111*CJ111*VLOOKUP('Données projet'!$B$12,Paramètres!$A$1:$I$89,3,0)*0.475*44/12</f>
        <v>5.05133481222669E-11</v>
      </c>
      <c r="CN111" s="22">
        <f t="shared" si="66"/>
        <v>2.6907232427746628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-5.1159076974727213E-13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168.08890945052406</v>
      </c>
      <c r="T112" s="59">
        <f t="shared" si="88"/>
        <v>182.52462557642343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1.2995177428308777</v>
      </c>
      <c r="AA112" s="21">
        <f>EXP(-LN(2)/25)*AA111+(1-EXP(-LN(2)/25))/(LN(2)/25)*Calculateur!V112*Calculateur!X112*VLOOKUP('Données projet'!$B$9,Paramètres!$A$1:$I$89,3,0)*0.475*44/12</f>
        <v>1.3795560952701533</v>
      </c>
      <c r="AB112" s="21">
        <f>EXP(-LN(2)/2)*AB111+(1-EXP(-LN(2)/2))/(LN(2)/2)*V112*Y112*VLOOKUP('Données projet'!$B$9,Paramètres!$A$1:$I$89,3,0)*0.475*44/12</f>
        <v>7.0043570412303149E-12</v>
      </c>
      <c r="AC112" s="22">
        <f t="shared" si="57"/>
        <v>2.6790738381080352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-4.5474735088646412E-13</v>
      </c>
      <c r="AJ112" s="13">
        <f>AI112*VLOOKUP('Données projet'!$B$10,Paramètres!$A$1:$I$89,3,0)*VLOOKUP('Données projet'!$B$10,Paramètres!$A$1:$I$89,5,0)</f>
        <v>-2.7193891583010558E-13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216.94426559495264</v>
      </c>
      <c r="AO112" s="59">
        <f t="shared" si="90"/>
        <v>225.33715877618704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1.4375516277333726</v>
      </c>
      <c r="AW112" s="21">
        <f>EXP(-LN(2)/2)*AW111+(1-EXP(-LN(2)/2))/(LN(2)/2)*AQ112*AT112*VLOOKUP('Données projet'!$B$10,Paramètres!$A$1:$I$89,3,0)*0.475*44/12</f>
        <v>3.0521171138376943E-11</v>
      </c>
      <c r="AX112" s="21">
        <f t="shared" si="60"/>
        <v>1.4375516277638938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4.4000000000000004</v>
      </c>
      <c r="BD112" s="12">
        <f>IF('Données projet'!$A$88&gt;35,BD111+BC112-BL111,IF(A112&lt;'Données projet'!$A$88,$BA$205^A112,IF(A112='Données projet'!$A$88,'Données projet'!$B$88,BD111+BC112-BL111)))</f>
        <v>300.60000000000002</v>
      </c>
      <c r="BE112" s="13">
        <f>BD112*VLOOKUP('Données projet'!$B$11,Paramètres!$A$1:$I$89,3,0)*VLOOKUP('Données projet'!$B$11,Paramètres!$A$1:$I$89,5,0)</f>
        <v>271.98288000000002</v>
      </c>
      <c r="BF112" s="13">
        <f t="shared" si="91"/>
        <v>65.269907092018755</v>
      </c>
      <c r="BG112" s="20">
        <f t="shared" si="61"/>
        <v>587.38193751859933</v>
      </c>
      <c r="BH112" s="59">
        <f t="shared" si="62"/>
        <v>880.7152708519327</v>
      </c>
      <c r="BI112" s="59">
        <f ca="1">AVERAGE(OFFSET($BH$3,0,0,'Données projet'!$E$11+1,1))-AVERAGE(OFFSET($H$3,0,0,'Données projet'!$E$11+1,1))</f>
        <v>237.22177246688199</v>
      </c>
      <c r="BJ112" s="59">
        <f t="shared" si="92"/>
        <v>149.27472147904302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0.3474865666413352</v>
      </c>
      <c r="BR112" s="21">
        <f>EXP(-LN(2)/2)*BR111+(1-EXP(-LN(2)/2))/(LN(2)/2)*BL112*BO112*VLOOKUP('Données projet'!$B$11,Paramètres!$A$1:$I$89,3,0)*0.475*44/12</f>
        <v>7.9608614014227883E-12</v>
      </c>
      <c r="BS112" s="22">
        <f t="shared" si="63"/>
        <v>0.34748656664929606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-2.8421709430404007E-14</v>
      </c>
      <c r="BZ112" s="13">
        <f>BY112*VLOOKUP('Données projet'!$B$12,Paramètres!$A$1:$I$89,3,0)*VLOOKUP('Données projet'!$B$12,Paramètres!$A$1:$I$89,5,0)</f>
        <v>-2.4829205358400945E-14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223.81948236065614</v>
      </c>
      <c r="CE112" s="59">
        <f t="shared" si="94"/>
        <v>320.1204011431372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0.64282418305435785</v>
      </c>
      <c r="CL112" s="21">
        <f>EXP(-LN(2)/25)*CL111+(1-EXP(-LN(2)/25))/(LN(2)/25)*Calculateur!CG112*Calculateur!CI112*VLOOKUP('Données projet'!$B$12,Paramètres!$A$1:$I$89,3,0)*0.475*44/12</f>
        <v>1.9793932234651452</v>
      </c>
      <c r="CM112" s="21">
        <f>EXP(-LN(2)/2)*CM111+(1-EXP(-LN(2)/2))/(LN(2)/2)*CG112*CJ112*VLOOKUP('Données projet'!$B$12,Paramètres!$A$1:$I$89,3,0)*0.475*44/12</f>
        <v>3.5718330997691681E-11</v>
      </c>
      <c r="CN112" s="22">
        <f t="shared" si="66"/>
        <v>2.6222174065552215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-5.1159076974727213E-13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168.08890945052406</v>
      </c>
      <c r="T113" s="59">
        <f t="shared" si="88"/>
        <v>182.52462557642343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1.274034992521522</v>
      </c>
      <c r="AA113" s="21">
        <f>EXP(-LN(2)/25)*AA112+(1-EXP(-LN(2)/25))/(LN(2)/25)*Calculateur!V113*Calculateur!X113*VLOOKUP('Données projet'!$B$9,Paramètres!$A$1:$I$89,3,0)*0.475*44/12</f>
        <v>1.3418320612972889</v>
      </c>
      <c r="AB113" s="21">
        <f>EXP(-LN(2)/2)*AB112+(1-EXP(-LN(2)/2))/(LN(2)/2)*V113*Y113*VLOOKUP('Données projet'!$B$9,Paramètres!$A$1:$I$89,3,0)*0.475*44/12</f>
        <v>4.9528283617056977E-12</v>
      </c>
      <c r="AC113" s="22">
        <f t="shared" si="57"/>
        <v>2.6158670538237638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-4.5474735088646412E-13</v>
      </c>
      <c r="AJ113" s="13">
        <f>AI113*VLOOKUP('Données projet'!$B$10,Paramètres!$A$1:$I$89,3,0)*VLOOKUP('Données projet'!$B$10,Paramètres!$A$1:$I$89,5,0)</f>
        <v>-2.7193891583010558E-13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216.94426559495264</v>
      </c>
      <c r="AO113" s="59">
        <f t="shared" si="90"/>
        <v>225.33715877618704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1.398241702875449</v>
      </c>
      <c r="AW113" s="21">
        <f>EXP(-LN(2)/2)*AW112+(1-EXP(-LN(2)/2))/(LN(2)/2)*AQ113*AT113*VLOOKUP('Données projet'!$B$10,Paramètres!$A$1:$I$89,3,0)*0.475*44/12</f>
        <v>2.1581727081701476E-11</v>
      </c>
      <c r="AX113" s="21">
        <f t="shared" si="60"/>
        <v>1.3982417028970306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305</v>
      </c>
      <c r="BB113" s="12">
        <f>VLOOKUP(A113,'Données projet'!$A$87:$I$107,9,0)</f>
        <v>4.4000000000000004</v>
      </c>
      <c r="BC113" s="12">
        <f t="array" ref="BC113">INDEX(BB:BB,MIN(IF(ISNUMBER(BB113:BB309),ROW(BB113:BB309),"")))</f>
        <v>4.4000000000000004</v>
      </c>
      <c r="BD113" s="12">
        <f>IF('Données projet'!$A$88&gt;35,BD112+BC113-BL112,IF(A113&lt;'Données projet'!$A$88,$BA$205^A113,IF(A113='Données projet'!$A$88,'Données projet'!$B$88,BD112+BC113-BL112)))</f>
        <v>305</v>
      </c>
      <c r="BE113" s="13">
        <f>BD113*VLOOKUP('Données projet'!$B$11,Paramètres!$A$1:$I$89,3,0)*VLOOKUP('Données projet'!$B$11,Paramètres!$A$1:$I$89,5,0)</f>
        <v>275.964</v>
      </c>
      <c r="BF113" s="13">
        <f t="shared" si="91"/>
        <v>66.113366665488911</v>
      </c>
      <c r="BG113" s="20">
        <f t="shared" si="61"/>
        <v>595.7847469423931</v>
      </c>
      <c r="BH113" s="59">
        <f t="shared" si="62"/>
        <v>889.11808027572647</v>
      </c>
      <c r="BI113" s="59">
        <f ca="1">AVERAGE(OFFSET($BH$3,0,0,'Données projet'!$E$11+1,1))-AVERAGE(OFFSET($H$3,0,0,'Données projet'!$E$11+1,1))</f>
        <v>237.22177246688199</v>
      </c>
      <c r="BJ113" s="59">
        <f t="shared" si="92"/>
        <v>149.27472147904302</v>
      </c>
      <c r="BK113" s="15">
        <f>IF(ISNA(VLOOKUP(A113,'Données projet'!$A$87:$I$107,3,0)),0,VLOOKUP(A113,'Données projet'!$A$87:$I$107,3,0))</f>
        <v>9</v>
      </c>
      <c r="BL113" s="15">
        <f>IF(ISNA(VLOOKUP(A113,'Données projet'!$A$87:$I$107,4,0)),0,VLOOKUP(A113,'Données projet'!$A$87:$I$107,4,0))</f>
        <v>39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0.33798452820300356</v>
      </c>
      <c r="BR113" s="21">
        <f>EXP(-LN(2)/2)*BR112+(1-EXP(-LN(2)/2))/(LN(2)/2)*BL113*BO113*VLOOKUP('Données projet'!$B$11,Paramètres!$A$1:$I$89,3,0)*0.475*44/12</f>
        <v>5.6291790810322957E-12</v>
      </c>
      <c r="BS113" s="22">
        <f t="shared" si="63"/>
        <v>0.33798452820863273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-2.8421709430404007E-14</v>
      </c>
      <c r="BZ113" s="13">
        <f>BY113*VLOOKUP('Données projet'!$B$12,Paramètres!$A$1:$I$89,3,0)*VLOOKUP('Données projet'!$B$12,Paramètres!$A$1:$I$89,5,0)</f>
        <v>-2.4829205358400945E-14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223.81948236065614</v>
      </c>
      <c r="CE113" s="59">
        <f t="shared" si="94"/>
        <v>320.1204011431372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0.63021879290869842</v>
      </c>
      <c r="CL113" s="21">
        <f>EXP(-LN(2)/25)*CL112+(1-EXP(-LN(2)/25))/(LN(2)/25)*Calculateur!CG113*Calculateur!CI113*VLOOKUP('Données projet'!$B$12,Paramètres!$A$1:$I$89,3,0)*0.475*44/12</f>
        <v>1.9252666116777253</v>
      </c>
      <c r="CM113" s="21">
        <f>EXP(-LN(2)/2)*CM112+(1-EXP(-LN(2)/2))/(LN(2)/2)*CG113*CJ113*VLOOKUP('Données projet'!$B$12,Paramètres!$A$1:$I$89,3,0)*0.475*44/12</f>
        <v>2.525667406113345E-11</v>
      </c>
      <c r="CN113" s="22">
        <f t="shared" si="66"/>
        <v>2.5554854046116806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-5.1159076974727213E-13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168.08890945052406</v>
      </c>
      <c r="T114" s="59">
        <f t="shared" si="88"/>
        <v>182.52462557642343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1.2490519434027896</v>
      </c>
      <c r="AA114" s="21">
        <f>EXP(-LN(2)/25)*AA113+(1-EXP(-LN(2)/25))/(LN(2)/25)*Calculateur!V114*Calculateur!X114*VLOOKUP('Données projet'!$B$9,Paramètres!$A$1:$I$89,3,0)*0.475*44/12</f>
        <v>1.3051395930172334</v>
      </c>
      <c r="AB114" s="21">
        <f>EXP(-LN(2)/2)*AB113+(1-EXP(-LN(2)/2))/(LN(2)/2)*V114*Y114*VLOOKUP('Données projet'!$B$9,Paramètres!$A$1:$I$89,3,0)*0.475*44/12</f>
        <v>3.5021785206151575E-12</v>
      </c>
      <c r="AC114" s="22">
        <f t="shared" si="57"/>
        <v>2.554191536423525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-4.5474735088646412E-13</v>
      </c>
      <c r="AJ114" s="13">
        <f>AI114*VLOOKUP('Données projet'!$B$10,Paramètres!$A$1:$I$89,3,0)*VLOOKUP('Données projet'!$B$10,Paramètres!$A$1:$I$89,5,0)</f>
        <v>-2.7193891583010558E-13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216.94426559495264</v>
      </c>
      <c r="AO114" s="59">
        <f t="shared" si="90"/>
        <v>225.33715877618704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1.3600067099799844</v>
      </c>
      <c r="AW114" s="21">
        <f>EXP(-LN(2)/2)*AW113+(1-EXP(-LN(2)/2))/(LN(2)/2)*AQ114*AT114*VLOOKUP('Données projet'!$B$10,Paramètres!$A$1:$I$89,3,0)*0.475*44/12</f>
        <v>1.5260585569188472E-11</v>
      </c>
      <c r="AX114" s="21">
        <f t="shared" si="60"/>
        <v>1.3600067099952451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3.7</v>
      </c>
      <c r="BD114" s="12">
        <f>IF('Données projet'!$A$88&gt;35,BD113+BC114-BL113,IF(A114&lt;'Données projet'!$A$88,$BA$205^A114,IF(A114='Données projet'!$A$88,'Données projet'!$B$88,BD113+BC114-BL113)))</f>
        <v>269.7</v>
      </c>
      <c r="BE114" s="13">
        <f>BD114*VLOOKUP('Données projet'!$B$11,Paramètres!$A$1:$I$89,3,0)*VLOOKUP('Données projet'!$B$11,Paramètres!$A$1:$I$89,5,0)</f>
        <v>244.02455999999998</v>
      </c>
      <c r="BF114" s="13">
        <f t="shared" si="91"/>
        <v>59.304594314969279</v>
      </c>
      <c r="BG114" s="20">
        <f t="shared" si="61"/>
        <v>528.29827709857148</v>
      </c>
      <c r="BH114" s="59">
        <f t="shared" si="62"/>
        <v>821.63161043190485</v>
      </c>
      <c r="BI114" s="59">
        <f ca="1">AVERAGE(OFFSET($BH$3,0,0,'Données projet'!$E$11+1,1))-AVERAGE(OFFSET($H$3,0,0,'Données projet'!$E$11+1,1))</f>
        <v>237.22177246688199</v>
      </c>
      <c r="BJ114" s="59">
        <f t="shared" si="92"/>
        <v>149.27472147904302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0.32874232350545857</v>
      </c>
      <c r="BR114" s="21">
        <f>EXP(-LN(2)/2)*BR113+(1-EXP(-LN(2)/2))/(LN(2)/2)*BL114*BO114*VLOOKUP('Données projet'!$B$11,Paramètres!$A$1:$I$89,3,0)*0.475*44/12</f>
        <v>3.9804307007113941E-12</v>
      </c>
      <c r="BS114" s="22">
        <f t="shared" si="63"/>
        <v>0.32874232350943899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-2.8421709430404007E-14</v>
      </c>
      <c r="BZ114" s="13">
        <f>BY114*VLOOKUP('Données projet'!$B$12,Paramètres!$A$1:$I$89,3,0)*VLOOKUP('Données projet'!$B$12,Paramètres!$A$1:$I$89,5,0)</f>
        <v>-2.4829205358400945E-14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223.81948236065614</v>
      </c>
      <c r="CE114" s="59">
        <f t="shared" si="94"/>
        <v>320.1204011431372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0.61786058677526656</v>
      </c>
      <c r="CL114" s="21">
        <f>EXP(-LN(2)/25)*CL113+(1-EXP(-LN(2)/25))/(LN(2)/25)*Calculateur!CG114*Calculateur!CI114*VLOOKUP('Données projet'!$B$12,Paramètres!$A$1:$I$89,3,0)*0.475*44/12</f>
        <v>1.872620094936027</v>
      </c>
      <c r="CM114" s="21">
        <f>EXP(-LN(2)/2)*CM113+(1-EXP(-LN(2)/2))/(LN(2)/2)*CG114*CJ114*VLOOKUP('Données projet'!$B$12,Paramètres!$A$1:$I$89,3,0)*0.475*44/12</f>
        <v>1.7859165498845841E-11</v>
      </c>
      <c r="CN114" s="22">
        <f t="shared" si="66"/>
        <v>2.4904806817291525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-5.1159076974727213E-13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168.08890945052406</v>
      </c>
      <c r="T115" s="59">
        <f t="shared" si="88"/>
        <v>182.52462557642343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1.2245587966391203</v>
      </c>
      <c r="AA115" s="21">
        <f>EXP(-LN(2)/25)*AA114+(1-EXP(-LN(2)/25))/(LN(2)/25)*Calculateur!V115*Calculateur!X115*VLOOKUP('Données projet'!$B$9,Paramètres!$A$1:$I$89,3,0)*0.475*44/12</f>
        <v>1.2694504822118688</v>
      </c>
      <c r="AB115" s="21">
        <f>EXP(-LN(2)/2)*AB114+(1-EXP(-LN(2)/2))/(LN(2)/2)*V115*Y115*VLOOKUP('Données projet'!$B$9,Paramètres!$A$1:$I$89,3,0)*0.475*44/12</f>
        <v>2.4764141808528488E-12</v>
      </c>
      <c r="AC115" s="22">
        <f t="shared" si="57"/>
        <v>2.4940092788534654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-4.5474735088646412E-13</v>
      </c>
      <c r="AJ115" s="13">
        <f>AI115*VLOOKUP('Données projet'!$B$10,Paramètres!$A$1:$I$89,3,0)*VLOOKUP('Données projet'!$B$10,Paramètres!$A$1:$I$89,5,0)</f>
        <v>-2.7193891583010558E-13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216.94426559495264</v>
      </c>
      <c r="AO115" s="59">
        <f t="shared" si="90"/>
        <v>225.33715877618704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1.3228172549759372</v>
      </c>
      <c r="AW115" s="21">
        <f>EXP(-LN(2)/2)*AW114+(1-EXP(-LN(2)/2))/(LN(2)/2)*AQ115*AT115*VLOOKUP('Données projet'!$B$10,Paramètres!$A$1:$I$89,3,0)*0.475*44/12</f>
        <v>1.0790863540850738E-11</v>
      </c>
      <c r="AX115" s="21">
        <f t="shared" si="60"/>
        <v>1.3228172549867281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3.7</v>
      </c>
      <c r="BD115" s="12">
        <f>IF('Données projet'!$A$88&gt;35,BD114+BC115-BL114,IF(A115&lt;'Données projet'!$A$88,$BA$205^A115,IF(A115='Données projet'!$A$88,'Données projet'!$B$88,BD114+BC115-BL114)))</f>
        <v>273.39999999999998</v>
      </c>
      <c r="BE115" s="13">
        <f>BD115*VLOOKUP('Données projet'!$B$11,Paramètres!$A$1:$I$89,3,0)*VLOOKUP('Données projet'!$B$11,Paramètres!$A$1:$I$89,5,0)</f>
        <v>247.37231999999997</v>
      </c>
      <c r="BF115" s="13">
        <f t="shared" si="91"/>
        <v>60.022917171131049</v>
      </c>
      <c r="BG115" s="20">
        <f t="shared" si="61"/>
        <v>535.38003807305324</v>
      </c>
      <c r="BH115" s="59">
        <f t="shared" si="62"/>
        <v>828.71337140638661</v>
      </c>
      <c r="BI115" s="59">
        <f ca="1">AVERAGE(OFFSET($BH$3,0,0,'Données projet'!$E$11+1,1))-AVERAGE(OFFSET($H$3,0,0,'Données projet'!$E$11+1,1))</f>
        <v>237.22177246688199</v>
      </c>
      <c r="BJ115" s="59">
        <f t="shared" si="92"/>
        <v>149.27472147904302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0.31975284738139437</v>
      </c>
      <c r="BR115" s="21">
        <f>EXP(-LN(2)/2)*BR114+(1-EXP(-LN(2)/2))/(LN(2)/2)*BL115*BO115*VLOOKUP('Données projet'!$B$11,Paramètres!$A$1:$I$89,3,0)*0.475*44/12</f>
        <v>2.8145895405161479E-12</v>
      </c>
      <c r="BS115" s="22">
        <f t="shared" si="63"/>
        <v>0.31975284738420895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-2.8421709430404007E-14</v>
      </c>
      <c r="BZ115" s="13">
        <f>BY115*VLOOKUP('Données projet'!$B$12,Paramètres!$A$1:$I$89,3,0)*VLOOKUP('Données projet'!$B$12,Paramètres!$A$1:$I$89,5,0)</f>
        <v>-2.4829205358400945E-14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223.81948236065614</v>
      </c>
      <c r="CE115" s="59">
        <f t="shared" si="94"/>
        <v>320.1204011431372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0.60574471752634995</v>
      </c>
      <c r="CL115" s="21">
        <f>EXP(-LN(2)/25)*CL114+(1-EXP(-LN(2)/25))/(LN(2)/25)*Calculateur!CG115*Calculateur!CI115*VLOOKUP('Données projet'!$B$12,Paramètres!$A$1:$I$89,3,0)*0.475*44/12</f>
        <v>1.8214131999631904</v>
      </c>
      <c r="CM115" s="21">
        <f>EXP(-LN(2)/2)*CM114+(1-EXP(-LN(2)/2))/(LN(2)/2)*CG115*CJ115*VLOOKUP('Données projet'!$B$12,Paramètres!$A$1:$I$89,3,0)*0.475*44/12</f>
        <v>1.2628337030566725E-11</v>
      </c>
      <c r="CN115" s="22">
        <f t="shared" si="66"/>
        <v>2.4271579175021687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-5.1159076974727213E-13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168.08890945052406</v>
      </c>
      <c r="T116" s="59">
        <f t="shared" si="88"/>
        <v>182.52462557642343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1.2005459455441421</v>
      </c>
      <c r="AA116" s="21">
        <f>EXP(-LN(2)/25)*AA115+(1-EXP(-LN(2)/25))/(LN(2)/25)*Calculateur!V116*Calculateur!X116*VLOOKUP('Données projet'!$B$9,Paramètres!$A$1:$I$89,3,0)*0.475*44/12</f>
        <v>1.2347372920182857</v>
      </c>
      <c r="AB116" s="21">
        <f>EXP(-LN(2)/2)*AB115+(1-EXP(-LN(2)/2))/(LN(2)/2)*V116*Y116*VLOOKUP('Données projet'!$B$9,Paramètres!$A$1:$I$89,3,0)*0.475*44/12</f>
        <v>1.7510892603075787E-12</v>
      </c>
      <c r="AC116" s="22">
        <f t="shared" si="57"/>
        <v>2.4352832375641786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-4.5474735088646412E-13</v>
      </c>
      <c r="AJ116" s="13">
        <f>AI116*VLOOKUP('Données projet'!$B$10,Paramètres!$A$1:$I$89,3,0)*VLOOKUP('Données projet'!$B$10,Paramètres!$A$1:$I$89,5,0)</f>
        <v>-2.7193891583010558E-13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216.94426559495264</v>
      </c>
      <c r="AO116" s="59">
        <f t="shared" si="90"/>
        <v>225.33715877618704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1.2866447475746841</v>
      </c>
      <c r="AW116" s="21">
        <f>EXP(-LN(2)/2)*AW115+(1-EXP(-LN(2)/2))/(LN(2)/2)*AQ116*AT116*VLOOKUP('Données projet'!$B$10,Paramètres!$A$1:$I$89,3,0)*0.475*44/12</f>
        <v>7.6302927845942359E-12</v>
      </c>
      <c r="AX116" s="21">
        <f t="shared" si="60"/>
        <v>1.2866447475823144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3.7</v>
      </c>
      <c r="BD116" s="12">
        <f>IF('Données projet'!$A$88&gt;35,BD115+BC116-BL115,IF(A116&lt;'Données projet'!$A$88,$BA$205^A116,IF(A116='Données projet'!$A$88,'Données projet'!$B$88,BD115+BC116-BL115)))</f>
        <v>277.09999999999997</v>
      </c>
      <c r="BE116" s="13">
        <f>BD116*VLOOKUP('Données projet'!$B$11,Paramètres!$A$1:$I$89,3,0)*VLOOKUP('Données projet'!$B$11,Paramètres!$A$1:$I$89,5,0)</f>
        <v>250.72007999999994</v>
      </c>
      <c r="BF116" s="13">
        <f t="shared" si="91"/>
        <v>60.740109326032758</v>
      </c>
      <c r="BG116" s="20">
        <f t="shared" si="61"/>
        <v>542.45982974284027</v>
      </c>
      <c r="BH116" s="59">
        <f t="shared" si="62"/>
        <v>835.79316307617364</v>
      </c>
      <c r="BI116" s="59">
        <f ca="1">AVERAGE(OFFSET($BH$3,0,0,'Données projet'!$E$11+1,1))-AVERAGE(OFFSET($H$3,0,0,'Données projet'!$E$11+1,1))</f>
        <v>237.22177246688199</v>
      </c>
      <c r="BJ116" s="59">
        <f t="shared" si="92"/>
        <v>149.27472147904302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0.31100918895467872</v>
      </c>
      <c r="BR116" s="21">
        <f>EXP(-LN(2)/2)*BR115+(1-EXP(-LN(2)/2))/(LN(2)/2)*BL116*BO116*VLOOKUP('Données projet'!$B$11,Paramètres!$A$1:$I$89,3,0)*0.475*44/12</f>
        <v>1.9902153503556971E-12</v>
      </c>
      <c r="BS116" s="22">
        <f t="shared" si="63"/>
        <v>0.31100918895666896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-2.8421709430404007E-14</v>
      </c>
      <c r="BZ116" s="13">
        <f>BY116*VLOOKUP('Données projet'!$B$12,Paramètres!$A$1:$I$89,3,0)*VLOOKUP('Données projet'!$B$12,Paramètres!$A$1:$I$89,5,0)</f>
        <v>-2.4829205358400945E-14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223.81948236065614</v>
      </c>
      <c r="CE116" s="59">
        <f t="shared" si="94"/>
        <v>320.1204011431372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0.59386643308345399</v>
      </c>
      <c r="CL116" s="21">
        <f>EXP(-LN(2)/25)*CL115+(1-EXP(-LN(2)/25))/(LN(2)/25)*Calculateur!CG116*Calculateur!CI116*VLOOKUP('Données projet'!$B$12,Paramètres!$A$1:$I$89,3,0)*0.475*44/12</f>
        <v>1.7716065602262396</v>
      </c>
      <c r="CM116" s="21">
        <f>EXP(-LN(2)/2)*CM115+(1-EXP(-LN(2)/2))/(LN(2)/2)*CG116*CJ116*VLOOKUP('Données projet'!$B$12,Paramètres!$A$1:$I$89,3,0)*0.475*44/12</f>
        <v>8.9295827494229203E-12</v>
      </c>
      <c r="CN116" s="22">
        <f t="shared" si="66"/>
        <v>2.3654729933186234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-5.1159076974727213E-13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168.08890945052406</v>
      </c>
      <c r="T117" s="59">
        <f t="shared" si="88"/>
        <v>182.52462557642343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1.1770039718127434</v>
      </c>
      <c r="AA117" s="21">
        <f>EXP(-LN(2)/25)*AA116+(1-EXP(-LN(2)/25))/(LN(2)/25)*Calculateur!V117*Calculateur!X117*VLOOKUP('Données projet'!$B$9,Paramètres!$A$1:$I$89,3,0)*0.475*44/12</f>
        <v>1.2009733358360335</v>
      </c>
      <c r="AB117" s="21">
        <f>EXP(-LN(2)/2)*AB116+(1-EXP(-LN(2)/2))/(LN(2)/2)*V117*Y117*VLOOKUP('Données projet'!$B$9,Paramètres!$A$1:$I$89,3,0)*0.475*44/12</f>
        <v>1.2382070904264244E-12</v>
      </c>
      <c r="AC117" s="22">
        <f t="shared" si="57"/>
        <v>2.3779773076500152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-4.5474735088646412E-13</v>
      </c>
      <c r="AJ117" s="13">
        <f>AI117*VLOOKUP('Données projet'!$B$10,Paramètres!$A$1:$I$89,3,0)*VLOOKUP('Données projet'!$B$10,Paramètres!$A$1:$I$89,5,0)</f>
        <v>-2.7193891583010558E-13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216.94426559495264</v>
      </c>
      <c r="AO117" s="59">
        <f t="shared" si="90"/>
        <v>225.33715877618704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1.2514613792905478</v>
      </c>
      <c r="AW117" s="21">
        <f>EXP(-LN(2)/2)*AW116+(1-EXP(-LN(2)/2))/(LN(2)/2)*AQ117*AT117*VLOOKUP('Données projet'!$B$10,Paramètres!$A$1:$I$89,3,0)*0.475*44/12</f>
        <v>5.3954317704253689E-12</v>
      </c>
      <c r="AX117" s="21">
        <f t="shared" si="60"/>
        <v>1.2514613792959433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3.7</v>
      </c>
      <c r="BD117" s="12">
        <f>IF('Données projet'!$A$88&gt;35,BD116+BC117-BL116,IF(A117&lt;'Données projet'!$A$88,$BA$205^A117,IF(A117='Données projet'!$A$88,'Données projet'!$B$88,BD116+BC117-BL116)))</f>
        <v>280.79999999999995</v>
      </c>
      <c r="BE117" s="13">
        <f>BD117*VLOOKUP('Données projet'!$B$11,Paramètres!$A$1:$I$89,3,0)*VLOOKUP('Données projet'!$B$11,Paramètres!$A$1:$I$89,5,0)</f>
        <v>254.06783999999996</v>
      </c>
      <c r="BF117" s="13">
        <f t="shared" si="91"/>
        <v>61.456187622750718</v>
      </c>
      <c r="BG117" s="20">
        <f t="shared" si="61"/>
        <v>549.53768144295748</v>
      </c>
      <c r="BH117" s="59">
        <f t="shared" si="62"/>
        <v>842.87101477629085</v>
      </c>
      <c r="BI117" s="59">
        <f ca="1">AVERAGE(OFFSET($BH$3,0,0,'Données projet'!$E$11+1,1))-AVERAGE(OFFSET($H$3,0,0,'Données projet'!$E$11+1,1))</f>
        <v>237.22177246688199</v>
      </c>
      <c r="BJ117" s="59">
        <f t="shared" si="92"/>
        <v>149.27472147904302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0.30250462632745062</v>
      </c>
      <c r="BR117" s="21">
        <f>EXP(-LN(2)/2)*BR116+(1-EXP(-LN(2)/2))/(LN(2)/2)*BL117*BO117*VLOOKUP('Données projet'!$B$11,Paramètres!$A$1:$I$89,3,0)*0.475*44/12</f>
        <v>1.4072947702580739E-12</v>
      </c>
      <c r="BS117" s="22">
        <f t="shared" si="63"/>
        <v>0.30250462632885794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-2.8421709430404007E-14</v>
      </c>
      <c r="BZ117" s="13">
        <f>BY117*VLOOKUP('Données projet'!$B$12,Paramètres!$A$1:$I$89,3,0)*VLOOKUP('Données projet'!$B$12,Paramètres!$A$1:$I$89,5,0)</f>
        <v>-2.4829205358400945E-14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223.81948236065614</v>
      </c>
      <c r="CE117" s="59">
        <f t="shared" si="94"/>
        <v>320.1204011431372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0.58222107455344507</v>
      </c>
      <c r="CL117" s="21">
        <f>EXP(-LN(2)/25)*CL116+(1-EXP(-LN(2)/25))/(LN(2)/25)*Calculateur!CG117*Calculateur!CI117*VLOOKUP('Données projet'!$B$12,Paramètres!$A$1:$I$89,3,0)*0.475*44/12</f>
        <v>1.7231618856721131</v>
      </c>
      <c r="CM117" s="21">
        <f>EXP(-LN(2)/2)*CM116+(1-EXP(-LN(2)/2))/(LN(2)/2)*CG117*CJ117*VLOOKUP('Données projet'!$B$12,Paramètres!$A$1:$I$89,3,0)*0.475*44/12</f>
        <v>6.3141685152833625E-12</v>
      </c>
      <c r="CN117" s="22">
        <f t="shared" si="66"/>
        <v>2.3053829602318725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-5.1159076974727213E-13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168.08890945052406</v>
      </c>
      <c r="T118" s="59">
        <f t="shared" si="88"/>
        <v>182.52462557642343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1.1539236418270313</v>
      </c>
      <c r="AA118" s="21">
        <f>EXP(-LN(2)/25)*AA117+(1-EXP(-LN(2)/25))/(LN(2)/25)*Calculateur!V118*Calculateur!X118*VLOOKUP('Données projet'!$B$9,Paramètres!$A$1:$I$89,3,0)*0.475*44/12</f>
        <v>1.1681326568111543</v>
      </c>
      <c r="AB118" s="21">
        <f>EXP(-LN(2)/2)*AB117+(1-EXP(-LN(2)/2))/(LN(2)/2)*V118*Y118*VLOOKUP('Données projet'!$B$9,Paramètres!$A$1:$I$89,3,0)*0.475*44/12</f>
        <v>8.7554463015378937E-13</v>
      </c>
      <c r="AC118" s="22">
        <f t="shared" si="57"/>
        <v>2.3220562986390614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-4.5474735088646412E-13</v>
      </c>
      <c r="AJ118" s="13">
        <f>AI118*VLOOKUP('Données projet'!$B$10,Paramètres!$A$1:$I$89,3,0)*VLOOKUP('Données projet'!$B$10,Paramètres!$A$1:$I$89,5,0)</f>
        <v>-2.7193891583010558E-13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216.94426559495264</v>
      </c>
      <c r="AO118" s="59">
        <f t="shared" si="90"/>
        <v>225.33715877618704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1.217240102062354</v>
      </c>
      <c r="AW118" s="21">
        <f>EXP(-LN(2)/2)*AW117+(1-EXP(-LN(2)/2))/(LN(2)/2)*AQ118*AT118*VLOOKUP('Données projet'!$B$10,Paramètres!$A$1:$I$89,3,0)*0.475*44/12</f>
        <v>3.8151463922971179E-12</v>
      </c>
      <c r="AX118" s="21">
        <f t="shared" si="60"/>
        <v>1.2172401020661692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3.7</v>
      </c>
      <c r="BD118" s="12">
        <f>IF('Données projet'!$A$88&gt;35,BD117+BC118-BL117,IF(A118&lt;'Données projet'!$A$88,$BA$205^A118,IF(A118='Données projet'!$A$88,'Données projet'!$B$88,BD117+BC118-BL117)))</f>
        <v>284.49999999999994</v>
      </c>
      <c r="BE118" s="13">
        <f>BD118*VLOOKUP('Données projet'!$B$11,Paramètres!$A$1:$I$89,3,0)*VLOOKUP('Données projet'!$B$11,Paramètres!$A$1:$I$89,5,0)</f>
        <v>257.41559999999993</v>
      </c>
      <c r="BF118" s="13">
        <f t="shared" si="91"/>
        <v>62.171168434977119</v>
      </c>
      <c r="BG118" s="20">
        <f t="shared" si="61"/>
        <v>556.61362169091831</v>
      </c>
      <c r="BH118" s="59">
        <f t="shared" si="62"/>
        <v>849.94695502425157</v>
      </c>
      <c r="BI118" s="59">
        <f ca="1">AVERAGE(OFFSET($BH$3,0,0,'Données projet'!$E$11+1,1))-AVERAGE(OFFSET($H$3,0,0,'Données projet'!$E$11+1,1))</f>
        <v>237.22177246688199</v>
      </c>
      <c r="BJ118" s="59">
        <f t="shared" si="92"/>
        <v>149.27472147904302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0.29423262141249956</v>
      </c>
      <c r="BR118" s="21">
        <f>EXP(-LN(2)/2)*BR117+(1-EXP(-LN(2)/2))/(LN(2)/2)*BL118*BO118*VLOOKUP('Données projet'!$B$11,Paramètres!$A$1:$I$89,3,0)*0.475*44/12</f>
        <v>9.9510767517784854E-13</v>
      </c>
      <c r="BS118" s="22">
        <f t="shared" si="63"/>
        <v>0.29423262141349465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-2.8421709430404007E-14</v>
      </c>
      <c r="BZ118" s="13">
        <f>BY118*VLOOKUP('Données projet'!$B$12,Paramètres!$A$1:$I$89,3,0)*VLOOKUP('Données projet'!$B$12,Paramètres!$A$1:$I$89,5,0)</f>
        <v>-2.4829205358400945E-14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223.81948236065614</v>
      </c>
      <c r="CE118" s="59">
        <f t="shared" si="94"/>
        <v>320.1204011431372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0.57080407440124237</v>
      </c>
      <c r="CL118" s="21">
        <f>EXP(-LN(2)/25)*CL117+(1-EXP(-LN(2)/25))/(LN(2)/25)*Calculateur!CG118*Calculateur!CI118*VLOOKUP('Données projet'!$B$12,Paramètres!$A$1:$I$89,3,0)*0.475*44/12</f>
        <v>1.6760419332912639</v>
      </c>
      <c r="CM118" s="21">
        <f>EXP(-LN(2)/2)*CM117+(1-EXP(-LN(2)/2))/(LN(2)/2)*CG118*CJ118*VLOOKUP('Données projet'!$B$12,Paramètres!$A$1:$I$89,3,0)*0.475*44/12</f>
        <v>4.4647913747114602E-12</v>
      </c>
      <c r="CN118" s="22">
        <f t="shared" si="66"/>
        <v>2.2468460076969712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-5.1159076974727213E-13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168.08890945052406</v>
      </c>
      <c r="T119" s="59">
        <f t="shared" si="88"/>
        <v>182.52462557642343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1.1312959030347278</v>
      </c>
      <c r="AA119" s="21">
        <f>EXP(-LN(2)/25)*AA118+(1-EXP(-LN(2)/25))/(LN(2)/25)*Calculateur!V119*Calculateur!X119*VLOOKUP('Données projet'!$B$9,Paramètres!$A$1:$I$89,3,0)*0.475*44/12</f>
        <v>1.1361900078812266</v>
      </c>
      <c r="AB119" s="21">
        <f>EXP(-LN(2)/2)*AB118+(1-EXP(-LN(2)/2))/(LN(2)/2)*V119*Y119*VLOOKUP('Données projet'!$B$9,Paramètres!$A$1:$I$89,3,0)*0.475*44/12</f>
        <v>6.1910354521321221E-13</v>
      </c>
      <c r="AC119" s="22">
        <f t="shared" si="57"/>
        <v>2.2674859109165735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-4.5474735088646412E-13</v>
      </c>
      <c r="AJ119" s="13">
        <f>AI119*VLOOKUP('Données projet'!$B$10,Paramètres!$A$1:$I$89,3,0)*VLOOKUP('Données projet'!$B$10,Paramètres!$A$1:$I$89,5,0)</f>
        <v>-2.7193891583010558E-13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216.94426559495264</v>
      </c>
      <c r="AO119" s="59">
        <f t="shared" si="90"/>
        <v>225.33715877618704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1.1839546074595839</v>
      </c>
      <c r="AW119" s="21">
        <f>EXP(-LN(2)/2)*AW118+(1-EXP(-LN(2)/2))/(LN(2)/2)*AQ119*AT119*VLOOKUP('Données projet'!$B$10,Paramètres!$A$1:$I$89,3,0)*0.475*44/12</f>
        <v>2.6977158852126844E-12</v>
      </c>
      <c r="AX119" s="21">
        <f t="shared" si="60"/>
        <v>1.1839546074622815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3.7</v>
      </c>
      <c r="BD119" s="12">
        <f>IF('Données projet'!$A$88&gt;35,BD118+BC119-BL118,IF(A119&lt;'Données projet'!$A$88,$BA$205^A119,IF(A119='Données projet'!$A$88,'Données projet'!$B$88,BD118+BC119-BL118)))</f>
        <v>288.19999999999993</v>
      </c>
      <c r="BE119" s="13">
        <f>BD119*VLOOKUP('Données projet'!$B$11,Paramètres!$A$1:$I$89,3,0)*VLOOKUP('Données projet'!$B$11,Paramètres!$A$1:$I$89,5,0)</f>
        <v>260.76335999999992</v>
      </c>
      <c r="BF119" s="13">
        <f t="shared" si="91"/>
        <v>62.885067686031952</v>
      </c>
      <c r="BG119" s="20">
        <f t="shared" si="61"/>
        <v>563.68767821983886</v>
      </c>
      <c r="BH119" s="59">
        <f t="shared" si="62"/>
        <v>857.02101155317223</v>
      </c>
      <c r="BI119" s="59">
        <f ca="1">AVERAGE(OFFSET($BH$3,0,0,'Données projet'!$E$11+1,1))-AVERAGE(OFFSET($H$3,0,0,'Données projet'!$E$11+1,1))</f>
        <v>237.22177246688199</v>
      </c>
      <c r="BJ119" s="59">
        <f t="shared" si="92"/>
        <v>149.27472147904302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0.28618681490695369</v>
      </c>
      <c r="BR119" s="21">
        <f>EXP(-LN(2)/2)*BR118+(1-EXP(-LN(2)/2))/(LN(2)/2)*BL119*BO119*VLOOKUP('Données projet'!$B$11,Paramètres!$A$1:$I$89,3,0)*0.475*44/12</f>
        <v>7.0364738512903697E-13</v>
      </c>
      <c r="BS119" s="22">
        <f t="shared" si="63"/>
        <v>0.28618681490765735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-2.8421709430404007E-14</v>
      </c>
      <c r="BZ119" s="13">
        <f>BY119*VLOOKUP('Données projet'!$B$12,Paramètres!$A$1:$I$89,3,0)*VLOOKUP('Données projet'!$B$12,Paramètres!$A$1:$I$89,5,0)</f>
        <v>-2.4829205358400945E-14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223.81948236065614</v>
      </c>
      <c r="CE119" s="59">
        <f t="shared" si="94"/>
        <v>320.1204011431372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0.55961095465834187</v>
      </c>
      <c r="CL119" s="21">
        <f>EXP(-LN(2)/25)*CL118+(1-EXP(-LN(2)/25))/(LN(2)/25)*Calculateur!CG119*Calculateur!CI119*VLOOKUP('Données projet'!$B$12,Paramètres!$A$1:$I$89,3,0)*0.475*44/12</f>
        <v>1.6302104784861997</v>
      </c>
      <c r="CM119" s="21">
        <f>EXP(-LN(2)/2)*CM118+(1-EXP(-LN(2)/2))/(LN(2)/2)*CG119*CJ119*VLOOKUP('Données projet'!$B$12,Paramètres!$A$1:$I$89,3,0)*0.475*44/12</f>
        <v>3.1570842576416812E-12</v>
      </c>
      <c r="CN119" s="22">
        <f t="shared" si="66"/>
        <v>2.1898214331476988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-5.1159076974727213E-13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168.08890945052406</v>
      </c>
      <c r="T120" s="59">
        <f t="shared" si="88"/>
        <v>182.52462557642343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1.1091118803985835</v>
      </c>
      <c r="AA120" s="21">
        <f>EXP(-LN(2)/25)*AA119+(1-EXP(-LN(2)/25))/(LN(2)/25)*Calculateur!V120*Calculateur!X120*VLOOKUP('Données projet'!$B$9,Paramètres!$A$1:$I$89,3,0)*0.475*44/12</f>
        <v>1.1051208323660788</v>
      </c>
      <c r="AB120" s="21">
        <f>EXP(-LN(2)/2)*AB119+(1-EXP(-LN(2)/2))/(LN(2)/2)*V120*Y120*VLOOKUP('Données projet'!$B$9,Paramètres!$A$1:$I$89,3,0)*0.475*44/12</f>
        <v>4.3777231507689468E-13</v>
      </c>
      <c r="AC120" s="22">
        <f t="shared" si="57"/>
        <v>2.2142327127651003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-4.5474735088646412E-13</v>
      </c>
      <c r="AJ120" s="13">
        <f>AI120*VLOOKUP('Données projet'!$B$10,Paramètres!$A$1:$I$89,3,0)*VLOOKUP('Données projet'!$B$10,Paramètres!$A$1:$I$89,5,0)</f>
        <v>-2.7193891583010558E-13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216.94426559495264</v>
      </c>
      <c r="AO120" s="59">
        <f t="shared" si="90"/>
        <v>225.33715877618704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1.1515793064571347</v>
      </c>
      <c r="AW120" s="21">
        <f>EXP(-LN(2)/2)*AW119+(1-EXP(-LN(2)/2))/(LN(2)/2)*AQ120*AT120*VLOOKUP('Données projet'!$B$10,Paramètres!$A$1:$I$89,3,0)*0.475*44/12</f>
        <v>1.907573196148559E-12</v>
      </c>
      <c r="AX120" s="21">
        <f t="shared" si="60"/>
        <v>1.1515793064590423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3.7</v>
      </c>
      <c r="BD120" s="12">
        <f>IF('Données projet'!$A$88&gt;35,BD119+BC120-BL119,IF(A120&lt;'Données projet'!$A$88,$BA$205^A120,IF(A120='Données projet'!$A$88,'Données projet'!$B$88,BD119+BC120-BL119)))</f>
        <v>291.89999999999992</v>
      </c>
      <c r="BE120" s="13">
        <f>BD120*VLOOKUP('Données projet'!$B$11,Paramètres!$A$1:$I$89,3,0)*VLOOKUP('Données projet'!$B$11,Paramètres!$A$1:$I$89,5,0)</f>
        <v>264.11111999999991</v>
      </c>
      <c r="BF120" s="13">
        <f t="shared" si="91"/>
        <v>63.59790086687066</v>
      </c>
      <c r="BG120" s="20">
        <f t="shared" si="61"/>
        <v>570.75987800979954</v>
      </c>
      <c r="BH120" s="59">
        <f t="shared" si="62"/>
        <v>864.09321134313291</v>
      </c>
      <c r="BI120" s="59">
        <f ca="1">AVERAGE(OFFSET($BH$3,0,0,'Données projet'!$E$11+1,1))-AVERAGE(OFFSET($H$3,0,0,'Données projet'!$E$11+1,1))</f>
        <v>237.22177246688199</v>
      </c>
      <c r="BJ120" s="59">
        <f t="shared" si="92"/>
        <v>149.27472147904302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0.27836102140341251</v>
      </c>
      <c r="BR120" s="21">
        <f>EXP(-LN(2)/2)*BR119+(1-EXP(-LN(2)/2))/(LN(2)/2)*BL120*BO120*VLOOKUP('Données projet'!$B$11,Paramètres!$A$1:$I$89,3,0)*0.475*44/12</f>
        <v>4.9755383758892427E-13</v>
      </c>
      <c r="BS120" s="22">
        <f t="shared" si="63"/>
        <v>0.27836102140391006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-2.8421709430404007E-14</v>
      </c>
      <c r="BZ120" s="13">
        <f>BY120*VLOOKUP('Données projet'!$B$12,Paramètres!$A$1:$I$89,3,0)*VLOOKUP('Données projet'!$B$12,Paramètres!$A$1:$I$89,5,0)</f>
        <v>-2.4829205358400945E-14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223.81948236065614</v>
      </c>
      <c r="CE120" s="59">
        <f t="shared" si="94"/>
        <v>320.1204011431372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0.54863732516647068</v>
      </c>
      <c r="CL120" s="21">
        <f>EXP(-LN(2)/25)*CL119+(1-EXP(-LN(2)/25))/(LN(2)/25)*Calculateur!CG120*Calculateur!CI120*VLOOKUP('Données projet'!$B$12,Paramètres!$A$1:$I$89,3,0)*0.475*44/12</f>
        <v>1.5856322872229514</v>
      </c>
      <c r="CM120" s="21">
        <f>EXP(-LN(2)/2)*CM119+(1-EXP(-LN(2)/2))/(LN(2)/2)*CG120*CJ120*VLOOKUP('Données projet'!$B$12,Paramètres!$A$1:$I$89,3,0)*0.475*44/12</f>
        <v>2.2323956873557301E-12</v>
      </c>
      <c r="CN120" s="22">
        <f t="shared" si="66"/>
        <v>2.1342696123916545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-5.1159076974727213E-13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168.08890945052406</v>
      </c>
      <c r="T121" s="59">
        <f t="shared" si="88"/>
        <v>182.52462557642343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1.0873628729154163</v>
      </c>
      <c r="AA121" s="21">
        <f>EXP(-LN(2)/25)*AA120+(1-EXP(-LN(2)/25))/(LN(2)/25)*Calculateur!V121*Calculateur!X121*VLOOKUP('Données projet'!$B$9,Paramètres!$A$1:$I$89,3,0)*0.475*44/12</f>
        <v>1.0749012450892497</v>
      </c>
      <c r="AB121" s="21">
        <f>EXP(-LN(2)/2)*AB120+(1-EXP(-LN(2)/2))/(LN(2)/2)*V121*Y121*VLOOKUP('Données projet'!$B$9,Paramètres!$A$1:$I$89,3,0)*0.475*44/12</f>
        <v>3.095517726066061E-13</v>
      </c>
      <c r="AC121" s="22">
        <f t="shared" si="57"/>
        <v>2.1622641180049755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-4.5474735088646412E-13</v>
      </c>
      <c r="AJ121" s="13">
        <f>AI121*VLOOKUP('Données projet'!$B$10,Paramètres!$A$1:$I$89,3,0)*VLOOKUP('Données projet'!$B$10,Paramètres!$A$1:$I$89,5,0)</f>
        <v>-2.7193891583010558E-13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216.94426559495264</v>
      </c>
      <c r="AO121" s="59">
        <f t="shared" si="90"/>
        <v>225.33715877618704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1.1200893097631406</v>
      </c>
      <c r="AW121" s="21">
        <f>EXP(-LN(2)/2)*AW120+(1-EXP(-LN(2)/2))/(LN(2)/2)*AQ121*AT121*VLOOKUP('Données projet'!$B$10,Paramètres!$A$1:$I$89,3,0)*0.475*44/12</f>
        <v>1.3488579426063422E-12</v>
      </c>
      <c r="AX121" s="21">
        <f t="shared" si="60"/>
        <v>1.1200893097644895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3.7</v>
      </c>
      <c r="BD121" s="12">
        <f>IF('Données projet'!$A$88&gt;35,BD120+BC121-BL120,IF(A121&lt;'Données projet'!$A$88,$BA$205^A121,IF(A121='Données projet'!$A$88,'Données projet'!$B$88,BD120+BC121-BL120)))</f>
        <v>295.59999999999991</v>
      </c>
      <c r="BE121" s="13">
        <f>BD121*VLOOKUP('Données projet'!$B$11,Paramètres!$A$1:$I$89,3,0)*VLOOKUP('Données projet'!$B$11,Paramètres!$A$1:$I$89,5,0)</f>
        <v>267.45887999999991</v>
      </c>
      <c r="BF121" s="13">
        <f t="shared" si="91"/>
        <v>64.309683053152384</v>
      </c>
      <c r="BG121" s="20">
        <f t="shared" si="61"/>
        <v>577.83024731757359</v>
      </c>
      <c r="BH121" s="59">
        <f t="shared" si="62"/>
        <v>871.16358065090685</v>
      </c>
      <c r="BI121" s="59">
        <f ca="1">AVERAGE(OFFSET($BH$3,0,0,'Données projet'!$E$11+1,1))-AVERAGE(OFFSET($H$3,0,0,'Données projet'!$E$11+1,1))</f>
        <v>237.22177246688199</v>
      </c>
      <c r="BJ121" s="59">
        <f t="shared" si="92"/>
        <v>149.27472147904302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0.27074922463476631</v>
      </c>
      <c r="BR121" s="21">
        <f>EXP(-LN(2)/2)*BR120+(1-EXP(-LN(2)/2))/(LN(2)/2)*BL121*BO121*VLOOKUP('Données projet'!$B$11,Paramètres!$A$1:$I$89,3,0)*0.475*44/12</f>
        <v>3.5182369256451848E-13</v>
      </c>
      <c r="BS121" s="22">
        <f t="shared" si="63"/>
        <v>0.27074922463511814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-2.8421709430404007E-14</v>
      </c>
      <c r="BZ121" s="13">
        <f>BY121*VLOOKUP('Données projet'!$B$12,Paramètres!$A$1:$I$89,3,0)*VLOOKUP('Données projet'!$B$12,Paramètres!$A$1:$I$89,5,0)</f>
        <v>-2.4829205358400945E-14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223.81948236065614</v>
      </c>
      <c r="CE121" s="59">
        <f t="shared" si="94"/>
        <v>320.1204011431372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0.537878881855682</v>
      </c>
      <c r="CL121" s="21">
        <f>EXP(-LN(2)/25)*CL120+(1-EXP(-LN(2)/25))/(LN(2)/25)*Calculateur!CG121*Calculateur!CI121*VLOOKUP('Données projet'!$B$12,Paramètres!$A$1:$I$89,3,0)*0.475*44/12</f>
        <v>1.5422730889440617</v>
      </c>
      <c r="CM121" s="21">
        <f>EXP(-LN(2)/2)*CM120+(1-EXP(-LN(2)/2))/(LN(2)/2)*CG121*CJ121*VLOOKUP('Données projet'!$B$12,Paramètres!$A$1:$I$89,3,0)*0.475*44/12</f>
        <v>1.5785421288208406E-12</v>
      </c>
      <c r="CN121" s="22">
        <f t="shared" si="66"/>
        <v>2.0801519708013223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-5.1159076974727213E-13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168.08890945052406</v>
      </c>
      <c r="T122" s="59">
        <f t="shared" si="88"/>
        <v>182.52462557642343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1.0660403502034095</v>
      </c>
      <c r="AA122" s="21">
        <f>EXP(-LN(2)/25)*AA121+(1-EXP(-LN(2)/25))/(LN(2)/25)*Calculateur!V122*Calculateur!X122*VLOOKUP('Données projet'!$B$9,Paramètres!$A$1:$I$89,3,0)*0.475*44/12</f>
        <v>1.0455080140156843</v>
      </c>
      <c r="AB122" s="21">
        <f>EXP(-LN(2)/2)*AB121+(1-EXP(-LN(2)/2))/(LN(2)/2)*V122*Y122*VLOOKUP('Données projet'!$B$9,Paramètres!$A$1:$I$89,3,0)*0.475*44/12</f>
        <v>2.1888615753844734E-13</v>
      </c>
      <c r="AC122" s="22">
        <f t="shared" si="57"/>
        <v>2.1115483642193129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-4.5474735088646412E-13</v>
      </c>
      <c r="AJ122" s="13">
        <f>AI122*VLOOKUP('Données projet'!$B$10,Paramètres!$A$1:$I$89,3,0)*VLOOKUP('Données projet'!$B$10,Paramètres!$A$1:$I$89,5,0)</f>
        <v>-2.7193891583010558E-13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216.94426559495264</v>
      </c>
      <c r="AO122" s="59">
        <f t="shared" si="90"/>
        <v>225.33715877618704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1.0894604086847306</v>
      </c>
      <c r="AW122" s="21">
        <f>EXP(-LN(2)/2)*AW121+(1-EXP(-LN(2)/2))/(LN(2)/2)*AQ122*AT122*VLOOKUP('Données projet'!$B$10,Paramètres!$A$1:$I$89,3,0)*0.475*44/12</f>
        <v>9.5378659807427948E-13</v>
      </c>
      <c r="AX122" s="21">
        <f t="shared" si="60"/>
        <v>1.0894604086856843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3.7</v>
      </c>
      <c r="BD122" s="12">
        <f>IF('Données projet'!$A$88&gt;35,BD121+BC122-BL121,IF(A122&lt;'Données projet'!$A$88,$BA$205^A122,IF(A122='Données projet'!$A$88,'Données projet'!$B$88,BD121+BC122-BL121)))</f>
        <v>299.2999999999999</v>
      </c>
      <c r="BE122" s="13">
        <f>BD122*VLOOKUP('Données projet'!$B$11,Paramètres!$A$1:$I$89,3,0)*VLOOKUP('Données projet'!$B$11,Paramètres!$A$1:$I$89,5,0)</f>
        <v>270.8066399999999</v>
      </c>
      <c r="BF122" s="13">
        <f t="shared" si="91"/>
        <v>65.020428921429911</v>
      </c>
      <c r="BG122" s="20">
        <f t="shared" si="61"/>
        <v>584.89881170482352</v>
      </c>
      <c r="BH122" s="59">
        <f t="shared" si="62"/>
        <v>878.23214503815689</v>
      </c>
      <c r="BI122" s="59">
        <f ca="1">AVERAGE(OFFSET($BH$3,0,0,'Données projet'!$E$11+1,1))-AVERAGE(OFFSET($H$3,0,0,'Données projet'!$E$11+1,1))</f>
        <v>237.22177246688199</v>
      </c>
      <c r="BJ122" s="59">
        <f t="shared" si="92"/>
        <v>149.27472147904302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0.26334557284904569</v>
      </c>
      <c r="BR122" s="21">
        <f>EXP(-LN(2)/2)*BR121+(1-EXP(-LN(2)/2))/(LN(2)/2)*BL122*BO122*VLOOKUP('Données projet'!$B$11,Paramètres!$A$1:$I$89,3,0)*0.475*44/12</f>
        <v>2.4877691879446213E-13</v>
      </c>
      <c r="BS122" s="22">
        <f t="shared" si="63"/>
        <v>0.2633455728492945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-2.8421709430404007E-14</v>
      </c>
      <c r="BZ122" s="13">
        <f>BY122*VLOOKUP('Données projet'!$B$12,Paramètres!$A$1:$I$89,3,0)*VLOOKUP('Données projet'!$B$12,Paramètres!$A$1:$I$89,5,0)</f>
        <v>-2.4829205358400945E-14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223.81948236065614</v>
      </c>
      <c r="CE122" s="59">
        <f t="shared" si="94"/>
        <v>320.1204011431372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0.52733140505621545</v>
      </c>
      <c r="CL122" s="21">
        <f>EXP(-LN(2)/25)*CL121+(1-EXP(-LN(2)/25))/(LN(2)/25)*Calculateur!CG122*Calculateur!CI122*VLOOKUP('Données projet'!$B$12,Paramètres!$A$1:$I$89,3,0)*0.475*44/12</f>
        <v>1.5000995502222694</v>
      </c>
      <c r="CM122" s="21">
        <f>EXP(-LN(2)/2)*CM121+(1-EXP(-LN(2)/2))/(LN(2)/2)*CG122*CJ122*VLOOKUP('Données projet'!$B$12,Paramètres!$A$1:$I$89,3,0)*0.475*44/12</f>
        <v>1.116197843677865E-12</v>
      </c>
      <c r="CN122" s="22">
        <f t="shared" si="66"/>
        <v>2.0274309552796006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-5.1159076974727213E-13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168.08890945052406</v>
      </c>
      <c r="T123" s="59">
        <f t="shared" si="88"/>
        <v>182.52462557642343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1.0451359491563303</v>
      </c>
      <c r="AA123" s="21">
        <f>EXP(-LN(2)/25)*AA122+(1-EXP(-LN(2)/25))/(LN(2)/25)*Calculateur!V123*Calculateur!X123*VLOOKUP('Données projet'!$B$9,Paramètres!$A$1:$I$89,3,0)*0.475*44/12</f>
        <v>1.0169185423915486</v>
      </c>
      <c r="AB123" s="21">
        <f>EXP(-LN(2)/2)*AB122+(1-EXP(-LN(2)/2))/(LN(2)/2)*V123*Y123*VLOOKUP('Données projet'!$B$9,Paramètres!$A$1:$I$89,3,0)*0.475*44/12</f>
        <v>1.5477588630330305E-13</v>
      </c>
      <c r="AC123" s="22">
        <f t="shared" si="57"/>
        <v>2.0620544915480337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-4.5474735088646412E-13</v>
      </c>
      <c r="AJ123" s="13">
        <f>AI123*VLOOKUP('Données projet'!$B$10,Paramètres!$A$1:$I$89,3,0)*VLOOKUP('Données projet'!$B$10,Paramètres!$A$1:$I$89,5,0)</f>
        <v>-2.7193891583010558E-13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216.94426559495264</v>
      </c>
      <c r="AO123" s="59">
        <f t="shared" si="90"/>
        <v>225.33715877618704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1.0596690565170137</v>
      </c>
      <c r="AW123" s="21">
        <f>EXP(-LN(2)/2)*AW122+(1-EXP(-LN(2)/2))/(LN(2)/2)*AQ123*AT123*VLOOKUP('Données projet'!$B$10,Paramètres!$A$1:$I$89,3,0)*0.475*44/12</f>
        <v>6.7442897130317111E-13</v>
      </c>
      <c r="AX123" s="21">
        <f t="shared" si="60"/>
        <v>1.0596690565176881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303</v>
      </c>
      <c r="BB123" s="12">
        <f>VLOOKUP(A123,'Données projet'!$A$87:$I$107,9,0)</f>
        <v>3.7</v>
      </c>
      <c r="BC123" s="12">
        <f t="array" ref="BC123">INDEX(BB:BB,MIN(IF(ISNUMBER(BB123:BB319),ROW(BB123:BB319),"")))</f>
        <v>3.7</v>
      </c>
      <c r="BD123" s="12">
        <f>IF('Données projet'!$A$88&gt;35,BD122+BC123-BL122,IF(A123&lt;'Données projet'!$A$88,$BA$205^A123,IF(A123='Données projet'!$A$88,'Données projet'!$B$88,BD122+BC123-BL122)))</f>
        <v>302.99999999999989</v>
      </c>
      <c r="BE123" s="13">
        <f>BD123*VLOOKUP('Données projet'!$B$11,Paramètres!$A$1:$I$89,3,0)*VLOOKUP('Données projet'!$B$11,Paramètres!$A$1:$I$89,5,0)</f>
        <v>274.1543999999999</v>
      </c>
      <c r="BF123" s="13">
        <f t="shared" si="91"/>
        <v>65.730152764515779</v>
      </c>
      <c r="BG123" s="20">
        <f t="shared" si="61"/>
        <v>591.96559606486471</v>
      </c>
      <c r="BH123" s="59">
        <f t="shared" si="62"/>
        <v>885.29892939819797</v>
      </c>
      <c r="BI123" s="59">
        <f ca="1">AVERAGE(OFFSET($BH$3,0,0,'Données projet'!$E$11+1,1))-AVERAGE(OFFSET($H$3,0,0,'Données projet'!$E$11+1,1))</f>
        <v>237.22177246688199</v>
      </c>
      <c r="BJ123" s="59">
        <f t="shared" si="92"/>
        <v>149.27472147904302</v>
      </c>
      <c r="BK123" s="15">
        <f>IF(ISNA(VLOOKUP(A123,'Données projet'!$A$87:$I$107,3,0)),0,VLOOKUP(A123,'Données projet'!$A$87:$I$107,3,0))</f>
        <v>10</v>
      </c>
      <c r="BL123" s="15">
        <f>IF(ISNA(VLOOKUP(A123,'Données projet'!$A$87:$I$107,4,0)),0,VLOOKUP(A123,'Données projet'!$A$87:$I$107,4,0))</f>
        <v>303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0.25614437431074677</v>
      </c>
      <c r="BR123" s="21">
        <f>EXP(-LN(2)/2)*BR122+(1-EXP(-LN(2)/2))/(LN(2)/2)*BL123*BO123*VLOOKUP('Données projet'!$B$11,Paramètres!$A$1:$I$89,3,0)*0.475*44/12</f>
        <v>1.7591184628225924E-13</v>
      </c>
      <c r="BS123" s="22">
        <f t="shared" si="63"/>
        <v>0.25614437431092268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-2.8421709430404007E-14</v>
      </c>
      <c r="BZ123" s="13">
        <f>BY123*VLOOKUP('Données projet'!$B$12,Paramètres!$A$1:$I$89,3,0)*VLOOKUP('Données projet'!$B$12,Paramètres!$A$1:$I$89,5,0)</f>
        <v>-2.4829205358400945E-14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223.81948236065614</v>
      </c>
      <c r="CE123" s="59">
        <f t="shared" si="94"/>
        <v>320.1204011431372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0.51699075784346082</v>
      </c>
      <c r="CL123" s="21">
        <f>EXP(-LN(2)/25)*CL122+(1-EXP(-LN(2)/25))/(LN(2)/25)*Calculateur!CG123*Calculateur!CI123*VLOOKUP('Données projet'!$B$12,Paramètres!$A$1:$I$89,3,0)*0.475*44/12</f>
        <v>1.4590792491346345</v>
      </c>
      <c r="CM123" s="21">
        <f>EXP(-LN(2)/2)*CM122+(1-EXP(-LN(2)/2))/(LN(2)/2)*CG123*CJ123*VLOOKUP('Données projet'!$B$12,Paramètres!$A$1:$I$89,3,0)*0.475*44/12</f>
        <v>7.8927106441042031E-13</v>
      </c>
      <c r="CN123" s="22">
        <f t="shared" si="66"/>
        <v>1.9760700069788848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-5.1159076974727213E-13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168.08890945052406</v>
      </c>
      <c r="T124" s="59">
        <f t="shared" si="88"/>
        <v>182.52462557642343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1.0246414706633589</v>
      </c>
      <c r="AA124" s="21">
        <f>EXP(-LN(2)/25)*AA123+(1-EXP(-LN(2)/25))/(LN(2)/25)*Calculateur!V124*Calculateur!X124*VLOOKUP('Données projet'!$B$9,Paramètres!$A$1:$I$89,3,0)*0.475*44/12</f>
        <v>0.98911085137242971</v>
      </c>
      <c r="AB124" s="21">
        <f>EXP(-LN(2)/2)*AB123+(1-EXP(-LN(2)/2))/(LN(2)/2)*V124*Y124*VLOOKUP('Données projet'!$B$9,Paramètres!$A$1:$I$89,3,0)*0.475*44/12</f>
        <v>1.0944307876922367E-13</v>
      </c>
      <c r="AC124" s="22">
        <f t="shared" si="57"/>
        <v>2.0137523220358977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-4.5474735088646412E-13</v>
      </c>
      <c r="AJ124" s="13">
        <f>AI124*VLOOKUP('Données projet'!$B$10,Paramètres!$A$1:$I$89,3,0)*VLOOKUP('Données projet'!$B$10,Paramètres!$A$1:$I$89,5,0)</f>
        <v>-2.7193891583010558E-13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216.94426559495264</v>
      </c>
      <c r="AO124" s="59">
        <f t="shared" si="90"/>
        <v>225.33715877618704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1.0306923504409822</v>
      </c>
      <c r="AW124" s="21">
        <f>EXP(-LN(2)/2)*AW123+(1-EXP(-LN(2)/2))/(LN(2)/2)*AQ124*AT124*VLOOKUP('Données projet'!$B$10,Paramètres!$A$1:$I$89,3,0)*0.475*44/12</f>
        <v>4.7689329903713974E-13</v>
      </c>
      <c r="AX124" s="21">
        <f t="shared" si="60"/>
        <v>1.0306923504414591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-1.0286385077051818E-13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237.22177246688199</v>
      </c>
      <c r="BJ124" s="59">
        <f t="shared" si="92"/>
        <v>149.27472147904302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0.24914009292517217</v>
      </c>
      <c r="BR124" s="21">
        <f>EXP(-LN(2)/2)*BR123+(1-EXP(-LN(2)/2))/(LN(2)/2)*BL124*BO124*VLOOKUP('Données projet'!$B$11,Paramètres!$A$1:$I$89,3,0)*0.475*44/12</f>
        <v>1.2438845939723107E-13</v>
      </c>
      <c r="BS124" s="22">
        <f t="shared" si="63"/>
        <v>0.24914009292529657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-2.8421709430404007E-14</v>
      </c>
      <c r="BZ124" s="13">
        <f>BY124*VLOOKUP('Données projet'!$B$12,Paramètres!$A$1:$I$89,3,0)*VLOOKUP('Données projet'!$B$12,Paramètres!$A$1:$I$89,5,0)</f>
        <v>-2.4829205358400945E-14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223.81948236065614</v>
      </c>
      <c r="CE124" s="59">
        <f t="shared" si="94"/>
        <v>320.1204011431372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0.50685288441537624</v>
      </c>
      <c r="CL124" s="21">
        <f>EXP(-LN(2)/25)*CL123+(1-EXP(-LN(2)/25))/(LN(2)/25)*Calculateur!CG124*Calculateur!CI124*VLOOKUP('Données projet'!$B$12,Paramètres!$A$1:$I$89,3,0)*0.475*44/12</f>
        <v>1.4191806503374049</v>
      </c>
      <c r="CM124" s="21">
        <f>EXP(-LN(2)/2)*CM123+(1-EXP(-LN(2)/2))/(LN(2)/2)*CG124*CJ124*VLOOKUP('Données projet'!$B$12,Paramètres!$A$1:$I$89,3,0)*0.475*44/12</f>
        <v>5.5809892183893252E-13</v>
      </c>
      <c r="CN124" s="22">
        <f t="shared" si="66"/>
        <v>1.926033534753339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-5.1159076974727213E-13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168.08890945052406</v>
      </c>
      <c r="T125" s="59">
        <f t="shared" si="88"/>
        <v>182.52462557642343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1.0045488763932369</v>
      </c>
      <c r="AA125" s="21">
        <f>EXP(-LN(2)/25)*AA124+(1-EXP(-LN(2)/25))/(LN(2)/25)*Calculateur!V125*Calculateur!X125*VLOOKUP('Données projet'!$B$9,Paramètres!$A$1:$I$89,3,0)*0.475*44/12</f>
        <v>0.9620635631265716</v>
      </c>
      <c r="AB125" s="21">
        <f>EXP(-LN(2)/2)*AB124+(1-EXP(-LN(2)/2))/(LN(2)/2)*V125*Y125*VLOOKUP('Données projet'!$B$9,Paramètres!$A$1:$I$89,3,0)*0.475*44/12</f>
        <v>7.7387943151651526E-14</v>
      </c>
      <c r="AC125" s="22">
        <f t="shared" si="57"/>
        <v>1.9666124395198861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-4.5474735088646412E-13</v>
      </c>
      <c r="AJ125" s="13">
        <f>AI125*VLOOKUP('Données projet'!$B$10,Paramètres!$A$1:$I$89,3,0)*VLOOKUP('Données projet'!$B$10,Paramètres!$A$1:$I$89,5,0)</f>
        <v>-2.7193891583010558E-13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216.94426559495264</v>
      </c>
      <c r="AO125" s="59">
        <f t="shared" si="90"/>
        <v>225.33715877618704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1.0025080139164184</v>
      </c>
      <c r="AW125" s="21">
        <f>EXP(-LN(2)/2)*AW124+(1-EXP(-LN(2)/2))/(LN(2)/2)*AQ125*AT125*VLOOKUP('Données projet'!$B$10,Paramètres!$A$1:$I$89,3,0)*0.475*44/12</f>
        <v>3.3721448565158556E-13</v>
      </c>
      <c r="AX125" s="21">
        <f t="shared" si="60"/>
        <v>1.0025080139167557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-1.0286385077051818E-13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237.22177246688199</v>
      </c>
      <c r="BJ125" s="59">
        <f t="shared" si="92"/>
        <v>149.27472147904302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0.24232734398242525</v>
      </c>
      <c r="BR125" s="21">
        <f>EXP(-LN(2)/2)*BR124+(1-EXP(-LN(2)/2))/(LN(2)/2)*BL125*BO125*VLOOKUP('Données projet'!$B$11,Paramètres!$A$1:$I$89,3,0)*0.475*44/12</f>
        <v>8.7955923141129621E-14</v>
      </c>
      <c r="BS125" s="22">
        <f t="shared" si="63"/>
        <v>0.24232734398251321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-2.8421709430404007E-14</v>
      </c>
      <c r="BZ125" s="13">
        <f>BY125*VLOOKUP('Données projet'!$B$12,Paramètres!$A$1:$I$89,3,0)*VLOOKUP('Données projet'!$B$12,Paramètres!$A$1:$I$89,5,0)</f>
        <v>-2.4829205358400945E-14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223.81948236065614</v>
      </c>
      <c r="CE125" s="59">
        <f t="shared" si="94"/>
        <v>320.1204011431372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0.49691380850172417</v>
      </c>
      <c r="CL125" s="21">
        <f>EXP(-LN(2)/25)*CL124+(1-EXP(-LN(2)/25))/(LN(2)/25)*Calculateur!CG125*Calculateur!CI125*VLOOKUP('Données projet'!$B$12,Paramètres!$A$1:$I$89,3,0)*0.475*44/12</f>
        <v>1.3803730808224617</v>
      </c>
      <c r="CM125" s="21">
        <f>EXP(-LN(2)/2)*CM124+(1-EXP(-LN(2)/2))/(LN(2)/2)*CG125*CJ125*VLOOKUP('Données projet'!$B$12,Paramètres!$A$1:$I$89,3,0)*0.475*44/12</f>
        <v>3.9463553220521016E-13</v>
      </c>
      <c r="CN125" s="22">
        <f t="shared" si="66"/>
        <v>1.8772868893245804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-5.1159076974727213E-13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168.08890945052406</v>
      </c>
      <c r="T126" s="59">
        <f t="shared" si="88"/>
        <v>182.52462557642343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0.98485028564147958</v>
      </c>
      <c r="AA126" s="21">
        <f>EXP(-LN(2)/25)*AA125+(1-EXP(-LN(2)/25))/(LN(2)/25)*Calculateur!V126*Calculateur!X126*VLOOKUP('Données projet'!$B$9,Paramètres!$A$1:$I$89,3,0)*0.475*44/12</f>
        <v>0.93575588440015156</v>
      </c>
      <c r="AB126" s="21">
        <f>EXP(-LN(2)/2)*AB125+(1-EXP(-LN(2)/2))/(LN(2)/2)*V126*Y126*VLOOKUP('Données projet'!$B$9,Paramètres!$A$1:$I$89,3,0)*0.475*44/12</f>
        <v>5.4721539384611835E-14</v>
      </c>
      <c r="AC126" s="22">
        <f t="shared" si="57"/>
        <v>1.9206061700416859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-4.5474735088646412E-13</v>
      </c>
      <c r="AJ126" s="13">
        <f>AI126*VLOOKUP('Données projet'!$B$10,Paramètres!$A$1:$I$89,3,0)*VLOOKUP('Données projet'!$B$10,Paramètres!$A$1:$I$89,5,0)</f>
        <v>-2.7193891583010558E-13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216.94426559495264</v>
      </c>
      <c r="AO126" s="59">
        <f t="shared" si="90"/>
        <v>225.33715877618704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0.97509437955626876</v>
      </c>
      <c r="AW126" s="21">
        <f>EXP(-LN(2)/2)*AW125+(1-EXP(-LN(2)/2))/(LN(2)/2)*AQ126*AT126*VLOOKUP('Données projet'!$B$10,Paramètres!$A$1:$I$89,3,0)*0.475*44/12</f>
        <v>2.3844664951856987E-13</v>
      </c>
      <c r="AX126" s="21">
        <f t="shared" si="60"/>
        <v>0.97509437955650724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-1.0286385077051818E-13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237.22177246688199</v>
      </c>
      <c r="BJ126" s="59">
        <f t="shared" si="92"/>
        <v>149.27472147904302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0.23570089001778466</v>
      </c>
      <c r="BR126" s="21">
        <f>EXP(-LN(2)/2)*BR125+(1-EXP(-LN(2)/2))/(LN(2)/2)*BL126*BO126*VLOOKUP('Données projet'!$B$11,Paramètres!$A$1:$I$89,3,0)*0.475*44/12</f>
        <v>6.2194229698615533E-14</v>
      </c>
      <c r="BS126" s="22">
        <f t="shared" si="63"/>
        <v>0.23570089001784686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-2.8421709430404007E-14</v>
      </c>
      <c r="BZ126" s="13">
        <f>BY126*VLOOKUP('Données projet'!$B$12,Paramètres!$A$1:$I$89,3,0)*VLOOKUP('Données projet'!$B$12,Paramètres!$A$1:$I$89,5,0)</f>
        <v>-2.4829205358400945E-14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223.81948236065614</v>
      </c>
      <c r="CE126" s="59">
        <f t="shared" si="94"/>
        <v>320.1204011431372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0.48716963180450112</v>
      </c>
      <c r="CL126" s="21">
        <f>EXP(-LN(2)/25)*CL125+(1-EXP(-LN(2)/25))/(LN(2)/25)*Calculateur!CG126*Calculateur!CI126*VLOOKUP('Données projet'!$B$12,Paramètres!$A$1:$I$89,3,0)*0.475*44/12</f>
        <v>1.3426267063367061</v>
      </c>
      <c r="CM126" s="21">
        <f>EXP(-LN(2)/2)*CM125+(1-EXP(-LN(2)/2))/(LN(2)/2)*CG126*CJ126*VLOOKUP('Données projet'!$B$12,Paramètres!$A$1:$I$89,3,0)*0.475*44/12</f>
        <v>2.7904946091946626E-13</v>
      </c>
      <c r="CN126" s="22">
        <f t="shared" si="66"/>
        <v>1.8297963381414863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-5.1159076974727213E-13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168.08890945052406</v>
      </c>
      <c r="T127" s="59">
        <f t="shared" si="88"/>
        <v>182.52462557642343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0.96553797223941029</v>
      </c>
      <c r="AA127" s="21">
        <f>EXP(-LN(2)/25)*AA126+(1-EXP(-LN(2)/25))/(LN(2)/25)*Calculateur!V127*Calculateur!X127*VLOOKUP('Données projet'!$B$9,Paramètres!$A$1:$I$89,3,0)*0.475*44/12</f>
        <v>0.91016759053196616</v>
      </c>
      <c r="AB127" s="21">
        <f>EXP(-LN(2)/2)*AB126+(1-EXP(-LN(2)/2))/(LN(2)/2)*V127*Y127*VLOOKUP('Données projet'!$B$9,Paramètres!$A$1:$I$89,3,0)*0.475*44/12</f>
        <v>3.8693971575825763E-14</v>
      </c>
      <c r="AC127" s="22">
        <f t="shared" si="57"/>
        <v>1.8757055627714152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-4.5474735088646412E-13</v>
      </c>
      <c r="AJ127" s="13">
        <f>AI127*VLOOKUP('Données projet'!$B$10,Paramètres!$A$1:$I$89,3,0)*VLOOKUP('Données projet'!$B$10,Paramètres!$A$1:$I$89,5,0)</f>
        <v>-2.7193891583010558E-13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216.94426559495264</v>
      </c>
      <c r="AO127" s="59">
        <f t="shared" si="90"/>
        <v>225.33715877618704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0.94843037246931783</v>
      </c>
      <c r="AW127" s="21">
        <f>EXP(-LN(2)/2)*AW126+(1-EXP(-LN(2)/2))/(LN(2)/2)*AQ127*AT127*VLOOKUP('Données projet'!$B$10,Paramètres!$A$1:$I$89,3,0)*0.475*44/12</f>
        <v>1.6860724282579278E-13</v>
      </c>
      <c r="AX127" s="21">
        <f t="shared" si="60"/>
        <v>0.94843037246948647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-1.0286385077051818E-13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237.22177246688199</v>
      </c>
      <c r="BJ127" s="59">
        <f t="shared" si="92"/>
        <v>149.27472147904302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0.22925563678527724</v>
      </c>
      <c r="BR127" s="21">
        <f>EXP(-LN(2)/2)*BR126+(1-EXP(-LN(2)/2))/(LN(2)/2)*BL127*BO127*VLOOKUP('Données projet'!$B$11,Paramètres!$A$1:$I$89,3,0)*0.475*44/12</f>
        <v>4.397796157056481E-14</v>
      </c>
      <c r="BS127" s="22">
        <f t="shared" si="63"/>
        <v>0.22925563678532121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-2.8421709430404007E-14</v>
      </c>
      <c r="BZ127" s="13">
        <f>BY127*VLOOKUP('Données projet'!$B$12,Paramètres!$A$1:$I$89,3,0)*VLOOKUP('Données projet'!$B$12,Paramètres!$A$1:$I$89,5,0)</f>
        <v>-2.4829205358400945E-14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223.81948236065614</v>
      </c>
      <c r="CE127" s="59">
        <f t="shared" si="94"/>
        <v>320.1204011431372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0.47761653246894969</v>
      </c>
      <c r="CL127" s="21">
        <f>EXP(-LN(2)/25)*CL126+(1-EXP(-LN(2)/25))/(LN(2)/25)*Calculateur!CG127*Calculateur!CI127*VLOOKUP('Données projet'!$B$12,Paramètres!$A$1:$I$89,3,0)*0.475*44/12</f>
        <v>1.3059125084462591</v>
      </c>
      <c r="CM127" s="21">
        <f>EXP(-LN(2)/2)*CM126+(1-EXP(-LN(2)/2))/(LN(2)/2)*CG127*CJ127*VLOOKUP('Données projet'!$B$12,Paramètres!$A$1:$I$89,3,0)*0.475*44/12</f>
        <v>1.9731776610260508E-13</v>
      </c>
      <c r="CN127" s="22">
        <f t="shared" si="66"/>
        <v>1.7835290409154061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-5.1159076974727213E-13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168.08890945052406</v>
      </c>
      <c r="T128" s="59">
        <f t="shared" si="88"/>
        <v>182.52462557642343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0.94660436152380745</v>
      </c>
      <c r="AA128" s="21">
        <f>EXP(-LN(2)/25)*AA127+(1-EXP(-LN(2)/25))/(LN(2)/25)*Calculateur!V128*Calculateur!X128*VLOOKUP('Données projet'!$B$9,Paramètres!$A$1:$I$89,3,0)*0.475*44/12</f>
        <v>0.88527900990523622</v>
      </c>
      <c r="AB128" s="21">
        <f>EXP(-LN(2)/2)*AB127+(1-EXP(-LN(2)/2))/(LN(2)/2)*V128*Y128*VLOOKUP('Données projet'!$B$9,Paramètres!$A$1:$I$89,3,0)*0.475*44/12</f>
        <v>2.7360769692305918E-14</v>
      </c>
      <c r="AC128" s="22">
        <f t="shared" si="57"/>
        <v>1.831883371429071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-4.5474735088646412E-13</v>
      </c>
      <c r="AJ128" s="13">
        <f>AI128*VLOOKUP('Données projet'!$B$10,Paramètres!$A$1:$I$89,3,0)*VLOOKUP('Données projet'!$B$10,Paramètres!$A$1:$I$89,5,0)</f>
        <v>-2.7193891583010558E-13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216.94426559495264</v>
      </c>
      <c r="AO128" s="59">
        <f t="shared" si="90"/>
        <v>225.33715877618704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0.92249549405835873</v>
      </c>
      <c r="AW128" s="21">
        <f>EXP(-LN(2)/2)*AW127+(1-EXP(-LN(2)/2))/(LN(2)/2)*AQ128*AT128*VLOOKUP('Données projet'!$B$10,Paramètres!$A$1:$I$89,3,0)*0.475*44/12</f>
        <v>1.1922332475928494E-13</v>
      </c>
      <c r="AX128" s="21">
        <f t="shared" si="60"/>
        <v>0.92249549405847797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-1.0286385077051818E-13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237.22177246688199</v>
      </c>
      <c r="BJ128" s="59">
        <f t="shared" si="92"/>
        <v>149.27472147904302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0.22298662934135388</v>
      </c>
      <c r="BR128" s="21">
        <f>EXP(-LN(2)/2)*BR127+(1-EXP(-LN(2)/2))/(LN(2)/2)*BL128*BO128*VLOOKUP('Données projet'!$B$11,Paramètres!$A$1:$I$89,3,0)*0.475*44/12</f>
        <v>3.1097114849307767E-14</v>
      </c>
      <c r="BS128" s="22">
        <f t="shared" si="63"/>
        <v>0.22298662934138497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-2.8421709430404007E-14</v>
      </c>
      <c r="BZ128" s="13">
        <f>BY128*VLOOKUP('Données projet'!$B$12,Paramètres!$A$1:$I$89,3,0)*VLOOKUP('Données projet'!$B$12,Paramètres!$A$1:$I$89,5,0)</f>
        <v>-2.4829205358400945E-14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223.81948236065614</v>
      </c>
      <c r="CE128" s="59">
        <f t="shared" si="94"/>
        <v>320.1204011431372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0.4682507635845532</v>
      </c>
      <c r="CL128" s="21">
        <f>EXP(-LN(2)/25)*CL127+(1-EXP(-LN(2)/25))/(LN(2)/25)*Calculateur!CG128*Calculateur!CI128*VLOOKUP('Données projet'!$B$12,Paramètres!$A$1:$I$89,3,0)*0.475*44/12</f>
        <v>1.2702022622278419</v>
      </c>
      <c r="CM128" s="21">
        <f>EXP(-LN(2)/2)*CM127+(1-EXP(-LN(2)/2))/(LN(2)/2)*CG128*CJ128*VLOOKUP('Données projet'!$B$12,Paramètres!$A$1:$I$89,3,0)*0.475*44/12</f>
        <v>1.3952473045973313E-13</v>
      </c>
      <c r="CN128" s="22">
        <f t="shared" si="66"/>
        <v>1.7384530258125346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-5.1159076974727213E-13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168.08890945052406</v>
      </c>
      <c r="T129" s="59">
        <f t="shared" si="88"/>
        <v>182.52462557642343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0.92804202736597541</v>
      </c>
      <c r="AA129" s="21">
        <f>EXP(-LN(2)/25)*AA128+(1-EXP(-LN(2)/25))/(LN(2)/25)*Calculateur!V129*Calculateur!X129*VLOOKUP('Données projet'!$B$9,Paramètres!$A$1:$I$89,3,0)*0.475*44/12</f>
        <v>0.86107100882457777</v>
      </c>
      <c r="AB129" s="21">
        <f>EXP(-LN(2)/2)*AB128+(1-EXP(-LN(2)/2))/(LN(2)/2)*V129*Y129*VLOOKUP('Données projet'!$B$9,Paramètres!$A$1:$I$89,3,0)*0.475*44/12</f>
        <v>1.9346985787912882E-14</v>
      </c>
      <c r="AC129" s="22">
        <f t="shared" si="57"/>
        <v>1.7891130361905725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-4.5474735088646412E-13</v>
      </c>
      <c r="AJ129" s="13">
        <f>AI129*VLOOKUP('Données projet'!$B$10,Paramètres!$A$1:$I$89,3,0)*VLOOKUP('Données projet'!$B$10,Paramètres!$A$1:$I$89,5,0)</f>
        <v>-2.7193891583010558E-13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216.94426559495264</v>
      </c>
      <c r="AO129" s="59">
        <f t="shared" si="90"/>
        <v>225.33715877618704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0.89726980626140329</v>
      </c>
      <c r="AW129" s="21">
        <f>EXP(-LN(2)/2)*AW128+(1-EXP(-LN(2)/2))/(LN(2)/2)*AQ129*AT129*VLOOKUP('Données projet'!$B$10,Paramètres!$A$1:$I$89,3,0)*0.475*44/12</f>
        <v>8.4303621412896389E-14</v>
      </c>
      <c r="AX129" s="21">
        <f t="shared" si="60"/>
        <v>0.89726980626148756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-1.0286385077051818E-13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237.22177246688199</v>
      </c>
      <c r="BJ129" s="59">
        <f t="shared" si="92"/>
        <v>149.27472147904302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0.21688904823565736</v>
      </c>
      <c r="BR129" s="21">
        <f>EXP(-LN(2)/2)*BR128+(1-EXP(-LN(2)/2))/(LN(2)/2)*BL129*BO129*VLOOKUP('Données projet'!$B$11,Paramètres!$A$1:$I$89,3,0)*0.475*44/12</f>
        <v>2.1988980785282405E-14</v>
      </c>
      <c r="BS129" s="22">
        <f t="shared" si="63"/>
        <v>0.21688904823567934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-2.8421709430404007E-14</v>
      </c>
      <c r="BZ129" s="13">
        <f>BY129*VLOOKUP('Données projet'!$B$12,Paramètres!$A$1:$I$89,3,0)*VLOOKUP('Données projet'!$B$12,Paramètres!$A$1:$I$89,5,0)</f>
        <v>-2.4829205358400945E-14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223.81948236065614</v>
      </c>
      <c r="CE129" s="59">
        <f t="shared" si="94"/>
        <v>320.1204011431372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0.45906865171542477</v>
      </c>
      <c r="CL129" s="21">
        <f>EXP(-LN(2)/25)*CL128+(1-EXP(-LN(2)/25))/(LN(2)/25)*Calculateur!CG129*Calculateur!CI129*VLOOKUP('Données projet'!$B$12,Paramètres!$A$1:$I$89,3,0)*0.475*44/12</f>
        <v>1.2354685145701878</v>
      </c>
      <c r="CM129" s="21">
        <f>EXP(-LN(2)/2)*CM128+(1-EXP(-LN(2)/2))/(LN(2)/2)*CG129*CJ129*VLOOKUP('Données projet'!$B$12,Paramètres!$A$1:$I$89,3,0)*0.475*44/12</f>
        <v>9.8658883051302539E-14</v>
      </c>
      <c r="CN129" s="22">
        <f t="shared" si="66"/>
        <v>1.6945371662857112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-5.1159076974727213E-13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168.08890945052406</v>
      </c>
      <c r="T130" s="59">
        <f t="shared" si="88"/>
        <v>182.52462557642343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0.90984368925907255</v>
      </c>
      <c r="AA130" s="21">
        <f>EXP(-LN(2)/25)*AA129+(1-EXP(-LN(2)/25))/(LN(2)/25)*Calculateur!V130*Calculateur!X130*VLOOKUP('Données projet'!$B$9,Paramètres!$A$1:$I$89,3,0)*0.475*44/12</f>
        <v>0.83752497680651339</v>
      </c>
      <c r="AB130" s="21">
        <f>EXP(-LN(2)/2)*AB129+(1-EXP(-LN(2)/2))/(LN(2)/2)*V130*Y130*VLOOKUP('Données projet'!$B$9,Paramètres!$A$1:$I$89,3,0)*0.475*44/12</f>
        <v>1.3680384846152959E-14</v>
      </c>
      <c r="AC130" s="22">
        <f t="shared" si="57"/>
        <v>1.7473686660655998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-4.5474735088646412E-13</v>
      </c>
      <c r="AJ130" s="13">
        <f>AI130*VLOOKUP('Données projet'!$B$10,Paramètres!$A$1:$I$89,3,0)*VLOOKUP('Données projet'!$B$10,Paramètres!$A$1:$I$89,5,0)</f>
        <v>-2.7193891583010558E-13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216.94426559495264</v>
      </c>
      <c r="AO130" s="59">
        <f t="shared" si="90"/>
        <v>225.33715877618704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0.8727339162238168</v>
      </c>
      <c r="AW130" s="21">
        <f>EXP(-LN(2)/2)*AW129+(1-EXP(-LN(2)/2))/(LN(2)/2)*AQ130*AT130*VLOOKUP('Données projet'!$B$10,Paramètres!$A$1:$I$89,3,0)*0.475*44/12</f>
        <v>5.9611662379642468E-14</v>
      </c>
      <c r="AX130" s="21">
        <f t="shared" si="60"/>
        <v>0.87273391622387642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-1.0286385077051818E-13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237.22177246688199</v>
      </c>
      <c r="BJ130" s="59">
        <f t="shared" si="92"/>
        <v>149.27472147904302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0.21095820580595395</v>
      </c>
      <c r="BR130" s="21">
        <f>EXP(-LN(2)/2)*BR129+(1-EXP(-LN(2)/2))/(LN(2)/2)*BL130*BO130*VLOOKUP('Données projet'!$B$11,Paramètres!$A$1:$I$89,3,0)*0.475*44/12</f>
        <v>1.5548557424653883E-14</v>
      </c>
      <c r="BS130" s="22">
        <f t="shared" si="63"/>
        <v>0.2109582058059695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-2.8421709430404007E-14</v>
      </c>
      <c r="BZ130" s="13">
        <f>BY130*VLOOKUP('Données projet'!$B$12,Paramètres!$A$1:$I$89,3,0)*VLOOKUP('Données projet'!$B$12,Paramètres!$A$1:$I$89,5,0)</f>
        <v>-2.4829205358400945E-14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223.81948236065614</v>
      </c>
      <c r="CE130" s="59">
        <f t="shared" si="94"/>
        <v>320.1204011431372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0.45006659545951472</v>
      </c>
      <c r="CL130" s="21">
        <f>EXP(-LN(2)/25)*CL129+(1-EXP(-LN(2)/25))/(LN(2)/25)*Calculateur!CG130*Calculateur!CI130*VLOOKUP('Données projet'!$B$12,Paramètres!$A$1:$I$89,3,0)*0.475*44/12</f>
        <v>1.2016845630688004</v>
      </c>
      <c r="CM130" s="21">
        <f>EXP(-LN(2)/2)*CM129+(1-EXP(-LN(2)/2))/(LN(2)/2)*CG130*CJ130*VLOOKUP('Données projet'!$B$12,Paramètres!$A$1:$I$89,3,0)*0.475*44/12</f>
        <v>6.9762365229866565E-14</v>
      </c>
      <c r="CN130" s="22">
        <f t="shared" si="66"/>
        <v>1.6517511585283848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-5.1159076974727213E-13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168.08890945052406</v>
      </c>
      <c r="T131" s="59">
        <f t="shared" si="88"/>
        <v>182.52462557642343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0.89200220946255582</v>
      </c>
      <c r="AA131" s="21">
        <f>EXP(-LN(2)/25)*AA130+(1-EXP(-LN(2)/25))/(LN(2)/25)*Calculateur!V131*Calculateur!X131*VLOOKUP('Données projet'!$B$9,Paramètres!$A$1:$I$89,3,0)*0.475*44/12</f>
        <v>0.81462281227221489</v>
      </c>
      <c r="AB131" s="21">
        <f>EXP(-LN(2)/2)*AB130+(1-EXP(-LN(2)/2))/(LN(2)/2)*V131*Y131*VLOOKUP('Données projet'!$B$9,Paramètres!$A$1:$I$89,3,0)*0.475*44/12</f>
        <v>9.6734928939564408E-15</v>
      </c>
      <c r="AC131" s="22">
        <f t="shared" si="57"/>
        <v>1.7066250217347805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-4.5474735088646412E-13</v>
      </c>
      <c r="AJ131" s="13">
        <f>AI131*VLOOKUP('Données projet'!$B$10,Paramètres!$A$1:$I$89,3,0)*VLOOKUP('Données projet'!$B$10,Paramètres!$A$1:$I$89,5,0)</f>
        <v>-2.7193891583010558E-13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216.94426559495264</v>
      </c>
      <c r="AO131" s="59">
        <f t="shared" si="90"/>
        <v>225.33715877618704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0.84886896138959456</v>
      </c>
      <c r="AW131" s="21">
        <f>EXP(-LN(2)/2)*AW130+(1-EXP(-LN(2)/2))/(LN(2)/2)*AQ131*AT131*VLOOKUP('Données projet'!$B$10,Paramètres!$A$1:$I$89,3,0)*0.475*44/12</f>
        <v>4.2151810706448194E-14</v>
      </c>
      <c r="AX131" s="21">
        <f t="shared" si="60"/>
        <v>0.84886896138963674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-1.0286385077051818E-13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237.22177246688199</v>
      </c>
      <c r="BJ131" s="59">
        <f t="shared" si="92"/>
        <v>149.27472147904302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0.20518954257438024</v>
      </c>
      <c r="BR131" s="21">
        <f>EXP(-LN(2)/2)*BR130+(1-EXP(-LN(2)/2))/(LN(2)/2)*BL131*BO131*VLOOKUP('Données projet'!$B$11,Paramètres!$A$1:$I$89,3,0)*0.475*44/12</f>
        <v>1.0994490392641203E-14</v>
      </c>
      <c r="BS131" s="22">
        <f t="shared" si="63"/>
        <v>0.20518954257439123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-2.8421709430404007E-14</v>
      </c>
      <c r="BZ131" s="13">
        <f>BY131*VLOOKUP('Données projet'!$B$12,Paramètres!$A$1:$I$89,3,0)*VLOOKUP('Données projet'!$B$12,Paramètres!$A$1:$I$89,5,0)</f>
        <v>-2.4829205358400945E-14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223.81948236065614</v>
      </c>
      <c r="CE131" s="59">
        <f t="shared" si="94"/>
        <v>320.1204011431372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0.44124106403607088</v>
      </c>
      <c r="CL131" s="21">
        <f>EXP(-LN(2)/25)*CL130+(1-EXP(-LN(2)/25))/(LN(2)/25)*Calculateur!CG131*Calculateur!CI131*VLOOKUP('Données projet'!$B$12,Paramètres!$A$1:$I$89,3,0)*0.475*44/12</f>
        <v>1.1688244354978394</v>
      </c>
      <c r="CM131" s="21">
        <f>EXP(-LN(2)/2)*CM130+(1-EXP(-LN(2)/2))/(LN(2)/2)*CG131*CJ131*VLOOKUP('Données projet'!$B$12,Paramètres!$A$1:$I$89,3,0)*0.475*44/12</f>
        <v>4.9329441525651269E-14</v>
      </c>
      <c r="CN131" s="22">
        <f t="shared" si="66"/>
        <v>1.6100654995339596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-5.1159076974727213E-13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168.08890945052406</v>
      </c>
      <c r="T132" s="59">
        <f t="shared" si="88"/>
        <v>182.52462557642343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0.87451059020262067</v>
      </c>
      <c r="AA132" s="21">
        <f>EXP(-LN(2)/25)*AA131+(1-EXP(-LN(2)/25))/(LN(2)/25)*Calculateur!V132*Calculateur!X132*VLOOKUP('Données projet'!$B$9,Paramètres!$A$1:$I$89,3,0)*0.475*44/12</f>
        <v>0.79234690863147927</v>
      </c>
      <c r="AB132" s="21">
        <f>EXP(-LN(2)/2)*AB131+(1-EXP(-LN(2)/2))/(LN(2)/2)*V132*Y132*VLOOKUP('Données projet'!$B$9,Paramètres!$A$1:$I$89,3,0)*0.475*44/12</f>
        <v>6.8401924230764794E-15</v>
      </c>
      <c r="AC132" s="22">
        <f t="shared" ref="AC132:AC153" si="111">SUM(Z132:AB132)</f>
        <v>1.6668574988341069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-4.5474735088646412E-13</v>
      </c>
      <c r="AJ132" s="13">
        <f>AI132*VLOOKUP('Données projet'!$B$10,Paramètres!$A$1:$I$89,3,0)*VLOOKUP('Données projet'!$B$10,Paramètres!$A$1:$I$89,5,0)</f>
        <v>-2.7193891583010558E-13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216.94426559495264</v>
      </c>
      <c r="AO132" s="59">
        <f t="shared" si="90"/>
        <v>225.33715877618704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0.82565659500031752</v>
      </c>
      <c r="AW132" s="21">
        <f>EXP(-LN(2)/2)*AW131+(1-EXP(-LN(2)/2))/(LN(2)/2)*AQ132*AT132*VLOOKUP('Données projet'!$B$10,Paramètres!$A$1:$I$89,3,0)*0.475*44/12</f>
        <v>2.9805831189821234E-14</v>
      </c>
      <c r="AX132" s="21">
        <f t="shared" ref="AX132:AX153" si="114">SUM(AU132:AW132)</f>
        <v>0.82565659500034727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-1.0286385077051818E-13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237.22177246688199</v>
      </c>
      <c r="BJ132" s="59">
        <f t="shared" si="92"/>
        <v>149.27472147904302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0.19957862374223473</v>
      </c>
      <c r="BR132" s="21">
        <f>EXP(-LN(2)/2)*BR131+(1-EXP(-LN(2)/2))/(LN(2)/2)*BL132*BO132*VLOOKUP('Données projet'!$B$11,Paramètres!$A$1:$I$89,3,0)*0.475*44/12</f>
        <v>7.7742787123269417E-15</v>
      </c>
      <c r="BS132" s="22">
        <f t="shared" ref="BS132:BS153" si="117">SUM(BP132:BR132)</f>
        <v>0.1995786237422425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-2.8421709430404007E-14</v>
      </c>
      <c r="BZ132" s="13">
        <f>BY132*VLOOKUP('Données projet'!$B$12,Paramètres!$A$1:$I$89,3,0)*VLOOKUP('Données projet'!$B$12,Paramètres!$A$1:$I$89,5,0)</f>
        <v>-2.4829205358400945E-14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223.81948236065614</v>
      </c>
      <c r="CE132" s="59">
        <f t="shared" si="94"/>
        <v>320.1204011431372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0.43258859590079818</v>
      </c>
      <c r="CL132" s="21">
        <f>EXP(-LN(2)/25)*CL131+(1-EXP(-LN(2)/25))/(LN(2)/25)*Calculateur!CG132*Calculateur!CI132*VLOOKUP('Données projet'!$B$12,Paramètres!$A$1:$I$89,3,0)*0.475*44/12</f>
        <v>1.1368628698433454</v>
      </c>
      <c r="CM132" s="21">
        <f>EXP(-LN(2)/2)*CM131+(1-EXP(-LN(2)/2))/(LN(2)/2)*CG132*CJ132*VLOOKUP('Données projet'!$B$12,Paramètres!$A$1:$I$89,3,0)*0.475*44/12</f>
        <v>3.4881182614933283E-14</v>
      </c>
      <c r="CN132" s="22">
        <f t="shared" ref="CN132:CN153" si="120">SUM(CK132:CM132)</f>
        <v>1.5694514657441785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-5.1159076974727213E-13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168.08890945052406</v>
      </c>
      <c r="T133" s="59">
        <f t="shared" ref="T133:T196" si="142">$T$3</f>
        <v>182.52462557642343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0.85736197092753852</v>
      </c>
      <c r="AA133" s="21">
        <f>EXP(-LN(2)/25)*AA132+(1-EXP(-LN(2)/25))/(LN(2)/25)*Calculateur!V133*Calculateur!X133*VLOOKUP('Données projet'!$B$9,Paramètres!$A$1:$I$89,3,0)*0.475*44/12</f>
        <v>0.77068014074723845</v>
      </c>
      <c r="AB133" s="21">
        <f>EXP(-LN(2)/2)*AB132+(1-EXP(-LN(2)/2))/(LN(2)/2)*V133*Y133*VLOOKUP('Données projet'!$B$9,Paramètres!$A$1:$I$89,3,0)*0.475*44/12</f>
        <v>4.8367464469782204E-15</v>
      </c>
      <c r="AC133" s="22">
        <f t="shared" si="111"/>
        <v>1.6280421116747819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-4.5474735088646412E-13</v>
      </c>
      <c r="AJ133" s="13">
        <f>AI133*VLOOKUP('Données projet'!$B$10,Paramètres!$A$1:$I$89,3,0)*VLOOKUP('Données projet'!$B$10,Paramètres!$A$1:$I$89,5,0)</f>
        <v>-2.7193891583010558E-13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216.94426559495264</v>
      </c>
      <c r="AO133" s="59">
        <f t="shared" ref="AO133:AO196" si="144">$AO$3</f>
        <v>225.33715877618704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0.8030789719906406</v>
      </c>
      <c r="AW133" s="21">
        <f>EXP(-LN(2)/2)*AW132+(1-EXP(-LN(2)/2))/(LN(2)/2)*AQ133*AT133*VLOOKUP('Données projet'!$B$10,Paramètres!$A$1:$I$89,3,0)*0.475*44/12</f>
        <v>2.1075905353224097E-14</v>
      </c>
      <c r="AX133" s="21">
        <f t="shared" si="114"/>
        <v>0.80307897199066169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-1.0286385077051818E-13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237.22177246688199</v>
      </c>
      <c r="BJ133" s="59">
        <f t="shared" ref="BJ133:BJ196" si="146">$BJ$3</f>
        <v>149.27472147904302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0.19412113578061965</v>
      </c>
      <c r="BR133" s="21">
        <f>EXP(-LN(2)/2)*BR132+(1-EXP(-LN(2)/2))/(LN(2)/2)*BL133*BO133*VLOOKUP('Données projet'!$B$11,Paramètres!$A$1:$I$89,3,0)*0.475*44/12</f>
        <v>5.4972451963206013E-15</v>
      </c>
      <c r="BS133" s="22">
        <f t="shared" si="117"/>
        <v>0.19412113578062515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-2.8421709430404007E-14</v>
      </c>
      <c r="BZ133" s="13">
        <f>BY133*VLOOKUP('Données projet'!$B$12,Paramètres!$A$1:$I$89,3,0)*VLOOKUP('Données projet'!$B$12,Paramètres!$A$1:$I$89,5,0)</f>
        <v>-2.4829205358400945E-14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223.81948236065614</v>
      </c>
      <c r="CE133" s="59">
        <f t="shared" ref="CE133:CE196" si="148">$CE$3</f>
        <v>320.1204011431372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0.42410579738817372</v>
      </c>
      <c r="CL133" s="21">
        <f>EXP(-LN(2)/25)*CL132+(1-EXP(-LN(2)/25))/(LN(2)/25)*Calculateur!CG133*Calculateur!CI133*VLOOKUP('Données projet'!$B$12,Paramètres!$A$1:$I$89,3,0)*0.475*44/12</f>
        <v>1.1057752948824591</v>
      </c>
      <c r="CM133" s="21">
        <f>EXP(-LN(2)/2)*CM132+(1-EXP(-LN(2)/2))/(LN(2)/2)*CG133*CJ133*VLOOKUP('Données projet'!$B$12,Paramètres!$A$1:$I$89,3,0)*0.475*44/12</f>
        <v>2.4664720762825635E-14</v>
      </c>
      <c r="CN133" s="22">
        <f t="shared" si="120"/>
        <v>1.5298810922706574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-5.1159076974727213E-13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168.08890945052406</v>
      </c>
      <c r="T134" s="59">
        <f t="shared" si="142"/>
        <v>182.52462557642343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0.84054962561681579</v>
      </c>
      <c r="AA134" s="21">
        <f>EXP(-LN(2)/25)*AA133+(1-EXP(-LN(2)/25))/(LN(2)/25)*Calculateur!V134*Calculateur!X134*VLOOKUP('Données projet'!$B$9,Paramètres!$A$1:$I$89,3,0)*0.475*44/12</f>
        <v>0.74960585177019801</v>
      </c>
      <c r="AB134" s="21">
        <f>EXP(-LN(2)/2)*AB133+(1-EXP(-LN(2)/2))/(LN(2)/2)*V134*Y134*VLOOKUP('Données projet'!$B$9,Paramètres!$A$1:$I$89,3,0)*0.475*44/12</f>
        <v>3.4200962115382397E-15</v>
      </c>
      <c r="AC134" s="22">
        <f t="shared" si="111"/>
        <v>1.590155477387017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-4.5474735088646412E-13</v>
      </c>
      <c r="AJ134" s="13">
        <f>AI134*VLOOKUP('Données projet'!$B$10,Paramètres!$A$1:$I$89,3,0)*VLOOKUP('Données projet'!$B$10,Paramètres!$A$1:$I$89,5,0)</f>
        <v>-2.7193891583010558E-13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216.94426559495264</v>
      </c>
      <c r="AO134" s="59">
        <f t="shared" si="144"/>
        <v>225.33715877618704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0.78111873526946884</v>
      </c>
      <c r="AW134" s="21">
        <f>EXP(-LN(2)/2)*AW133+(1-EXP(-LN(2)/2))/(LN(2)/2)*AQ134*AT134*VLOOKUP('Données projet'!$B$10,Paramètres!$A$1:$I$89,3,0)*0.475*44/12</f>
        <v>1.4902915594910617E-14</v>
      </c>
      <c r="AX134" s="21">
        <f t="shared" si="114"/>
        <v>0.78111873526948372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-1.0286385077051818E-13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237.22177246688199</v>
      </c>
      <c r="BJ134" s="59">
        <f t="shared" si="146"/>
        <v>149.27472147904302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0.18881288311431174</v>
      </c>
      <c r="BR134" s="21">
        <f>EXP(-LN(2)/2)*BR133+(1-EXP(-LN(2)/2))/(LN(2)/2)*BL134*BO134*VLOOKUP('Données projet'!$B$11,Paramètres!$A$1:$I$89,3,0)*0.475*44/12</f>
        <v>3.8871393561634708E-15</v>
      </c>
      <c r="BS134" s="22">
        <f t="shared" si="117"/>
        <v>0.18881288311431563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-2.8421709430404007E-14</v>
      </c>
      <c r="BZ134" s="13">
        <f>BY134*VLOOKUP('Données projet'!$B$12,Paramètres!$A$1:$I$89,3,0)*VLOOKUP('Données projet'!$B$12,Paramètres!$A$1:$I$89,5,0)</f>
        <v>-2.4829205358400945E-14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223.81948236065614</v>
      </c>
      <c r="CE134" s="59">
        <f t="shared" si="148"/>
        <v>320.1204011431372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0.41578934138038559</v>
      </c>
      <c r="CL134" s="21">
        <f>EXP(-LN(2)/25)*CL133+(1-EXP(-LN(2)/25))/(LN(2)/25)*Calculateur!CG134*Calculateur!CI134*VLOOKUP('Données projet'!$B$12,Paramètres!$A$1:$I$89,3,0)*0.475*44/12</f>
        <v>1.0755378112937029</v>
      </c>
      <c r="CM134" s="21">
        <f>EXP(-LN(2)/2)*CM133+(1-EXP(-LN(2)/2))/(LN(2)/2)*CG134*CJ134*VLOOKUP('Données projet'!$B$12,Paramètres!$A$1:$I$89,3,0)*0.475*44/12</f>
        <v>1.7440591307466641E-14</v>
      </c>
      <c r="CN134" s="22">
        <f t="shared" si="120"/>
        <v>1.4913271526741061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-5.1159076974727213E-13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168.08890945052406</v>
      </c>
      <c r="T135" s="59">
        <f t="shared" si="142"/>
        <v>182.52462557642343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0.8240669601431182</v>
      </c>
      <c r="AA135" s="21">
        <f>EXP(-LN(2)/25)*AA134+(1-EXP(-LN(2)/25))/(LN(2)/25)*Calculateur!V135*Calculateur!X135*VLOOKUP('Données projet'!$B$9,Paramètres!$A$1:$I$89,3,0)*0.475*44/12</f>
        <v>0.72910784033348341</v>
      </c>
      <c r="AB135" s="21">
        <f>EXP(-LN(2)/2)*AB134+(1-EXP(-LN(2)/2))/(LN(2)/2)*V135*Y135*VLOOKUP('Données projet'!$B$9,Paramètres!$A$1:$I$89,3,0)*0.475*44/12</f>
        <v>2.4183732234891102E-15</v>
      </c>
      <c r="AC135" s="22">
        <f t="shared" si="111"/>
        <v>1.5531748004766042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-4.5474735088646412E-13</v>
      </c>
      <c r="AJ135" s="13">
        <f>AI135*VLOOKUP('Données projet'!$B$10,Paramètres!$A$1:$I$89,3,0)*VLOOKUP('Données projet'!$B$10,Paramètres!$A$1:$I$89,5,0)</f>
        <v>-2.7193891583010558E-13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216.94426559495264</v>
      </c>
      <c r="AO135" s="59">
        <f t="shared" si="144"/>
        <v>225.33715877618704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0.75975900237627625</v>
      </c>
      <c r="AW135" s="21">
        <f>EXP(-LN(2)/2)*AW134+(1-EXP(-LN(2)/2))/(LN(2)/2)*AQ135*AT135*VLOOKUP('Données projet'!$B$10,Paramètres!$A$1:$I$89,3,0)*0.475*44/12</f>
        <v>1.0537952676612049E-14</v>
      </c>
      <c r="AX135" s="21">
        <f t="shared" si="114"/>
        <v>0.7597590023762868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-1.0286385077051818E-13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237.22177246688199</v>
      </c>
      <c r="BJ135" s="59">
        <f t="shared" si="146"/>
        <v>149.27472147904302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0.1836497848963129</v>
      </c>
      <c r="BR135" s="21">
        <f>EXP(-LN(2)/2)*BR134+(1-EXP(-LN(2)/2))/(LN(2)/2)*BL135*BO135*VLOOKUP('Données projet'!$B$11,Paramètres!$A$1:$I$89,3,0)*0.475*44/12</f>
        <v>2.7486225981603006E-15</v>
      </c>
      <c r="BS135" s="22">
        <f t="shared" si="117"/>
        <v>0.18364978489631564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-2.8421709430404007E-14</v>
      </c>
      <c r="BZ135" s="13">
        <f>BY135*VLOOKUP('Données projet'!$B$12,Paramètres!$A$1:$I$89,3,0)*VLOOKUP('Données projet'!$B$12,Paramètres!$A$1:$I$89,5,0)</f>
        <v>-2.4829205358400945E-14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223.81948236065614</v>
      </c>
      <c r="CE135" s="59">
        <f t="shared" si="148"/>
        <v>320.1204011431372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0.4076359660023729</v>
      </c>
      <c r="CL135" s="21">
        <f>EXP(-LN(2)/25)*CL134+(1-EXP(-LN(2)/25))/(LN(2)/25)*Calculateur!CG135*Calculateur!CI135*VLOOKUP('Données projet'!$B$12,Paramètres!$A$1:$I$89,3,0)*0.475*44/12</f>
        <v>1.0461271732838011</v>
      </c>
      <c r="CM135" s="21">
        <f>EXP(-LN(2)/2)*CM134+(1-EXP(-LN(2)/2))/(LN(2)/2)*CG135*CJ135*VLOOKUP('Données projet'!$B$12,Paramètres!$A$1:$I$89,3,0)*0.475*44/12</f>
        <v>1.2332360381412817E-14</v>
      </c>
      <c r="CN135" s="22">
        <f t="shared" si="120"/>
        <v>1.4537631392861865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-5.1159076974727213E-13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168.08890945052406</v>
      </c>
      <c r="T136" s="59">
        <f t="shared" si="142"/>
        <v>182.52462557642343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0.80790750968592662</v>
      </c>
      <c r="AA136" s="21">
        <f>EXP(-LN(2)/25)*AA135+(1-EXP(-LN(2)/25))/(LN(2)/25)*Calculateur!V136*Calculateur!X136*VLOOKUP('Données projet'!$B$9,Paramètres!$A$1:$I$89,3,0)*0.475*44/12</f>
        <v>0.70917034809744939</v>
      </c>
      <c r="AB136" s="21">
        <f>EXP(-LN(2)/2)*AB135+(1-EXP(-LN(2)/2))/(LN(2)/2)*V136*Y136*VLOOKUP('Données projet'!$B$9,Paramètres!$A$1:$I$89,3,0)*0.475*44/12</f>
        <v>1.7100481057691199E-15</v>
      </c>
      <c r="AC136" s="22">
        <f t="shared" si="111"/>
        <v>1.5170778577833777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-4.5474735088646412E-13</v>
      </c>
      <c r="AJ136" s="13">
        <f>AI136*VLOOKUP('Données projet'!$B$10,Paramètres!$A$1:$I$89,3,0)*VLOOKUP('Données projet'!$B$10,Paramètres!$A$1:$I$89,5,0)</f>
        <v>-2.7193891583010558E-13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216.94426559495264</v>
      </c>
      <c r="AO136" s="59">
        <f t="shared" si="144"/>
        <v>225.33715877618704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0.73898335250230751</v>
      </c>
      <c r="AW136" s="21">
        <f>EXP(-LN(2)/2)*AW135+(1-EXP(-LN(2)/2))/(LN(2)/2)*AQ136*AT136*VLOOKUP('Données projet'!$B$10,Paramètres!$A$1:$I$89,3,0)*0.475*44/12</f>
        <v>7.4514577974553085E-15</v>
      </c>
      <c r="AX136" s="21">
        <f t="shared" si="114"/>
        <v>0.73898335250231495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-1.0286385077051818E-13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237.22177246688199</v>
      </c>
      <c r="BJ136" s="59">
        <f t="shared" si="146"/>
        <v>149.27472147904302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0.17862787187060078</v>
      </c>
      <c r="BR136" s="21">
        <f>EXP(-LN(2)/2)*BR135+(1-EXP(-LN(2)/2))/(LN(2)/2)*BL136*BO136*VLOOKUP('Données projet'!$B$11,Paramètres!$A$1:$I$89,3,0)*0.475*44/12</f>
        <v>1.9435696780817354E-15</v>
      </c>
      <c r="BS136" s="22">
        <f t="shared" si="117"/>
        <v>0.17862787187060272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-2.8421709430404007E-14</v>
      </c>
      <c r="BZ136" s="13">
        <f>BY136*VLOOKUP('Données projet'!$B$12,Paramètres!$A$1:$I$89,3,0)*VLOOKUP('Données projet'!$B$12,Paramètres!$A$1:$I$89,5,0)</f>
        <v>-2.4829205358400945E-14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223.81948236065614</v>
      </c>
      <c r="CE136" s="59">
        <f t="shared" si="148"/>
        <v>320.1204011431372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0.39964247334245512</v>
      </c>
      <c r="CL136" s="21">
        <f>EXP(-LN(2)/25)*CL135+(1-EXP(-LN(2)/25))/(LN(2)/25)*Calculateur!CG136*Calculateur!CI136*VLOOKUP('Données projet'!$B$12,Paramètres!$A$1:$I$89,3,0)*0.475*44/12</f>
        <v>1.0175207707169185</v>
      </c>
      <c r="CM136" s="21">
        <f>EXP(-LN(2)/2)*CM135+(1-EXP(-LN(2)/2))/(LN(2)/2)*CG136*CJ136*VLOOKUP('Données projet'!$B$12,Paramètres!$A$1:$I$89,3,0)*0.475*44/12</f>
        <v>8.7202956537333206E-15</v>
      </c>
      <c r="CN136" s="22">
        <f t="shared" si="120"/>
        <v>1.4171632440593822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-5.1159076974727213E-13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168.08890945052406</v>
      </c>
      <c r="T137" s="59">
        <f t="shared" si="142"/>
        <v>182.52462557642343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0.79206493619590901</v>
      </c>
      <c r="AA137" s="21">
        <f>EXP(-LN(2)/25)*AA136+(1-EXP(-LN(2)/25))/(LN(2)/25)*Calculateur!V137*Calculateur!X137*VLOOKUP('Données projet'!$B$9,Paramètres!$A$1:$I$89,3,0)*0.475*44/12</f>
        <v>0.68977804763507689</v>
      </c>
      <c r="AB137" s="21">
        <f>EXP(-LN(2)/2)*AB136+(1-EXP(-LN(2)/2))/(LN(2)/2)*V137*Y137*VLOOKUP('Données projet'!$B$9,Paramètres!$A$1:$I$89,3,0)*0.475*44/12</f>
        <v>1.2091866117445551E-15</v>
      </c>
      <c r="AC137" s="22">
        <f t="shared" si="111"/>
        <v>1.481842983830987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-4.5474735088646412E-13</v>
      </c>
      <c r="AJ137" s="13">
        <f>AI137*VLOOKUP('Données projet'!$B$10,Paramètres!$A$1:$I$89,3,0)*VLOOKUP('Données projet'!$B$10,Paramètres!$A$1:$I$89,5,0)</f>
        <v>-2.7193891583010558E-13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216.94426559495264</v>
      </c>
      <c r="AO137" s="59">
        <f t="shared" si="144"/>
        <v>225.33715877618704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0.71877581386668632</v>
      </c>
      <c r="AW137" s="21">
        <f>EXP(-LN(2)/2)*AW136+(1-EXP(-LN(2)/2))/(LN(2)/2)*AQ137*AT137*VLOOKUP('Données projet'!$B$10,Paramètres!$A$1:$I$89,3,0)*0.475*44/12</f>
        <v>5.2689763383060243E-15</v>
      </c>
      <c r="AX137" s="21">
        <f t="shared" si="114"/>
        <v>0.71877581386669154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-1.0286385077051818E-13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237.22177246688199</v>
      </c>
      <c r="BJ137" s="59">
        <f t="shared" si="146"/>
        <v>149.27472147904302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0.17374328332066769</v>
      </c>
      <c r="BR137" s="21">
        <f>EXP(-LN(2)/2)*BR136+(1-EXP(-LN(2)/2))/(LN(2)/2)*BL137*BO137*VLOOKUP('Données projet'!$B$11,Paramètres!$A$1:$I$89,3,0)*0.475*44/12</f>
        <v>1.3743112990801503E-15</v>
      </c>
      <c r="BS137" s="22">
        <f t="shared" si="117"/>
        <v>0.17374328332066907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-2.8421709430404007E-14</v>
      </c>
      <c r="BZ137" s="13">
        <f>BY137*VLOOKUP('Données projet'!$B$12,Paramètres!$A$1:$I$89,3,0)*VLOOKUP('Données projet'!$B$12,Paramètres!$A$1:$I$89,5,0)</f>
        <v>-2.4829205358400945E-14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223.81948236065614</v>
      </c>
      <c r="CE137" s="59">
        <f t="shared" si="148"/>
        <v>320.1204011431372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0.39180572819804921</v>
      </c>
      <c r="CL137" s="21">
        <f>EXP(-LN(2)/25)*CL136+(1-EXP(-LN(2)/25))/(LN(2)/25)*Calculateur!CG137*Calculateur!CI137*VLOOKUP('Données projet'!$B$12,Paramètres!$A$1:$I$89,3,0)*0.475*44/12</f>
        <v>0.98969661173257262</v>
      </c>
      <c r="CM137" s="21">
        <f>EXP(-LN(2)/2)*CM136+(1-EXP(-LN(2)/2))/(LN(2)/2)*CG137*CJ137*VLOOKUP('Données projet'!$B$12,Paramètres!$A$1:$I$89,3,0)*0.475*44/12</f>
        <v>6.1661801907064087E-15</v>
      </c>
      <c r="CN137" s="22">
        <f t="shared" si="120"/>
        <v>1.3815023399306281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-5.1159076974727213E-13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168.08890945052406</v>
      </c>
      <c r="T138" s="59">
        <f t="shared" si="142"/>
        <v>182.52462557642343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0.77653302590901496</v>
      </c>
      <c r="AA138" s="21">
        <f>EXP(-LN(2)/25)*AA137+(1-EXP(-LN(2)/25))/(LN(2)/25)*Calculateur!V138*Calculateur!X138*VLOOKUP('Données projet'!$B$9,Paramètres!$A$1:$I$89,3,0)*0.475*44/12</f>
        <v>0.67091603064864469</v>
      </c>
      <c r="AB138" s="21">
        <f>EXP(-LN(2)/2)*AB137+(1-EXP(-LN(2)/2))/(LN(2)/2)*V138*Y138*VLOOKUP('Données projet'!$B$9,Paramètres!$A$1:$I$89,3,0)*0.475*44/12</f>
        <v>8.5502405288455993E-16</v>
      </c>
      <c r="AC138" s="22">
        <f t="shared" si="111"/>
        <v>1.4474490565576605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-4.5474735088646412E-13</v>
      </c>
      <c r="AJ138" s="13">
        <f>AI138*VLOOKUP('Données projet'!$B$10,Paramètres!$A$1:$I$89,3,0)*VLOOKUP('Données projet'!$B$10,Paramètres!$A$1:$I$89,5,0)</f>
        <v>-2.7193891583010558E-13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216.94426559495264</v>
      </c>
      <c r="AO138" s="59">
        <f t="shared" si="144"/>
        <v>225.33715877618704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0.69912085143772451</v>
      </c>
      <c r="AW138" s="21">
        <f>EXP(-LN(2)/2)*AW137+(1-EXP(-LN(2)/2))/(LN(2)/2)*AQ138*AT138*VLOOKUP('Données projet'!$B$10,Paramètres!$A$1:$I$89,3,0)*0.475*44/12</f>
        <v>3.7257288987276542E-15</v>
      </c>
      <c r="AX138" s="21">
        <f t="shared" si="114"/>
        <v>0.69912085143772829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-1.0286385077051818E-13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237.22177246688199</v>
      </c>
      <c r="BJ138" s="59">
        <f t="shared" si="146"/>
        <v>149.27472147904302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0.16899226410150187</v>
      </c>
      <c r="BR138" s="21">
        <f>EXP(-LN(2)/2)*BR137+(1-EXP(-LN(2)/2))/(LN(2)/2)*BL138*BO138*VLOOKUP('Données projet'!$B$11,Paramètres!$A$1:$I$89,3,0)*0.475*44/12</f>
        <v>9.7178483904086771E-16</v>
      </c>
      <c r="BS138" s="22">
        <f t="shared" si="117"/>
        <v>0.16899226410150284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-2.8421709430404007E-14</v>
      </c>
      <c r="BZ138" s="13">
        <f>BY138*VLOOKUP('Données projet'!$B$12,Paramètres!$A$1:$I$89,3,0)*VLOOKUP('Données projet'!$B$12,Paramètres!$A$1:$I$89,5,0)</f>
        <v>-2.4829205358400945E-14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223.81948236065614</v>
      </c>
      <c r="CE138" s="59">
        <f t="shared" si="148"/>
        <v>320.1204011431372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0.38412265684598257</v>
      </c>
      <c r="CL138" s="21">
        <f>EXP(-LN(2)/25)*CL137+(1-EXP(-LN(2)/25))/(LN(2)/25)*Calculateur!CG138*Calculateur!CI138*VLOOKUP('Données projet'!$B$12,Paramètres!$A$1:$I$89,3,0)*0.475*44/12</f>
        <v>0.96263330583886264</v>
      </c>
      <c r="CM138" s="21">
        <f>EXP(-LN(2)/2)*CM137+(1-EXP(-LN(2)/2))/(LN(2)/2)*CG138*CJ138*VLOOKUP('Données projet'!$B$12,Paramètres!$A$1:$I$89,3,0)*0.475*44/12</f>
        <v>4.3601478268666603E-15</v>
      </c>
      <c r="CN138" s="22">
        <f t="shared" si="120"/>
        <v>1.3467559626848495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-5.1159076974727213E-13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168.08890945052406</v>
      </c>
      <c r="T139" s="59">
        <f t="shared" si="142"/>
        <v>182.52462557642343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0.7613056869093171</v>
      </c>
      <c r="AA139" s="21">
        <f>EXP(-LN(2)/25)*AA138+(1-EXP(-LN(2)/25))/(LN(2)/25)*Calculateur!V139*Calculateur!X139*VLOOKUP('Données projet'!$B$9,Paramètres!$A$1:$I$89,3,0)*0.475*44/12</f>
        <v>0.6525697965086168</v>
      </c>
      <c r="AB139" s="21">
        <f>EXP(-LN(2)/2)*AB138+(1-EXP(-LN(2)/2))/(LN(2)/2)*V139*Y139*VLOOKUP('Données projet'!$B$9,Paramètres!$A$1:$I$89,3,0)*0.475*44/12</f>
        <v>6.0459330587227755E-16</v>
      </c>
      <c r="AC139" s="22">
        <f t="shared" si="111"/>
        <v>1.4138754834179346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-4.5474735088646412E-13</v>
      </c>
      <c r="AJ139" s="13">
        <f>AI139*VLOOKUP('Données projet'!$B$10,Paramètres!$A$1:$I$89,3,0)*VLOOKUP('Données projet'!$B$10,Paramètres!$A$1:$I$89,5,0)</f>
        <v>-2.7193891583010558E-13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216.94426559495264</v>
      </c>
      <c r="AO139" s="59">
        <f t="shared" si="144"/>
        <v>225.33715877618704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0.6800033549899922</v>
      </c>
      <c r="AW139" s="21">
        <f>EXP(-LN(2)/2)*AW138+(1-EXP(-LN(2)/2))/(LN(2)/2)*AQ139*AT139*VLOOKUP('Données projet'!$B$10,Paramètres!$A$1:$I$89,3,0)*0.475*44/12</f>
        <v>2.6344881691530121E-15</v>
      </c>
      <c r="AX139" s="21">
        <f t="shared" si="114"/>
        <v>0.68000335498999487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-1.0286385077051818E-13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237.22177246688199</v>
      </c>
      <c r="BJ139" s="59">
        <f t="shared" si="146"/>
        <v>149.27472147904302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0.16437116175272937</v>
      </c>
      <c r="BR139" s="21">
        <f>EXP(-LN(2)/2)*BR138+(1-EXP(-LN(2)/2))/(LN(2)/2)*BL139*BO139*VLOOKUP('Données projet'!$B$11,Paramètres!$A$1:$I$89,3,0)*0.475*44/12</f>
        <v>6.8715564954007516E-16</v>
      </c>
      <c r="BS139" s="22">
        <f t="shared" si="117"/>
        <v>0.16437116175273006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-2.8421709430404007E-14</v>
      </c>
      <c r="BZ139" s="13">
        <f>BY139*VLOOKUP('Données projet'!$B$12,Paramètres!$A$1:$I$89,3,0)*VLOOKUP('Données projet'!$B$12,Paramètres!$A$1:$I$89,5,0)</f>
        <v>-2.4829205358400945E-14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223.81948236065614</v>
      </c>
      <c r="CE139" s="59">
        <f t="shared" si="148"/>
        <v>320.1204011431372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0.37659024583691914</v>
      </c>
      <c r="CL139" s="21">
        <f>EXP(-LN(2)/25)*CL138+(1-EXP(-LN(2)/25))/(LN(2)/25)*Calculateur!CG139*Calculateur!CI139*VLOOKUP('Données projet'!$B$12,Paramètres!$A$1:$I$89,3,0)*0.475*44/12</f>
        <v>0.9363100474680135</v>
      </c>
      <c r="CM139" s="21">
        <f>EXP(-LN(2)/2)*CM138+(1-EXP(-LN(2)/2))/(LN(2)/2)*CG139*CJ139*VLOOKUP('Données projet'!$B$12,Paramètres!$A$1:$I$89,3,0)*0.475*44/12</f>
        <v>3.0830900953532043E-15</v>
      </c>
      <c r="CN139" s="22">
        <f t="shared" si="120"/>
        <v>1.3129002933049359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-5.1159076974727213E-13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168.08890945052406</v>
      </c>
      <c r="T140" s="59">
        <f t="shared" si="142"/>
        <v>182.52462557642343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0.74637694673964361</v>
      </c>
      <c r="AA140" s="21">
        <f>EXP(-LN(2)/25)*AA139+(1-EXP(-LN(2)/25))/(LN(2)/25)*Calculateur!V140*Calculateur!X140*VLOOKUP('Données projet'!$B$9,Paramètres!$A$1:$I$89,3,0)*0.475*44/12</f>
        <v>0.63472524110593453</v>
      </c>
      <c r="AB140" s="21">
        <f>EXP(-LN(2)/2)*AB139+(1-EXP(-LN(2)/2))/(LN(2)/2)*V140*Y140*VLOOKUP('Données projet'!$B$9,Paramètres!$A$1:$I$89,3,0)*0.475*44/12</f>
        <v>4.2751202644227996E-16</v>
      </c>
      <c r="AC140" s="22">
        <f t="shared" si="111"/>
        <v>1.3811021878455785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-4.5474735088646412E-13</v>
      </c>
      <c r="AJ140" s="13">
        <f>AI140*VLOOKUP('Données projet'!$B$10,Paramètres!$A$1:$I$89,3,0)*VLOOKUP('Données projet'!$B$10,Paramètres!$A$1:$I$89,5,0)</f>
        <v>-2.7193891583010558E-13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216.94426559495264</v>
      </c>
      <c r="AO140" s="59">
        <f t="shared" si="144"/>
        <v>225.33715877618704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0.66140862748796858</v>
      </c>
      <c r="AW140" s="21">
        <f>EXP(-LN(2)/2)*AW139+(1-EXP(-LN(2)/2))/(LN(2)/2)*AQ140*AT140*VLOOKUP('Données projet'!$B$10,Paramètres!$A$1:$I$89,3,0)*0.475*44/12</f>
        <v>1.8628644493638271E-15</v>
      </c>
      <c r="AX140" s="21">
        <f t="shared" si="114"/>
        <v>0.66140862748797047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-1.0286385077051818E-13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237.22177246688199</v>
      </c>
      <c r="BJ140" s="59">
        <f t="shared" si="146"/>
        <v>149.27472147904302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0.15987642369069727</v>
      </c>
      <c r="BR140" s="21">
        <f>EXP(-LN(2)/2)*BR139+(1-EXP(-LN(2)/2))/(LN(2)/2)*BL140*BO140*VLOOKUP('Données projet'!$B$11,Paramètres!$A$1:$I$89,3,0)*0.475*44/12</f>
        <v>4.8589241952043386E-16</v>
      </c>
      <c r="BS140" s="22">
        <f t="shared" si="117"/>
        <v>0.15987642369069777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-2.8421709430404007E-14</v>
      </c>
      <c r="BZ140" s="13">
        <f>BY140*VLOOKUP('Données projet'!$B$12,Paramètres!$A$1:$I$89,3,0)*VLOOKUP('Données projet'!$B$12,Paramètres!$A$1:$I$89,5,0)</f>
        <v>-2.4829205358400945E-14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223.81948236065614</v>
      </c>
      <c r="CE140" s="59">
        <f t="shared" si="148"/>
        <v>320.1204011431372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0.36920554081342638</v>
      </c>
      <c r="CL140" s="21">
        <f>EXP(-LN(2)/25)*CL139+(1-EXP(-LN(2)/25))/(LN(2)/25)*Calculateur!CG140*Calculateur!CI140*VLOOKUP('Données projet'!$B$12,Paramètres!$A$1:$I$89,3,0)*0.475*44/12</f>
        <v>0.9107065999815952</v>
      </c>
      <c r="CM140" s="21">
        <f>EXP(-LN(2)/2)*CM139+(1-EXP(-LN(2)/2))/(LN(2)/2)*CG140*CJ140*VLOOKUP('Données projet'!$B$12,Paramètres!$A$1:$I$89,3,0)*0.475*44/12</f>
        <v>2.1800739134333302E-15</v>
      </c>
      <c r="CN140" s="22">
        <f t="shared" si="120"/>
        <v>1.2799121407950238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-5.1159076974727213E-13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168.08890945052406</v>
      </c>
      <c r="T141" s="59">
        <f t="shared" si="142"/>
        <v>182.52462557642343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0.73174095005906503</v>
      </c>
      <c r="AA141" s="21">
        <f>EXP(-LN(2)/25)*AA140+(1-EXP(-LN(2)/25))/(LN(2)/25)*Calculateur!V141*Calculateur!X141*VLOOKUP('Données projet'!$B$9,Paramètres!$A$1:$I$89,3,0)*0.475*44/12</f>
        <v>0.61736864600914299</v>
      </c>
      <c r="AB141" s="21">
        <f>EXP(-LN(2)/2)*AB140+(1-EXP(-LN(2)/2))/(LN(2)/2)*V141*Y141*VLOOKUP('Données projet'!$B$9,Paramètres!$A$1:$I$89,3,0)*0.475*44/12</f>
        <v>3.0229665293613877E-16</v>
      </c>
      <c r="AC141" s="22">
        <f t="shared" si="111"/>
        <v>1.3491095960682082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-4.5474735088646412E-13</v>
      </c>
      <c r="AJ141" s="13">
        <f>AI141*VLOOKUP('Données projet'!$B$10,Paramètres!$A$1:$I$89,3,0)*VLOOKUP('Données projet'!$B$10,Paramètres!$A$1:$I$89,5,0)</f>
        <v>-2.7193891583010558E-13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216.94426559495264</v>
      </c>
      <c r="AO141" s="59">
        <f t="shared" si="144"/>
        <v>225.33715877618704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0.64332237378734203</v>
      </c>
      <c r="AW141" s="21">
        <f>EXP(-LN(2)/2)*AW140+(1-EXP(-LN(2)/2))/(LN(2)/2)*AQ141*AT141*VLOOKUP('Données projet'!$B$10,Paramètres!$A$1:$I$89,3,0)*0.475*44/12</f>
        <v>1.3172440845765061E-15</v>
      </c>
      <c r="AX141" s="21">
        <f t="shared" si="114"/>
        <v>0.64332237378734336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-1.0286385077051818E-13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237.22177246688199</v>
      </c>
      <c r="BJ141" s="59">
        <f t="shared" si="146"/>
        <v>149.27472147904302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0.15550459447733944</v>
      </c>
      <c r="BR141" s="21">
        <f>EXP(-LN(2)/2)*BR140+(1-EXP(-LN(2)/2))/(LN(2)/2)*BL141*BO141*VLOOKUP('Données projet'!$B$11,Paramètres!$A$1:$I$89,3,0)*0.475*44/12</f>
        <v>3.4357782477003758E-16</v>
      </c>
      <c r="BS141" s="22">
        <f t="shared" si="117"/>
        <v>0.15550459447733977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-2.8421709430404007E-14</v>
      </c>
      <c r="BZ141" s="13">
        <f>BY141*VLOOKUP('Données projet'!$B$12,Paramètres!$A$1:$I$89,3,0)*VLOOKUP('Données projet'!$B$12,Paramètres!$A$1:$I$89,5,0)</f>
        <v>-2.4829205358400945E-14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223.81948236065614</v>
      </c>
      <c r="CE141" s="59">
        <f t="shared" si="148"/>
        <v>320.1204011431372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0.361965645351219</v>
      </c>
      <c r="CL141" s="21">
        <f>EXP(-LN(2)/25)*CL140+(1-EXP(-LN(2)/25))/(LN(2)/25)*Calculateur!CG141*Calculateur!CI141*VLOOKUP('Données projet'!$B$12,Paramètres!$A$1:$I$89,3,0)*0.475*44/12</f>
        <v>0.88580328011311982</v>
      </c>
      <c r="CM141" s="21">
        <f>EXP(-LN(2)/2)*CM140+(1-EXP(-LN(2)/2))/(LN(2)/2)*CG141*CJ141*VLOOKUP('Données projet'!$B$12,Paramètres!$A$1:$I$89,3,0)*0.475*44/12</f>
        <v>1.5415450476766022E-15</v>
      </c>
      <c r="CN141" s="22">
        <f t="shared" si="120"/>
        <v>1.2477689254643403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-5.1159076974727213E-13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168.08890945052406</v>
      </c>
      <c r="T142" s="59">
        <f t="shared" si="142"/>
        <v>182.52462557642343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0.71739195634631603</v>
      </c>
      <c r="AA142" s="21">
        <f>EXP(-LN(2)/25)*AA141+(1-EXP(-LN(2)/25))/(LN(2)/25)*Calculateur!V142*Calculateur!X142*VLOOKUP('Données projet'!$B$9,Paramètres!$A$1:$I$89,3,0)*0.475*44/12</f>
        <v>0.60048666791801686</v>
      </c>
      <c r="AB142" s="21">
        <f>EXP(-LN(2)/2)*AB141+(1-EXP(-LN(2)/2))/(LN(2)/2)*V142*Y142*VLOOKUP('Données projet'!$B$9,Paramètres!$A$1:$I$89,3,0)*0.475*44/12</f>
        <v>2.1375601322113998E-16</v>
      </c>
      <c r="AC142" s="22">
        <f t="shared" si="111"/>
        <v>1.3178786242643332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-4.5474735088646412E-13</v>
      </c>
      <c r="AJ142" s="13">
        <f>AI142*VLOOKUP('Données projet'!$B$10,Paramètres!$A$1:$I$89,3,0)*VLOOKUP('Données projet'!$B$10,Paramètres!$A$1:$I$89,5,0)</f>
        <v>-2.7193891583010558E-13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216.94426559495264</v>
      </c>
      <c r="AO142" s="59">
        <f t="shared" si="144"/>
        <v>225.33715877618704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0.6257306896452739</v>
      </c>
      <c r="AW142" s="21">
        <f>EXP(-LN(2)/2)*AW141+(1-EXP(-LN(2)/2))/(LN(2)/2)*AQ142*AT142*VLOOKUP('Données projet'!$B$10,Paramètres!$A$1:$I$89,3,0)*0.475*44/12</f>
        <v>9.3143222468191356E-16</v>
      </c>
      <c r="AX142" s="21">
        <f t="shared" si="114"/>
        <v>0.62573068964527478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-1.0286385077051818E-13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237.22177246688199</v>
      </c>
      <c r="BJ142" s="59">
        <f t="shared" si="146"/>
        <v>149.27472147904302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0.15125231316372539</v>
      </c>
      <c r="BR142" s="21">
        <f>EXP(-LN(2)/2)*BR141+(1-EXP(-LN(2)/2))/(LN(2)/2)*BL142*BO142*VLOOKUP('Données projet'!$B$11,Paramètres!$A$1:$I$89,3,0)*0.475*44/12</f>
        <v>2.4294620976021693E-16</v>
      </c>
      <c r="BS142" s="22">
        <f t="shared" si="117"/>
        <v>0.15125231316372564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-2.8421709430404007E-14</v>
      </c>
      <c r="BZ142" s="13">
        <f>BY142*VLOOKUP('Données projet'!$B$12,Paramètres!$A$1:$I$89,3,0)*VLOOKUP('Données projet'!$B$12,Paramètres!$A$1:$I$89,5,0)</f>
        <v>-2.4829205358400945E-14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223.81948236065614</v>
      </c>
      <c r="CE142" s="59">
        <f t="shared" si="148"/>
        <v>320.1204011431372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0.35486771982312532</v>
      </c>
      <c r="CL142" s="21">
        <f>EXP(-LN(2)/25)*CL141+(1-EXP(-LN(2)/25))/(LN(2)/25)*Calculateur!CG142*Calculateur!CI142*VLOOKUP('Données projet'!$B$12,Paramètres!$A$1:$I$89,3,0)*0.475*44/12</f>
        <v>0.86158094283605657</v>
      </c>
      <c r="CM142" s="21">
        <f>EXP(-LN(2)/2)*CM141+(1-EXP(-LN(2)/2))/(LN(2)/2)*CG142*CJ142*VLOOKUP('Données projet'!$B$12,Paramètres!$A$1:$I$89,3,0)*0.475*44/12</f>
        <v>1.0900369567166651E-15</v>
      </c>
      <c r="CN142" s="22">
        <f t="shared" si="120"/>
        <v>1.2164486626591831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-5.1159076974727213E-13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168.08890945052406</v>
      </c>
      <c r="T143" s="59">
        <f t="shared" si="142"/>
        <v>182.52462557642343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0.70332433764825208</v>
      </c>
      <c r="AA143" s="21">
        <f>EXP(-LN(2)/25)*AA142+(1-EXP(-LN(2)/25))/(LN(2)/25)*Calculateur!V143*Calculateur!X143*VLOOKUP('Données projet'!$B$9,Paramètres!$A$1:$I$89,3,0)*0.475*44/12</f>
        <v>0.58406632840557726</v>
      </c>
      <c r="AB143" s="21">
        <f>EXP(-LN(2)/2)*AB142+(1-EXP(-LN(2)/2))/(LN(2)/2)*V143*Y143*VLOOKUP('Données projet'!$B$9,Paramètres!$A$1:$I$89,3,0)*0.475*44/12</f>
        <v>1.5114832646806939E-16</v>
      </c>
      <c r="AC143" s="22">
        <f t="shared" si="111"/>
        <v>1.2873906660538295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-4.5474735088646412E-13</v>
      </c>
      <c r="AJ143" s="13">
        <f>AI143*VLOOKUP('Données projet'!$B$10,Paramètres!$A$1:$I$89,3,0)*VLOOKUP('Données projet'!$B$10,Paramètres!$A$1:$I$89,5,0)</f>
        <v>-2.7193891583010558E-13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216.94426559495264</v>
      </c>
      <c r="AO143" s="59">
        <f t="shared" si="144"/>
        <v>225.33715877618704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0.608620051031177</v>
      </c>
      <c r="AW143" s="21">
        <f>EXP(-LN(2)/2)*AW142+(1-EXP(-LN(2)/2))/(LN(2)/2)*AQ143*AT143*VLOOKUP('Données projet'!$B$10,Paramètres!$A$1:$I$89,3,0)*0.475*44/12</f>
        <v>6.5862204228825304E-16</v>
      </c>
      <c r="AX143" s="21">
        <f t="shared" si="114"/>
        <v>0.60862005103117767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-1.0286385077051818E-13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237.22177246688199</v>
      </c>
      <c r="BJ143" s="59">
        <f t="shared" si="146"/>
        <v>149.27472147904302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0.14711631070624986</v>
      </c>
      <c r="BR143" s="21">
        <f>EXP(-LN(2)/2)*BR142+(1-EXP(-LN(2)/2))/(LN(2)/2)*BL143*BO143*VLOOKUP('Données projet'!$B$11,Paramètres!$A$1:$I$89,3,0)*0.475*44/12</f>
        <v>1.7178891238501879E-16</v>
      </c>
      <c r="BS143" s="22">
        <f t="shared" si="117"/>
        <v>0.14711631070625003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-2.8421709430404007E-14</v>
      </c>
      <c r="BZ143" s="13">
        <f>BY143*VLOOKUP('Données projet'!$B$12,Paramètres!$A$1:$I$89,3,0)*VLOOKUP('Données projet'!$B$12,Paramètres!$A$1:$I$89,5,0)</f>
        <v>-2.4829205358400945E-14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223.81948236065614</v>
      </c>
      <c r="CE143" s="59">
        <f t="shared" si="148"/>
        <v>320.1204011431372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0.34790898028533046</v>
      </c>
      <c r="CL143" s="21">
        <f>EXP(-LN(2)/25)*CL142+(1-EXP(-LN(2)/25))/(LN(2)/25)*Calculateur!CG143*Calculateur!CI143*VLOOKUP('Données projet'!$B$12,Paramètres!$A$1:$I$89,3,0)*0.475*44/12</f>
        <v>0.83802096664563197</v>
      </c>
      <c r="CM143" s="21">
        <f>EXP(-LN(2)/2)*CM142+(1-EXP(-LN(2)/2))/(LN(2)/2)*CG143*CJ143*VLOOKUP('Données projet'!$B$12,Paramètres!$A$1:$I$89,3,0)*0.475*44/12</f>
        <v>7.7077252383830108E-16</v>
      </c>
      <c r="CN143" s="22">
        <f t="shared" si="120"/>
        <v>1.185929946930963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-5.1159076974727213E-13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168.08890945052406</v>
      </c>
      <c r="T144" s="59">
        <f t="shared" si="142"/>
        <v>182.52462557642343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0.68953257637245702</v>
      </c>
      <c r="AA144" s="21">
        <f>EXP(-LN(2)/25)*AA143+(1-EXP(-LN(2)/25))/(LN(2)/25)*Calculateur!V144*Calculateur!X144*VLOOKUP('Données projet'!$B$9,Paramètres!$A$1:$I$89,3,0)*0.475*44/12</f>
        <v>0.56809500394061341</v>
      </c>
      <c r="AB144" s="21">
        <f>EXP(-LN(2)/2)*AB143+(1-EXP(-LN(2)/2))/(LN(2)/2)*V144*Y144*VLOOKUP('Données projet'!$B$9,Paramètres!$A$1:$I$89,3,0)*0.475*44/12</f>
        <v>1.0687800661056999E-16</v>
      </c>
      <c r="AC144" s="22">
        <f t="shared" si="111"/>
        <v>1.2576275803130703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-4.5474735088646412E-13</v>
      </c>
      <c r="AJ144" s="13">
        <f>AI144*VLOOKUP('Données projet'!$B$10,Paramètres!$A$1:$I$89,3,0)*VLOOKUP('Données projet'!$B$10,Paramètres!$A$1:$I$89,5,0)</f>
        <v>-2.7193891583010558E-13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216.94426559495264</v>
      </c>
      <c r="AO144" s="59">
        <f t="shared" si="144"/>
        <v>225.33715877618704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0.59197730372979196</v>
      </c>
      <c r="AW144" s="21">
        <f>EXP(-LN(2)/2)*AW143+(1-EXP(-LN(2)/2))/(LN(2)/2)*AQ144*AT144*VLOOKUP('Données projet'!$B$10,Paramètres!$A$1:$I$89,3,0)*0.475*44/12</f>
        <v>4.6571611234095678E-16</v>
      </c>
      <c r="AX144" s="21">
        <f t="shared" si="114"/>
        <v>0.5919773037297924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-1.0286385077051818E-13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237.22177246688199</v>
      </c>
      <c r="BJ144" s="59">
        <f t="shared" si="146"/>
        <v>149.27472147904302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0.14309340745347693</v>
      </c>
      <c r="BR144" s="21">
        <f>EXP(-LN(2)/2)*BR143+(1-EXP(-LN(2)/2))/(LN(2)/2)*BL144*BO144*VLOOKUP('Données projet'!$B$11,Paramètres!$A$1:$I$89,3,0)*0.475*44/12</f>
        <v>1.2147310488010846E-16</v>
      </c>
      <c r="BS144" s="22">
        <f t="shared" si="117"/>
        <v>0.14309340745347704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-2.8421709430404007E-14</v>
      </c>
      <c r="BZ144" s="13">
        <f>BY144*VLOOKUP('Données projet'!$B$12,Paramètres!$A$1:$I$89,3,0)*VLOOKUP('Données projet'!$B$12,Paramètres!$A$1:$I$89,5,0)</f>
        <v>-2.4829205358400945E-14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223.81948236065614</v>
      </c>
      <c r="CE144" s="59">
        <f t="shared" si="148"/>
        <v>320.1204011431372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0.34108669738545977</v>
      </c>
      <c r="CL144" s="21">
        <f>EXP(-LN(2)/25)*CL143+(1-EXP(-LN(2)/25))/(LN(2)/25)*Calculateur!CG144*Calculateur!CI144*VLOOKUP('Données projet'!$B$12,Paramètres!$A$1:$I$89,3,0)*0.475*44/12</f>
        <v>0.81510523924309985</v>
      </c>
      <c r="CM144" s="21">
        <f>EXP(-LN(2)/2)*CM143+(1-EXP(-LN(2)/2))/(LN(2)/2)*CG144*CJ144*VLOOKUP('Données projet'!$B$12,Paramètres!$A$1:$I$89,3,0)*0.475*44/12</f>
        <v>5.4501847835833254E-16</v>
      </c>
      <c r="CN144" s="22">
        <f t="shared" si="120"/>
        <v>1.15619193662856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-5.1159076974727213E-13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168.08890945052406</v>
      </c>
      <c r="T145" s="59">
        <f t="shared" si="142"/>
        <v>182.52462557642343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0.67601126312313653</v>
      </c>
      <c r="AA145" s="21">
        <f>EXP(-LN(2)/25)*AA144+(1-EXP(-LN(2)/25))/(LN(2)/25)*Calculateur!V145*Calculateur!X145*VLOOKUP('Données projet'!$B$9,Paramètres!$A$1:$I$89,3,0)*0.475*44/12</f>
        <v>0.55256041618303953</v>
      </c>
      <c r="AB145" s="21">
        <f>EXP(-LN(2)/2)*AB144+(1-EXP(-LN(2)/2))/(LN(2)/2)*V145*Y145*VLOOKUP('Données projet'!$B$9,Paramètres!$A$1:$I$89,3,0)*0.475*44/12</f>
        <v>7.5574163234034693E-17</v>
      </c>
      <c r="AC145" s="22">
        <f t="shared" si="111"/>
        <v>1.2285716793061761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-4.5474735088646412E-13</v>
      </c>
      <c r="AJ145" s="13">
        <f>AI145*VLOOKUP('Données projet'!$B$10,Paramètres!$A$1:$I$89,3,0)*VLOOKUP('Données projet'!$B$10,Paramètres!$A$1:$I$89,5,0)</f>
        <v>-2.7193891583010558E-13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216.94426559495264</v>
      </c>
      <c r="AO145" s="59">
        <f t="shared" si="144"/>
        <v>225.33715877618704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0.57578965322856734</v>
      </c>
      <c r="AW145" s="21">
        <f>EXP(-LN(2)/2)*AW144+(1-EXP(-LN(2)/2))/(LN(2)/2)*AQ145*AT145*VLOOKUP('Données projet'!$B$10,Paramètres!$A$1:$I$89,3,0)*0.475*44/12</f>
        <v>3.2931102114412652E-16</v>
      </c>
      <c r="AX145" s="21">
        <f t="shared" si="114"/>
        <v>0.57578965322856768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-1.0286385077051818E-13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237.22177246688199</v>
      </c>
      <c r="BJ145" s="59">
        <f t="shared" si="146"/>
        <v>149.27472147904302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0.13918051070170634</v>
      </c>
      <c r="BR145" s="21">
        <f>EXP(-LN(2)/2)*BR144+(1-EXP(-LN(2)/2))/(LN(2)/2)*BL145*BO145*VLOOKUP('Données projet'!$B$11,Paramètres!$A$1:$I$89,3,0)*0.475*44/12</f>
        <v>8.5894456192509395E-17</v>
      </c>
      <c r="BS145" s="22">
        <f t="shared" si="117"/>
        <v>0.13918051070170642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-2.8421709430404007E-14</v>
      </c>
      <c r="BZ145" s="13">
        <f>BY145*VLOOKUP('Données projet'!$B$12,Paramètres!$A$1:$I$89,3,0)*VLOOKUP('Données projet'!$B$12,Paramètres!$A$1:$I$89,5,0)</f>
        <v>-2.4829205358400945E-14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223.81948236065614</v>
      </c>
      <c r="CE145" s="59">
        <f t="shared" si="148"/>
        <v>320.1204011431372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0.33439819529207382</v>
      </c>
      <c r="CL145" s="21">
        <f>EXP(-LN(2)/25)*CL144+(1-EXP(-LN(2)/25))/(LN(2)/25)*Calculateur!CG145*Calculateur!CI145*VLOOKUP('Données projet'!$B$12,Paramètres!$A$1:$I$89,3,0)*0.475*44/12</f>
        <v>0.79281614361147568</v>
      </c>
      <c r="CM145" s="21">
        <f>EXP(-LN(2)/2)*CM144+(1-EXP(-LN(2)/2))/(LN(2)/2)*CG145*CJ145*VLOOKUP('Données projet'!$B$12,Paramètres!$A$1:$I$89,3,0)*0.475*44/12</f>
        <v>3.8538626191915054E-16</v>
      </c>
      <c r="CN145" s="22">
        <f t="shared" si="120"/>
        <v>1.1272143389035501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-5.1159076974727213E-13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168.08890945052406</v>
      </c>
      <c r="T146" s="59">
        <f t="shared" si="142"/>
        <v>182.52462557642343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0.66275509457944848</v>
      </c>
      <c r="AA146" s="21">
        <f>EXP(-LN(2)/25)*AA145+(1-EXP(-LN(2)/25))/(LN(2)/25)*Calculateur!V146*Calculateur!X146*VLOOKUP('Données projet'!$B$9,Paramètres!$A$1:$I$89,3,0)*0.475*44/12</f>
        <v>0.53745062254462495</v>
      </c>
      <c r="AB146" s="21">
        <f>EXP(-LN(2)/2)*AB145+(1-EXP(-LN(2)/2))/(LN(2)/2)*V146*Y146*VLOOKUP('Données projet'!$B$9,Paramètres!$A$1:$I$89,3,0)*0.475*44/12</f>
        <v>5.3439003305284995E-17</v>
      </c>
      <c r="AC146" s="22">
        <f t="shared" si="111"/>
        <v>1.2002057171240734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-4.5474735088646412E-13</v>
      </c>
      <c r="AJ146" s="13">
        <f>AI146*VLOOKUP('Données projet'!$B$10,Paramètres!$A$1:$I$89,3,0)*VLOOKUP('Données projet'!$B$10,Paramètres!$A$1:$I$89,5,0)</f>
        <v>-2.7193891583010558E-13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216.94426559495264</v>
      </c>
      <c r="AO146" s="59">
        <f t="shared" si="144"/>
        <v>225.33715877618704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0.56004465488157029</v>
      </c>
      <c r="AW146" s="21">
        <f>EXP(-LN(2)/2)*AW145+(1-EXP(-LN(2)/2))/(LN(2)/2)*AQ146*AT146*VLOOKUP('Données projet'!$B$10,Paramètres!$A$1:$I$89,3,0)*0.475*44/12</f>
        <v>2.3285805617047839E-16</v>
      </c>
      <c r="AX146" s="21">
        <f t="shared" si="114"/>
        <v>0.56004465488157051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-1.0286385077051818E-13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237.22177246688199</v>
      </c>
      <c r="BJ146" s="59">
        <f t="shared" si="146"/>
        <v>149.27472147904302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0.13537461231738324</v>
      </c>
      <c r="BR146" s="21">
        <f>EXP(-LN(2)/2)*BR145+(1-EXP(-LN(2)/2))/(LN(2)/2)*BL146*BO146*VLOOKUP('Données projet'!$B$11,Paramètres!$A$1:$I$89,3,0)*0.475*44/12</f>
        <v>6.0736552440054232E-17</v>
      </c>
      <c r="BS146" s="22">
        <f t="shared" si="117"/>
        <v>0.13537461231738329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-2.8421709430404007E-14</v>
      </c>
      <c r="BZ146" s="13">
        <f>BY146*VLOOKUP('Données projet'!$B$12,Paramètres!$A$1:$I$89,3,0)*VLOOKUP('Données projet'!$B$12,Paramètres!$A$1:$I$89,5,0)</f>
        <v>-2.4829205358400945E-14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223.81948236065614</v>
      </c>
      <c r="CE146" s="59">
        <f t="shared" si="148"/>
        <v>320.1204011431372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0.32784085064515572</v>
      </c>
      <c r="CL146" s="21">
        <f>EXP(-LN(2)/25)*CL145+(1-EXP(-LN(2)/25))/(LN(2)/25)*Calculateur!CG146*Calculateur!CI146*VLOOKUP('Données projet'!$B$12,Paramètres!$A$1:$I$89,3,0)*0.475*44/12</f>
        <v>0.77113654447203084</v>
      </c>
      <c r="CM146" s="21">
        <f>EXP(-LN(2)/2)*CM145+(1-EXP(-LN(2)/2))/(LN(2)/2)*CG146*CJ146*VLOOKUP('Données projet'!$B$12,Paramètres!$A$1:$I$89,3,0)*0.475*44/12</f>
        <v>2.7250923917916627E-16</v>
      </c>
      <c r="CN146" s="22">
        <f t="shared" si="120"/>
        <v>1.0989773951171868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-5.1159076974727213E-13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168.08890945052406</v>
      </c>
      <c r="T147" s="59">
        <f t="shared" si="142"/>
        <v>182.52462557642343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0.64975887141543776</v>
      </c>
      <c r="AA147" s="21">
        <f>EXP(-LN(2)/25)*AA146+(1-EXP(-LN(2)/25))/(LN(2)/25)*Calculateur!V147*Calculateur!X147*VLOOKUP('Données projet'!$B$9,Paramètres!$A$1:$I$89,3,0)*0.475*44/12</f>
        <v>0.52275400700784225</v>
      </c>
      <c r="AB147" s="21">
        <f>EXP(-LN(2)/2)*AB146+(1-EXP(-LN(2)/2))/(LN(2)/2)*V147*Y147*VLOOKUP('Données projet'!$B$9,Paramètres!$A$1:$I$89,3,0)*0.475*44/12</f>
        <v>3.7787081617017347E-17</v>
      </c>
      <c r="AC147" s="22">
        <f t="shared" si="111"/>
        <v>1.1725128784232801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-4.5474735088646412E-13</v>
      </c>
      <c r="AJ147" s="13">
        <f>AI147*VLOOKUP('Données projet'!$B$10,Paramètres!$A$1:$I$89,3,0)*VLOOKUP('Données projet'!$B$10,Paramètres!$A$1:$I$89,5,0)</f>
        <v>-2.7193891583010558E-13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216.94426559495264</v>
      </c>
      <c r="AO147" s="59">
        <f t="shared" si="144"/>
        <v>225.33715877618704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0.5447302043423653</v>
      </c>
      <c r="AW147" s="21">
        <f>EXP(-LN(2)/2)*AW146+(1-EXP(-LN(2)/2))/(LN(2)/2)*AQ147*AT147*VLOOKUP('Données projet'!$B$10,Paramètres!$A$1:$I$89,3,0)*0.475*44/12</f>
        <v>1.6465551057206326E-16</v>
      </c>
      <c r="AX147" s="21">
        <f t="shared" si="114"/>
        <v>0.54473020434236541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-1.0286385077051818E-13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237.22177246688199</v>
      </c>
      <c r="BJ147" s="59">
        <f t="shared" si="146"/>
        <v>149.27472147904302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0.13167278642452293</v>
      </c>
      <c r="BR147" s="21">
        <f>EXP(-LN(2)/2)*BR146+(1-EXP(-LN(2)/2))/(LN(2)/2)*BL147*BO147*VLOOKUP('Données projet'!$B$11,Paramètres!$A$1:$I$89,3,0)*0.475*44/12</f>
        <v>4.2947228096254698E-17</v>
      </c>
      <c r="BS147" s="22">
        <f t="shared" si="117"/>
        <v>0.13167278642452299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-2.8421709430404007E-14</v>
      </c>
      <c r="BZ147" s="13">
        <f>BY147*VLOOKUP('Données projet'!$B$12,Paramètres!$A$1:$I$89,3,0)*VLOOKUP('Données projet'!$B$12,Paramètres!$A$1:$I$89,5,0)</f>
        <v>-2.4829205358400945E-14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223.81948236065614</v>
      </c>
      <c r="CE147" s="59">
        <f t="shared" si="148"/>
        <v>320.1204011431372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0.32141209152717837</v>
      </c>
      <c r="CL147" s="21">
        <f>EXP(-LN(2)/25)*CL146+(1-EXP(-LN(2)/25))/(LN(2)/25)*Calculateur!CG147*Calculateur!CI147*VLOOKUP('Données projet'!$B$12,Paramètres!$A$1:$I$89,3,0)*0.475*44/12</f>
        <v>0.75004977511113469</v>
      </c>
      <c r="CM147" s="21">
        <f>EXP(-LN(2)/2)*CM146+(1-EXP(-LN(2)/2))/(LN(2)/2)*CG147*CJ147*VLOOKUP('Données projet'!$B$12,Paramètres!$A$1:$I$89,3,0)*0.475*44/12</f>
        <v>1.9269313095957527E-16</v>
      </c>
      <c r="CN147" s="22">
        <f t="shared" si="120"/>
        <v>1.0714618666383133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-5.1159076974727213E-13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168.08890945052406</v>
      </c>
      <c r="T148" s="59">
        <f t="shared" si="142"/>
        <v>182.52462557642343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0.63701749626075987</v>
      </c>
      <c r="AA148" s="21">
        <f>EXP(-LN(2)/25)*AA147+(1-EXP(-LN(2)/25))/(LN(2)/25)*Calculateur!V148*Calculateur!X148*VLOOKUP('Données projet'!$B$9,Paramètres!$A$1:$I$89,3,0)*0.475*44/12</f>
        <v>0.50845927119577439</v>
      </c>
      <c r="AB148" s="21">
        <f>EXP(-LN(2)/2)*AB147+(1-EXP(-LN(2)/2))/(LN(2)/2)*V148*Y148*VLOOKUP('Données projet'!$B$9,Paramètres!$A$1:$I$89,3,0)*0.475*44/12</f>
        <v>2.6719501652642498E-17</v>
      </c>
      <c r="AC148" s="22">
        <f t="shared" si="111"/>
        <v>1.1454767674565343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-4.5474735088646412E-13</v>
      </c>
      <c r="AJ148" s="13">
        <f>AI148*VLOOKUP('Données projet'!$B$10,Paramètres!$A$1:$I$89,3,0)*VLOOKUP('Données projet'!$B$10,Paramètres!$A$1:$I$89,5,0)</f>
        <v>-2.7193891583010558E-13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216.94426559495264</v>
      </c>
      <c r="AO148" s="59">
        <f t="shared" si="144"/>
        <v>225.33715877618704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0.52983452825850685</v>
      </c>
      <c r="AW148" s="21">
        <f>EXP(-LN(2)/2)*AW147+(1-EXP(-LN(2)/2))/(LN(2)/2)*AQ148*AT148*VLOOKUP('Données projet'!$B$10,Paramètres!$A$1:$I$89,3,0)*0.475*44/12</f>
        <v>1.1642902808523919E-16</v>
      </c>
      <c r="AX148" s="21">
        <f t="shared" si="114"/>
        <v>0.52983452825850696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-1.0286385077051818E-13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237.22177246688199</v>
      </c>
      <c r="BJ148" s="59">
        <f t="shared" si="146"/>
        <v>149.27472147904302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0.12807218715537347</v>
      </c>
      <c r="BR148" s="21">
        <f>EXP(-LN(2)/2)*BR147+(1-EXP(-LN(2)/2))/(LN(2)/2)*BL148*BO148*VLOOKUP('Données projet'!$B$11,Paramètres!$A$1:$I$89,3,0)*0.475*44/12</f>
        <v>3.0368276220027116E-17</v>
      </c>
      <c r="BS148" s="22">
        <f t="shared" si="117"/>
        <v>0.1280721871553735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-2.8421709430404007E-14</v>
      </c>
      <c r="BZ148" s="13">
        <f>BY148*VLOOKUP('Données projet'!$B$12,Paramètres!$A$1:$I$89,3,0)*VLOOKUP('Données projet'!$B$12,Paramètres!$A$1:$I$89,5,0)</f>
        <v>-2.4829205358400945E-14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223.81948236065614</v>
      </c>
      <c r="CE148" s="59">
        <f t="shared" si="148"/>
        <v>320.1204011431372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0.31510939645434871</v>
      </c>
      <c r="CL148" s="21">
        <f>EXP(-LN(2)/25)*CL147+(1-EXP(-LN(2)/25))/(LN(2)/25)*Calculateur!CG148*Calculateur!CI148*VLOOKUP('Données projet'!$B$12,Paramètres!$A$1:$I$89,3,0)*0.475*44/12</f>
        <v>0.72953962456731725</v>
      </c>
      <c r="CM148" s="21">
        <f>EXP(-LN(2)/2)*CM147+(1-EXP(-LN(2)/2))/(LN(2)/2)*CG148*CJ148*VLOOKUP('Données projet'!$B$12,Paramètres!$A$1:$I$89,3,0)*0.475*44/12</f>
        <v>1.3625461958958313E-16</v>
      </c>
      <c r="CN148" s="22">
        <f t="shared" si="120"/>
        <v>1.0446490210216661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-5.1159076974727213E-13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168.08890945052406</v>
      </c>
      <c r="T149" s="59">
        <f t="shared" si="142"/>
        <v>182.52462557642343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0.62452597170139368</v>
      </c>
      <c r="AA149" s="21">
        <f>EXP(-LN(2)/25)*AA148+(1-EXP(-LN(2)/25))/(LN(2)/25)*Calculateur!V149*Calculateur!X149*VLOOKUP('Données projet'!$B$9,Paramètres!$A$1:$I$89,3,0)*0.475*44/12</f>
        <v>0.49455542568621497</v>
      </c>
      <c r="AB149" s="21">
        <f>EXP(-LN(2)/2)*AB148+(1-EXP(-LN(2)/2))/(LN(2)/2)*V149*Y149*VLOOKUP('Données projet'!$B$9,Paramètres!$A$1:$I$89,3,0)*0.475*44/12</f>
        <v>1.8893540808508673E-17</v>
      </c>
      <c r="AC149" s="22">
        <f t="shared" si="111"/>
        <v>1.1190813973876086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-4.5474735088646412E-13</v>
      </c>
      <c r="AJ149" s="13">
        <f>AI149*VLOOKUP('Données projet'!$B$10,Paramètres!$A$1:$I$89,3,0)*VLOOKUP('Données projet'!$B$10,Paramètres!$A$1:$I$89,5,0)</f>
        <v>-2.7193891583010558E-13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216.94426559495264</v>
      </c>
      <c r="AO149" s="59">
        <f t="shared" si="144"/>
        <v>225.33715877618704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0.51534617522049109</v>
      </c>
      <c r="AW149" s="21">
        <f>EXP(-LN(2)/2)*AW148+(1-EXP(-LN(2)/2))/(LN(2)/2)*AQ149*AT149*VLOOKUP('Données projet'!$B$10,Paramètres!$A$1:$I$89,3,0)*0.475*44/12</f>
        <v>8.232775528603163E-17</v>
      </c>
      <c r="AX149" s="21">
        <f t="shared" si="114"/>
        <v>0.5153461752204912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-1.0286385077051818E-13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237.22177246688199</v>
      </c>
      <c r="BJ149" s="59">
        <f t="shared" si="146"/>
        <v>149.27472147904302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0.12457004646258617</v>
      </c>
      <c r="BR149" s="21">
        <f>EXP(-LN(2)/2)*BR148+(1-EXP(-LN(2)/2))/(LN(2)/2)*BL149*BO149*VLOOKUP('Données projet'!$B$11,Paramètres!$A$1:$I$89,3,0)*0.475*44/12</f>
        <v>2.1473614048127349E-17</v>
      </c>
      <c r="BS149" s="22">
        <f t="shared" si="117"/>
        <v>0.1245700464625862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-2.8421709430404007E-14</v>
      </c>
      <c r="BZ149" s="13">
        <f>BY149*VLOOKUP('Données projet'!$B$12,Paramètres!$A$1:$I$89,3,0)*VLOOKUP('Données projet'!$B$12,Paramètres!$A$1:$I$89,5,0)</f>
        <v>-2.4829205358400945E-14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223.81948236065614</v>
      </c>
      <c r="CE149" s="59">
        <f t="shared" si="148"/>
        <v>320.1204011431372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0.30893029338763284</v>
      </c>
      <c r="CL149" s="21">
        <f>EXP(-LN(2)/25)*CL148+(1-EXP(-LN(2)/25))/(LN(2)/25)*Calculateur!CG149*Calculateur!CI149*VLOOKUP('Données projet'!$B$12,Paramètres!$A$1:$I$89,3,0)*0.475*44/12</f>
        <v>0.70959032516870246</v>
      </c>
      <c r="CM149" s="21">
        <f>EXP(-LN(2)/2)*CM148+(1-EXP(-LN(2)/2))/(LN(2)/2)*CG149*CJ149*VLOOKUP('Données projet'!$B$12,Paramètres!$A$1:$I$89,3,0)*0.475*44/12</f>
        <v>9.6346565479787636E-17</v>
      </c>
      <c r="CN149" s="22">
        <f t="shared" si="120"/>
        <v>1.0185206185563354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-5.1159076974727213E-13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168.08890945052406</v>
      </c>
      <c r="T150" s="59">
        <f t="shared" si="142"/>
        <v>182.52462557642343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0.61227939831955902</v>
      </c>
      <c r="AA150" s="21">
        <f>EXP(-LN(2)/25)*AA149+(1-EXP(-LN(2)/25))/(LN(2)/25)*Calculateur!V150*Calculateur!X150*VLOOKUP('Données projet'!$B$9,Paramètres!$A$1:$I$89,3,0)*0.475*44/12</f>
        <v>0.48103178156328591</v>
      </c>
      <c r="AB150" s="21">
        <f>EXP(-LN(2)/2)*AB149+(1-EXP(-LN(2)/2))/(LN(2)/2)*V150*Y150*VLOOKUP('Données projet'!$B$9,Paramètres!$A$1:$I$89,3,0)*0.475*44/12</f>
        <v>1.3359750826321249E-17</v>
      </c>
      <c r="AC150" s="22">
        <f t="shared" si="111"/>
        <v>1.093311179882845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-4.5474735088646412E-13</v>
      </c>
      <c r="AJ150" s="13">
        <f>AI150*VLOOKUP('Données projet'!$B$10,Paramètres!$A$1:$I$89,3,0)*VLOOKUP('Données projet'!$B$10,Paramètres!$A$1:$I$89,5,0)</f>
        <v>-2.7193891583010558E-13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216.94426559495264</v>
      </c>
      <c r="AO150" s="59">
        <f t="shared" si="144"/>
        <v>225.33715877618704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0.50125400695820921</v>
      </c>
      <c r="AW150" s="21">
        <f>EXP(-LN(2)/2)*AW149+(1-EXP(-LN(2)/2))/(LN(2)/2)*AQ150*AT150*VLOOKUP('Données projet'!$B$10,Paramètres!$A$1:$I$89,3,0)*0.475*44/12</f>
        <v>5.8214514042619597E-17</v>
      </c>
      <c r="AX150" s="21">
        <f t="shared" si="114"/>
        <v>0.50125400695820932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-1.0286385077051818E-13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237.22177246688199</v>
      </c>
      <c r="BJ150" s="59">
        <f t="shared" si="146"/>
        <v>149.27472147904302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0.12116367199121271</v>
      </c>
      <c r="BR150" s="21">
        <f>EXP(-LN(2)/2)*BR149+(1-EXP(-LN(2)/2))/(LN(2)/2)*BL150*BO150*VLOOKUP('Données projet'!$B$11,Paramètres!$A$1:$I$89,3,0)*0.475*44/12</f>
        <v>1.5184138110013558E-17</v>
      </c>
      <c r="BS150" s="22">
        <f t="shared" si="117"/>
        <v>0.12116367199121272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-2.8421709430404007E-14</v>
      </c>
      <c r="BZ150" s="13">
        <f>BY150*VLOOKUP('Données projet'!$B$12,Paramètres!$A$1:$I$89,3,0)*VLOOKUP('Données projet'!$B$12,Paramètres!$A$1:$I$89,5,0)</f>
        <v>-2.4829205358400945E-14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223.81948236065614</v>
      </c>
      <c r="CE150" s="59">
        <f t="shared" si="148"/>
        <v>320.1204011431372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0.30287235876317453</v>
      </c>
      <c r="CL150" s="21">
        <f>EXP(-LN(2)/25)*CL149+(1-EXP(-LN(2)/25))/(LN(2)/25)*Calculateur!CG150*Calculateur!CI150*VLOOKUP('Données projet'!$B$12,Paramètres!$A$1:$I$89,3,0)*0.475*44/12</f>
        <v>0.69018654041123084</v>
      </c>
      <c r="CM150" s="21">
        <f>EXP(-LN(2)/2)*CM149+(1-EXP(-LN(2)/2))/(LN(2)/2)*CG150*CJ150*VLOOKUP('Données projet'!$B$12,Paramètres!$A$1:$I$89,3,0)*0.475*44/12</f>
        <v>6.8127309794791567E-17</v>
      </c>
      <c r="CN150" s="22">
        <f t="shared" si="120"/>
        <v>0.99305889917440548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-5.1159076974727213E-13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168.08890945052406</v>
      </c>
      <c r="T151" s="59">
        <f t="shared" si="142"/>
        <v>182.52462557642343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0.60027297277206992</v>
      </c>
      <c r="AA151" s="21">
        <f>EXP(-LN(2)/25)*AA150+(1-EXP(-LN(2)/25))/(LN(2)/25)*Calculateur!V151*Calculateur!X151*VLOOKUP('Données projet'!$B$9,Paramètres!$A$1:$I$89,3,0)*0.475*44/12</f>
        <v>0.46787794220007589</v>
      </c>
      <c r="AB151" s="21">
        <f>EXP(-LN(2)/2)*AB150+(1-EXP(-LN(2)/2))/(LN(2)/2)*V151*Y151*VLOOKUP('Données projet'!$B$9,Paramètres!$A$1:$I$89,3,0)*0.475*44/12</f>
        <v>9.4467704042543367E-18</v>
      </c>
      <c r="AC151" s="22">
        <f t="shared" si="111"/>
        <v>1.0681509149721458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-4.5474735088646412E-13</v>
      </c>
      <c r="AJ151" s="13">
        <f>AI151*VLOOKUP('Données projet'!$B$10,Paramètres!$A$1:$I$89,3,0)*VLOOKUP('Données projet'!$B$10,Paramètres!$A$1:$I$89,5,0)</f>
        <v>-2.7193891583010558E-13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216.94426559495264</v>
      </c>
      <c r="AO151" s="59">
        <f t="shared" si="144"/>
        <v>225.33715877618704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0.48754718977813438</v>
      </c>
      <c r="AW151" s="21">
        <f>EXP(-LN(2)/2)*AW150+(1-EXP(-LN(2)/2))/(LN(2)/2)*AQ151*AT151*VLOOKUP('Données projet'!$B$10,Paramètres!$A$1:$I$89,3,0)*0.475*44/12</f>
        <v>4.1163877643015815E-17</v>
      </c>
      <c r="AX151" s="21">
        <f t="shared" si="114"/>
        <v>0.48754718977813444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-1.0286385077051818E-13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237.22177246688199</v>
      </c>
      <c r="BJ151" s="59">
        <f t="shared" si="146"/>
        <v>149.27472147904302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0.11785044500889241</v>
      </c>
      <c r="BR151" s="21">
        <f>EXP(-LN(2)/2)*BR150+(1-EXP(-LN(2)/2))/(LN(2)/2)*BL151*BO151*VLOOKUP('Données projet'!$B$11,Paramètres!$A$1:$I$89,3,0)*0.475*44/12</f>
        <v>1.0736807024063674E-17</v>
      </c>
      <c r="BS151" s="22">
        <f t="shared" si="117"/>
        <v>0.11785044500889243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-2.8421709430404007E-14</v>
      </c>
      <c r="BZ151" s="13">
        <f>BY151*VLOOKUP('Données projet'!$B$12,Paramètres!$A$1:$I$89,3,0)*VLOOKUP('Données projet'!$B$12,Paramètres!$A$1:$I$89,5,0)</f>
        <v>-2.4829205358400945E-14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223.81948236065614</v>
      </c>
      <c r="CE151" s="59">
        <f t="shared" si="148"/>
        <v>320.1204011431372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0.29693321654172655</v>
      </c>
      <c r="CL151" s="21">
        <f>EXP(-LN(2)/25)*CL150+(1-EXP(-LN(2)/25))/(LN(2)/25)*Calculateur!CG151*Calculateur!CI151*VLOOKUP('Données projet'!$B$12,Paramètres!$A$1:$I$89,3,0)*0.475*44/12</f>
        <v>0.67131335316835306</v>
      </c>
      <c r="CM151" s="21">
        <f>EXP(-LN(2)/2)*CM150+(1-EXP(-LN(2)/2))/(LN(2)/2)*CG151*CJ151*VLOOKUP('Données projet'!$B$12,Paramètres!$A$1:$I$89,3,0)*0.475*44/12</f>
        <v>4.8173282739893818E-17</v>
      </c>
      <c r="CN151" s="22">
        <f t="shared" si="120"/>
        <v>0.96824656971007961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-5.1159076974727213E-13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168.08890945052406</v>
      </c>
      <c r="T152" s="59">
        <f t="shared" si="142"/>
        <v>182.52462557642343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0.58850198590637071</v>
      </c>
      <c r="AA152" s="21">
        <f>EXP(-LN(2)/25)*AA151+(1-EXP(-LN(2)/25))/(LN(2)/25)*Calculateur!V152*Calculateur!X152*VLOOKUP('Données projet'!$B$9,Paramètres!$A$1:$I$89,3,0)*0.475*44/12</f>
        <v>0.45508379526598319</v>
      </c>
      <c r="AB152" s="21">
        <f>EXP(-LN(2)/2)*AB151+(1-EXP(-LN(2)/2))/(LN(2)/2)*V152*Y152*VLOOKUP('Données projet'!$B$9,Paramètres!$A$1:$I$89,3,0)*0.475*44/12</f>
        <v>6.6798754131606244E-18</v>
      </c>
      <c r="AC152" s="22">
        <f t="shared" si="111"/>
        <v>1.0435857811723539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-4.5474735088646412E-13</v>
      </c>
      <c r="AJ152" s="13">
        <f>AI152*VLOOKUP('Données projet'!$B$10,Paramètres!$A$1:$I$89,3,0)*VLOOKUP('Données projet'!$B$10,Paramètres!$A$1:$I$89,5,0)</f>
        <v>-2.7193891583010558E-13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216.94426559495264</v>
      </c>
      <c r="AO152" s="59">
        <f t="shared" si="144"/>
        <v>225.33715877618704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0.47421518623465891</v>
      </c>
      <c r="AW152" s="21">
        <f>EXP(-LN(2)/2)*AW151+(1-EXP(-LN(2)/2))/(LN(2)/2)*AQ152*AT152*VLOOKUP('Données projet'!$B$10,Paramètres!$A$1:$I$89,3,0)*0.475*44/12</f>
        <v>2.9107257021309799E-17</v>
      </c>
      <c r="AX152" s="21">
        <f t="shared" si="114"/>
        <v>0.47421518623465897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-1.0286385077051818E-13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237.22177246688199</v>
      </c>
      <c r="BJ152" s="59">
        <f t="shared" si="146"/>
        <v>149.27472147904302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0.11462781839263869</v>
      </c>
      <c r="BR152" s="21">
        <f>EXP(-LN(2)/2)*BR151+(1-EXP(-LN(2)/2))/(LN(2)/2)*BL152*BO152*VLOOKUP('Données projet'!$B$11,Paramètres!$A$1:$I$89,3,0)*0.475*44/12</f>
        <v>7.592069055006779E-18</v>
      </c>
      <c r="BS152" s="22">
        <f t="shared" si="117"/>
        <v>0.11462781839263871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-2.8421709430404007E-14</v>
      </c>
      <c r="BZ152" s="13">
        <f>BY152*VLOOKUP('Données projet'!$B$12,Paramètres!$A$1:$I$89,3,0)*VLOOKUP('Données projet'!$B$12,Paramètres!$A$1:$I$89,5,0)</f>
        <v>-2.4829205358400945E-14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223.81948236065614</v>
      </c>
      <c r="CE152" s="59">
        <f t="shared" si="148"/>
        <v>320.1204011431372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0.29111053727672215</v>
      </c>
      <c r="CL152" s="21">
        <f>EXP(-LN(2)/25)*CL151+(1-EXP(-LN(2)/25))/(LN(2)/25)*Calculateur!CG152*Calculateur!CI152*VLOOKUP('Données projet'!$B$12,Paramètres!$A$1:$I$89,3,0)*0.475*44/12</f>
        <v>0.65295625422312953</v>
      </c>
      <c r="CM152" s="21">
        <f>EXP(-LN(2)/2)*CM151+(1-EXP(-LN(2)/2))/(LN(2)/2)*CG152*CJ152*VLOOKUP('Données projet'!$B$12,Paramètres!$A$1:$I$89,3,0)*0.475*44/12</f>
        <v>3.4063654897395784E-17</v>
      </c>
      <c r="CN152" s="22">
        <f t="shared" si="120"/>
        <v>0.94406679149985173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-5.1159076974727213E-13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168.08890945052406</v>
      </c>
      <c r="T153" s="59">
        <f t="shared" si="142"/>
        <v>182.52462557642343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0.57696182091351478</v>
      </c>
      <c r="AA153" s="21">
        <f>EXP(-LN(2)/25)*AA152+(1-EXP(-LN(2)/25))/(LN(2)/25)*Calculateur!V153*Calculateur!X153*VLOOKUP('Données projet'!$B$9,Paramètres!$A$1:$I$89,3,0)*0.475*44/12</f>
        <v>0.44263950495261822</v>
      </c>
      <c r="AB153" s="21">
        <f>EXP(-LN(2)/2)*AB152+(1-EXP(-LN(2)/2))/(LN(2)/2)*V153*Y153*VLOOKUP('Données projet'!$B$9,Paramètres!$A$1:$I$89,3,0)*0.475*44/12</f>
        <v>4.7233852021271683E-18</v>
      </c>
      <c r="AC153" s="22">
        <f t="shared" si="111"/>
        <v>1.0196013258661329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-4.5474735088646412E-13</v>
      </c>
      <c r="AJ153" s="13">
        <f>AI153*VLOOKUP('Données projet'!$B$10,Paramètres!$A$1:$I$89,3,0)*VLOOKUP('Données projet'!$B$10,Paramètres!$A$1:$I$89,5,0)</f>
        <v>-2.7193891583010558E-13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216.94426559495264</v>
      </c>
      <c r="AO153" s="59">
        <f t="shared" si="144"/>
        <v>225.33715877618704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0.46124774702917937</v>
      </c>
      <c r="AW153" s="21">
        <f>EXP(-LN(2)/2)*AW152+(1-EXP(-LN(2)/2))/(LN(2)/2)*AQ153*AT153*VLOOKUP('Données projet'!$B$10,Paramètres!$A$1:$I$89,3,0)*0.475*44/12</f>
        <v>2.0581938821507907E-17</v>
      </c>
      <c r="AX153" s="21">
        <f t="shared" si="114"/>
        <v>0.46124774702917937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-1.0286385077051818E-13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237.22177246688199</v>
      </c>
      <c r="BJ153" s="59">
        <f t="shared" si="146"/>
        <v>149.27472147904302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0.111493314670677</v>
      </c>
      <c r="BR153" s="21">
        <f>EXP(-LN(2)/2)*BR152+(1-EXP(-LN(2)/2))/(LN(2)/2)*BL153*BO153*VLOOKUP('Données projet'!$B$11,Paramètres!$A$1:$I$89,3,0)*0.475*44/12</f>
        <v>5.3684035120318372E-18</v>
      </c>
      <c r="BS153" s="22">
        <f t="shared" si="117"/>
        <v>0.111493314670677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-2.8421709430404007E-14</v>
      </c>
      <c r="BZ153" s="13">
        <f>BY153*VLOOKUP('Données projet'!$B$12,Paramètres!$A$1:$I$89,3,0)*VLOOKUP('Données projet'!$B$12,Paramètres!$A$1:$I$89,5,0)</f>
        <v>-2.4829205358400945E-14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223.81948236065614</v>
      </c>
      <c r="CE153" s="59">
        <f t="shared" si="148"/>
        <v>320.1204011431372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0.2854020372006208</v>
      </c>
      <c r="CL153" s="21">
        <f>EXP(-LN(2)/25)*CL152+(1-EXP(-LN(2)/25))/(LN(2)/25)*Calculateur!CG153*Calculateur!CI153*VLOOKUP('Données projet'!$B$12,Paramètres!$A$1:$I$89,3,0)*0.475*44/12</f>
        <v>0.63510113111392097</v>
      </c>
      <c r="CM153" s="21">
        <f>EXP(-LN(2)/2)*CM152+(1-EXP(-LN(2)/2))/(LN(2)/2)*CG153*CJ153*VLOOKUP('Données projet'!$B$12,Paramètres!$A$1:$I$89,3,0)*0.475*44/12</f>
        <v>2.4086641369946909E-17</v>
      </c>
      <c r="CN153" s="22">
        <f t="shared" si="120"/>
        <v>0.92050316831454171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-5.1159076974727213E-13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168.08890945052406</v>
      </c>
      <c r="T154" s="59">
        <f t="shared" si="142"/>
        <v>182.52462557642343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0.56564795151736313</v>
      </c>
      <c r="AA154" s="21">
        <f>EXP(-LN(2)/25)*AA153+(1-EXP(-LN(2)/25))/(LN(2)/25)*Calculateur!V154*Calculateur!X154*VLOOKUP('Données projet'!$B$9,Paramètres!$A$1:$I$89,3,0)*0.475*44/12</f>
        <v>0.43053550441228899</v>
      </c>
      <c r="AB154" s="21">
        <f>EXP(-LN(2)/2)*AB153+(1-EXP(-LN(2)/2))/(LN(2)/2)*V154*Y154*VLOOKUP('Données projet'!$B$9,Paramètres!$A$1:$I$89,3,0)*0.475*44/12</f>
        <v>3.3399377065803122E-18</v>
      </c>
      <c r="AC154" s="22">
        <f t="shared" ref="AC154:AC203" si="163">SUM(Z154:AB154)</f>
        <v>0.99618345592965207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-4.5474735088646412E-13</v>
      </c>
      <c r="AJ154" s="13">
        <f>AI154*VLOOKUP('Données projet'!$B$10,Paramètres!$A$1:$I$89,3,0)*VLOOKUP('Données projet'!$B$10,Paramètres!$A$1:$I$89,5,0)</f>
        <v>-2.7193891583010558E-13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216.94426559495264</v>
      </c>
      <c r="AO154" s="59">
        <f t="shared" si="144"/>
        <v>225.33715877618704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0.44863490313070165</v>
      </c>
      <c r="AW154" s="21">
        <f>EXP(-LN(2)/2)*AW153+(1-EXP(-LN(2)/2))/(LN(2)/2)*AQ154*AT154*VLOOKUP('Données projet'!$B$10,Paramètres!$A$1:$I$89,3,0)*0.475*44/12</f>
        <v>1.4553628510654899E-17</v>
      </c>
      <c r="AX154" s="21">
        <f t="shared" ref="AX154:AX203" si="166">SUM(AU154:AW154)</f>
        <v>0.44863490313070165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-1.0286385077051818E-13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237.22177246688199</v>
      </c>
      <c r="BJ154" s="59">
        <f t="shared" si="146"/>
        <v>149.27472147904302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0.10844452411782873</v>
      </c>
      <c r="BR154" s="21">
        <f>EXP(-LN(2)/2)*BR153+(1-EXP(-LN(2)/2))/(LN(2)/2)*BL154*BO154*VLOOKUP('Données projet'!$B$11,Paramètres!$A$1:$I$89,3,0)*0.475*44/12</f>
        <v>3.7960345275033895E-18</v>
      </c>
      <c r="BS154" s="22">
        <f t="shared" ref="BS154:BS203" si="169">SUM(BP154:BR154)</f>
        <v>0.10844452411782873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-2.8421709430404007E-14</v>
      </c>
      <c r="BZ154" s="13">
        <f>BY154*VLOOKUP('Données projet'!$B$12,Paramètres!$A$1:$I$89,3,0)*VLOOKUP('Données projet'!$B$12,Paramètres!$A$1:$I$89,5,0)</f>
        <v>-2.4829205358400945E-14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223.81948236065614</v>
      </c>
      <c r="CE154" s="59">
        <f t="shared" si="148"/>
        <v>320.1204011431372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0.27980547732917055</v>
      </c>
      <c r="CL154" s="21">
        <f>EXP(-LN(2)/25)*CL153+(1-EXP(-LN(2)/25))/(LN(2)/25)*Calculateur!CG154*Calculateur!CI154*VLOOKUP('Données projet'!$B$12,Paramètres!$A$1:$I$89,3,0)*0.475*44/12</f>
        <v>0.6177342572850939</v>
      </c>
      <c r="CM154" s="21">
        <f>EXP(-LN(2)/2)*CM153+(1-EXP(-LN(2)/2))/(LN(2)/2)*CG154*CJ154*VLOOKUP('Données projet'!$B$12,Paramètres!$A$1:$I$89,3,0)*0.475*44/12</f>
        <v>1.7031827448697892E-17</v>
      </c>
      <c r="CN154" s="22">
        <f t="shared" ref="CN154:CN203" si="172">SUM(CK154:CM154)</f>
        <v>0.8975397346142644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-5.1159076974727213E-13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168.08890945052406</v>
      </c>
      <c r="T155" s="59">
        <f t="shared" si="142"/>
        <v>182.52462557642343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0.554555940199291</v>
      </c>
      <c r="AA155" s="21">
        <f>EXP(-LN(2)/25)*AA154+(1-EXP(-LN(2)/25))/(LN(2)/25)*Calculateur!V155*Calculateur!X155*VLOOKUP('Données projet'!$B$9,Paramètres!$A$1:$I$89,3,0)*0.475*44/12</f>
        <v>0.41876248840325675</v>
      </c>
      <c r="AB155" s="21">
        <f>EXP(-LN(2)/2)*AB154+(1-EXP(-LN(2)/2))/(LN(2)/2)*V155*Y155*VLOOKUP('Données projet'!$B$9,Paramètres!$A$1:$I$89,3,0)*0.475*44/12</f>
        <v>2.3616926010635842E-18</v>
      </c>
      <c r="AC155" s="22">
        <f t="shared" si="163"/>
        <v>0.9733184286025478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-4.5474735088646412E-13</v>
      </c>
      <c r="AJ155" s="13">
        <f>AI155*VLOOKUP('Données projet'!$B$10,Paramètres!$A$1:$I$89,3,0)*VLOOKUP('Données projet'!$B$10,Paramètres!$A$1:$I$89,5,0)</f>
        <v>-2.7193891583010558E-13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216.94426559495264</v>
      </c>
      <c r="AO155" s="59">
        <f t="shared" si="144"/>
        <v>225.33715877618704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0.4363669581119084</v>
      </c>
      <c r="AW155" s="21">
        <f>EXP(-LN(2)/2)*AW154+(1-EXP(-LN(2)/2))/(LN(2)/2)*AQ155*AT155*VLOOKUP('Données projet'!$B$10,Paramètres!$A$1:$I$89,3,0)*0.475*44/12</f>
        <v>1.0290969410753954E-17</v>
      </c>
      <c r="AX155" s="21">
        <f t="shared" si="166"/>
        <v>0.4363669581119084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-1.0286385077051818E-13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237.22177246688199</v>
      </c>
      <c r="BJ155" s="59">
        <f t="shared" si="146"/>
        <v>149.27472147904302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0.10547910290297703</v>
      </c>
      <c r="BR155" s="21">
        <f>EXP(-LN(2)/2)*BR154+(1-EXP(-LN(2)/2))/(LN(2)/2)*BL155*BO155*VLOOKUP('Données projet'!$B$11,Paramètres!$A$1:$I$89,3,0)*0.475*44/12</f>
        <v>2.6842017560159186E-18</v>
      </c>
      <c r="BS155" s="22">
        <f t="shared" si="169"/>
        <v>0.10547910290297703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-2.8421709430404007E-14</v>
      </c>
      <c r="BZ155" s="13">
        <f>BY155*VLOOKUP('Données projet'!$B$12,Paramètres!$A$1:$I$89,3,0)*VLOOKUP('Données projet'!$B$12,Paramètres!$A$1:$I$89,5,0)</f>
        <v>-2.4829205358400945E-14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223.81948236065614</v>
      </c>
      <c r="CE155" s="59">
        <f t="shared" si="148"/>
        <v>320.1204011431372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0.27431866258323495</v>
      </c>
      <c r="CL155" s="21">
        <f>EXP(-LN(2)/25)*CL154+(1-EXP(-LN(2)/25))/(LN(2)/25)*Calculateur!CG155*Calculateur!CI155*VLOOKUP('Données projet'!$B$12,Paramètres!$A$1:$I$89,3,0)*0.475*44/12</f>
        <v>0.60084228153440022</v>
      </c>
      <c r="CM155" s="21">
        <f>EXP(-LN(2)/2)*CM154+(1-EXP(-LN(2)/2))/(LN(2)/2)*CG155*CJ155*VLOOKUP('Données projet'!$B$12,Paramètres!$A$1:$I$89,3,0)*0.475*44/12</f>
        <v>1.2043320684973454E-17</v>
      </c>
      <c r="CN155" s="22">
        <f t="shared" si="172"/>
        <v>0.87516094411763512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-5.1159076974727213E-13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168.08890945052406</v>
      </c>
      <c r="T156" s="59">
        <f t="shared" si="142"/>
        <v>182.52462557642343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0.54368143645770739</v>
      </c>
      <c r="AA156" s="21">
        <f>EXP(-LN(2)/25)*AA155+(1-EXP(-LN(2)/25))/(LN(2)/25)*Calculateur!V156*Calculateur!X156*VLOOKUP('Données projet'!$B$9,Paramètres!$A$1:$I$89,3,0)*0.475*44/12</f>
        <v>0.4073114061361075</v>
      </c>
      <c r="AB156" s="21">
        <f>EXP(-LN(2)/2)*AB155+(1-EXP(-LN(2)/2))/(LN(2)/2)*V156*Y156*VLOOKUP('Données projet'!$B$9,Paramètres!$A$1:$I$89,3,0)*0.475*44/12</f>
        <v>1.6699688532901561E-18</v>
      </c>
      <c r="AC156" s="22">
        <f t="shared" si="163"/>
        <v>0.95099284259381489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-4.5474735088646412E-13</v>
      </c>
      <c r="AJ156" s="13">
        <f>AI156*VLOOKUP('Données projet'!$B$10,Paramètres!$A$1:$I$89,3,0)*VLOOKUP('Données projet'!$B$10,Paramètres!$A$1:$I$89,5,0)</f>
        <v>-2.7193891583010558E-13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216.94426559495264</v>
      </c>
      <c r="AO156" s="59">
        <f t="shared" si="144"/>
        <v>225.33715877618704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0.42443448069479728</v>
      </c>
      <c r="AW156" s="21">
        <f>EXP(-LN(2)/2)*AW155+(1-EXP(-LN(2)/2))/(LN(2)/2)*AQ156*AT156*VLOOKUP('Données projet'!$B$10,Paramètres!$A$1:$I$89,3,0)*0.475*44/12</f>
        <v>7.2768142553274497E-18</v>
      </c>
      <c r="AX156" s="21">
        <f t="shared" si="166"/>
        <v>0.42443448069479728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-1.0286385077051818E-13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237.22177246688199</v>
      </c>
      <c r="BJ156" s="59">
        <f t="shared" si="146"/>
        <v>149.27472147904302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0.10259477128719018</v>
      </c>
      <c r="BR156" s="21">
        <f>EXP(-LN(2)/2)*BR155+(1-EXP(-LN(2)/2))/(LN(2)/2)*BL156*BO156*VLOOKUP('Données projet'!$B$11,Paramètres!$A$1:$I$89,3,0)*0.475*44/12</f>
        <v>1.8980172637516947E-18</v>
      </c>
      <c r="BS156" s="22">
        <f t="shared" si="169"/>
        <v>0.10259477128719018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-2.8421709430404007E-14</v>
      </c>
      <c r="BZ156" s="13">
        <f>BY156*VLOOKUP('Données projet'!$B$12,Paramètres!$A$1:$I$89,3,0)*VLOOKUP('Données projet'!$B$12,Paramètres!$A$1:$I$89,5,0)</f>
        <v>-2.4829205358400945E-14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223.81948236065614</v>
      </c>
      <c r="CE156" s="59">
        <f t="shared" si="148"/>
        <v>320.1204011431372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0.26893944092784061</v>
      </c>
      <c r="CL156" s="21">
        <f>EXP(-LN(2)/25)*CL155+(1-EXP(-LN(2)/25))/(LN(2)/25)*Calculateur!CG156*Calculateur!CI156*VLOOKUP('Données projet'!$B$12,Paramètres!$A$1:$I$89,3,0)*0.475*44/12</f>
        <v>0.58441221774891972</v>
      </c>
      <c r="CM156" s="21">
        <f>EXP(-LN(2)/2)*CM155+(1-EXP(-LN(2)/2))/(LN(2)/2)*CG156*CJ156*VLOOKUP('Données projet'!$B$12,Paramètres!$A$1:$I$89,3,0)*0.475*44/12</f>
        <v>8.5159137243489459E-18</v>
      </c>
      <c r="CN156" s="22">
        <f t="shared" si="172"/>
        <v>0.85335165867676033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-5.1159076974727213E-13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168.08890945052406</v>
      </c>
      <c r="T157" s="59">
        <f t="shared" si="142"/>
        <v>182.52462557642343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0.53302017510170396</v>
      </c>
      <c r="AA157" s="21">
        <f>EXP(-LN(2)/25)*AA156+(1-EXP(-LN(2)/25))/(LN(2)/25)*Calculateur!V157*Calculateur!X157*VLOOKUP('Données projet'!$B$9,Paramètres!$A$1:$I$89,3,0)*0.475*44/12</f>
        <v>0.39617345431573969</v>
      </c>
      <c r="AB157" s="21">
        <f>EXP(-LN(2)/2)*AB156+(1-EXP(-LN(2)/2))/(LN(2)/2)*V157*Y157*VLOOKUP('Données projet'!$B$9,Paramètres!$A$1:$I$89,3,0)*0.475*44/12</f>
        <v>1.1808463005317921E-18</v>
      </c>
      <c r="AC157" s="22">
        <f t="shared" si="163"/>
        <v>0.92919362941744366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-4.5474735088646412E-13</v>
      </c>
      <c r="AJ157" s="13">
        <f>AI157*VLOOKUP('Données projet'!$B$10,Paramètres!$A$1:$I$89,3,0)*VLOOKUP('Données projet'!$B$10,Paramètres!$A$1:$I$89,5,0)</f>
        <v>-2.7193891583010558E-13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216.94426559495264</v>
      </c>
      <c r="AO157" s="59">
        <f t="shared" si="144"/>
        <v>225.33715877618704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0.41282829750015876</v>
      </c>
      <c r="AW157" s="21">
        <f>EXP(-LN(2)/2)*AW156+(1-EXP(-LN(2)/2))/(LN(2)/2)*AQ157*AT157*VLOOKUP('Données projet'!$B$10,Paramètres!$A$1:$I$89,3,0)*0.475*44/12</f>
        <v>5.1454847053769769E-18</v>
      </c>
      <c r="AX157" s="21">
        <f t="shared" si="166"/>
        <v>0.41282829750015876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-1.0286385077051818E-13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237.22177246688199</v>
      </c>
      <c r="BJ157" s="59">
        <f t="shared" si="146"/>
        <v>149.27472147904302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9.978931187111742E-2</v>
      </c>
      <c r="BR157" s="21">
        <f>EXP(-LN(2)/2)*BR156+(1-EXP(-LN(2)/2))/(LN(2)/2)*BL157*BO157*VLOOKUP('Données projet'!$B$11,Paramètres!$A$1:$I$89,3,0)*0.475*44/12</f>
        <v>1.3421008780079593E-18</v>
      </c>
      <c r="BS157" s="22">
        <f t="shared" si="169"/>
        <v>9.978931187111742E-2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-2.8421709430404007E-14</v>
      </c>
      <c r="BZ157" s="13">
        <f>BY157*VLOOKUP('Données projet'!$B$12,Paramètres!$A$1:$I$89,3,0)*VLOOKUP('Données projet'!$B$12,Paramètres!$A$1:$I$89,5,0)</f>
        <v>-2.4829205358400945E-14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223.81948236065614</v>
      </c>
      <c r="CE157" s="59">
        <f t="shared" si="148"/>
        <v>320.1204011431372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0.26366570252810734</v>
      </c>
      <c r="CL157" s="21">
        <f>EXP(-LN(2)/25)*CL156+(1-EXP(-LN(2)/25))/(LN(2)/25)*Calculateur!CG157*Calculateur!CI157*VLOOKUP('Données projet'!$B$12,Paramètres!$A$1:$I$89,3,0)*0.475*44/12</f>
        <v>0.5684314349216727</v>
      </c>
      <c r="CM157" s="21">
        <f>EXP(-LN(2)/2)*CM156+(1-EXP(-LN(2)/2))/(LN(2)/2)*CG157*CJ157*VLOOKUP('Données projet'!$B$12,Paramètres!$A$1:$I$89,3,0)*0.475*44/12</f>
        <v>6.0216603424867272E-18</v>
      </c>
      <c r="CN157" s="22">
        <f t="shared" si="172"/>
        <v>0.83209713744978009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-5.1159076974727213E-13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168.08890945052406</v>
      </c>
      <c r="T158" s="59">
        <f t="shared" si="142"/>
        <v>182.52462557642343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0.5225679745781644</v>
      </c>
      <c r="AA158" s="21">
        <f>EXP(-LN(2)/25)*AA157+(1-EXP(-LN(2)/25))/(LN(2)/25)*Calculateur!V158*Calculateur!X158*VLOOKUP('Données projet'!$B$9,Paramètres!$A$1:$I$89,3,0)*0.475*44/12</f>
        <v>0.38534007037361928</v>
      </c>
      <c r="AB158" s="21">
        <f>EXP(-LN(2)/2)*AB157+(1-EXP(-LN(2)/2))/(LN(2)/2)*V158*Y158*VLOOKUP('Données projet'!$B$9,Paramètres!$A$1:$I$89,3,0)*0.475*44/12</f>
        <v>8.3498442664507805E-19</v>
      </c>
      <c r="AC158" s="22">
        <f t="shared" si="163"/>
        <v>0.90790804495178368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-4.5474735088646412E-13</v>
      </c>
      <c r="AJ158" s="13">
        <f>AI158*VLOOKUP('Données projet'!$B$10,Paramètres!$A$1:$I$89,3,0)*VLOOKUP('Données projet'!$B$10,Paramètres!$A$1:$I$89,5,0)</f>
        <v>-2.7193891583010558E-13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216.94426559495264</v>
      </c>
      <c r="AO158" s="59">
        <f t="shared" si="144"/>
        <v>225.33715877618704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0.4015394859953203</v>
      </c>
      <c r="AW158" s="21">
        <f>EXP(-LN(2)/2)*AW157+(1-EXP(-LN(2)/2))/(LN(2)/2)*AQ158*AT158*VLOOKUP('Données projet'!$B$10,Paramètres!$A$1:$I$89,3,0)*0.475*44/12</f>
        <v>3.6384071276637248E-18</v>
      </c>
      <c r="AX158" s="21">
        <f t="shared" si="166"/>
        <v>0.4015394859953203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-1.0286385077051818E-13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237.22177246688199</v>
      </c>
      <c r="BJ158" s="59">
        <f t="shared" si="146"/>
        <v>149.27472147904302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9.7060567890309868E-2</v>
      </c>
      <c r="BR158" s="21">
        <f>EXP(-LN(2)/2)*BR157+(1-EXP(-LN(2)/2))/(LN(2)/2)*BL158*BO158*VLOOKUP('Données projet'!$B$11,Paramètres!$A$1:$I$89,3,0)*0.475*44/12</f>
        <v>9.4900863187584737E-19</v>
      </c>
      <c r="BS158" s="22">
        <f t="shared" si="169"/>
        <v>9.7060567890309868E-2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-2.8421709430404007E-14</v>
      </c>
      <c r="BZ158" s="13">
        <f>BY158*VLOOKUP('Données projet'!$B$12,Paramètres!$A$1:$I$89,3,0)*VLOOKUP('Données projet'!$B$12,Paramètres!$A$1:$I$89,5,0)</f>
        <v>-2.4829205358400945E-14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223.81948236065614</v>
      </c>
      <c r="CE158" s="59">
        <f t="shared" si="148"/>
        <v>320.1204011431372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0.25849537892173002</v>
      </c>
      <c r="CL158" s="21">
        <f>EXP(-LN(2)/25)*CL157+(1-EXP(-LN(2)/25))/(LN(2)/25)*Calculateur!CG158*Calculateur!CI158*VLOOKUP('Données projet'!$B$12,Paramètres!$A$1:$I$89,3,0)*0.475*44/12</f>
        <v>0.55288764744122953</v>
      </c>
      <c r="CM158" s="21">
        <f>EXP(-LN(2)/2)*CM157+(1-EXP(-LN(2)/2))/(LN(2)/2)*CG158*CJ158*VLOOKUP('Données projet'!$B$12,Paramètres!$A$1:$I$89,3,0)*0.475*44/12</f>
        <v>4.257956862174473E-18</v>
      </c>
      <c r="CN158" s="22">
        <f t="shared" si="172"/>
        <v>0.81138302636295956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-5.1159076974727213E-13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168.08890945052406</v>
      </c>
      <c r="T159" s="59">
        <f t="shared" si="142"/>
        <v>182.52462557642343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0.51232073533167866</v>
      </c>
      <c r="AA159" s="21">
        <f>EXP(-LN(2)/25)*AA158+(1-EXP(-LN(2)/25))/(LN(2)/25)*Calculateur!V159*Calculateur!X159*VLOOKUP('Données projet'!$B$9,Paramètres!$A$1:$I$89,3,0)*0.475*44/12</f>
        <v>0.37480292588509906</v>
      </c>
      <c r="AB159" s="21">
        <f>EXP(-LN(2)/2)*AB158+(1-EXP(-LN(2)/2))/(LN(2)/2)*V159*Y159*VLOOKUP('Données projet'!$B$9,Paramètres!$A$1:$I$89,3,0)*0.475*44/12</f>
        <v>5.9042315026589604E-19</v>
      </c>
      <c r="AC159" s="22">
        <f t="shared" si="163"/>
        <v>0.88712366121677766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-4.5474735088646412E-13</v>
      </c>
      <c r="AJ159" s="13">
        <f>AI159*VLOOKUP('Données projet'!$B$10,Paramètres!$A$1:$I$89,3,0)*VLOOKUP('Données projet'!$B$10,Paramètres!$A$1:$I$89,5,0)</f>
        <v>-2.7193891583010558E-13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216.94426559495264</v>
      </c>
      <c r="AO159" s="59">
        <f t="shared" si="144"/>
        <v>225.33715877618704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0.39055936763473442</v>
      </c>
      <c r="AW159" s="21">
        <f>EXP(-LN(2)/2)*AW158+(1-EXP(-LN(2)/2))/(LN(2)/2)*AQ159*AT159*VLOOKUP('Données projet'!$B$10,Paramètres!$A$1:$I$89,3,0)*0.475*44/12</f>
        <v>2.5727423526884884E-18</v>
      </c>
      <c r="AX159" s="21">
        <f t="shared" si="166"/>
        <v>0.39055936763473442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-1.0286385077051818E-13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237.22177246688199</v>
      </c>
      <c r="BJ159" s="59">
        <f t="shared" si="146"/>
        <v>149.27472147904302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9.4406441557155912E-2</v>
      </c>
      <c r="BR159" s="21">
        <f>EXP(-LN(2)/2)*BR158+(1-EXP(-LN(2)/2))/(LN(2)/2)*BL159*BO159*VLOOKUP('Données projet'!$B$11,Paramètres!$A$1:$I$89,3,0)*0.475*44/12</f>
        <v>6.7105043900397965E-19</v>
      </c>
      <c r="BS159" s="22">
        <f t="shared" si="169"/>
        <v>9.4406441557155912E-2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-2.8421709430404007E-14</v>
      </c>
      <c r="BZ159" s="13">
        <f>BY159*VLOOKUP('Données projet'!$B$12,Paramètres!$A$1:$I$89,3,0)*VLOOKUP('Données projet'!$B$12,Paramètres!$A$1:$I$89,5,0)</f>
        <v>-2.4829205358400945E-14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223.81948236065614</v>
      </c>
      <c r="CE159" s="59">
        <f t="shared" si="148"/>
        <v>320.1204011431372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0.25342644220768773</v>
      </c>
      <c r="CL159" s="21">
        <f>EXP(-LN(2)/25)*CL158+(1-EXP(-LN(2)/25))/(LN(2)/25)*Calculateur!CG159*Calculateur!CI159*VLOOKUP('Données projet'!$B$12,Paramètres!$A$1:$I$89,3,0)*0.475*44/12</f>
        <v>0.53776890564685143</v>
      </c>
      <c r="CM159" s="21">
        <f>EXP(-LN(2)/2)*CM158+(1-EXP(-LN(2)/2))/(LN(2)/2)*CG159*CJ159*VLOOKUP('Données projet'!$B$12,Paramètres!$A$1:$I$89,3,0)*0.475*44/12</f>
        <v>3.0108301712433636E-18</v>
      </c>
      <c r="CN159" s="22">
        <f t="shared" si="172"/>
        <v>0.79119534785453915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-5.1159076974727213E-13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168.08890945052406</v>
      </c>
      <c r="T160" s="59">
        <f t="shared" si="142"/>
        <v>182.52462557642343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0.50227443819661766</v>
      </c>
      <c r="AA160" s="21">
        <f>EXP(-LN(2)/25)*AA159+(1-EXP(-LN(2)/25))/(LN(2)/25)*Calculateur!V160*Calculateur!X160*VLOOKUP('Données projet'!$B$9,Paramètres!$A$1:$I$89,3,0)*0.475*44/12</f>
        <v>0.36455392016674176</v>
      </c>
      <c r="AB160" s="21">
        <f>EXP(-LN(2)/2)*AB159+(1-EXP(-LN(2)/2))/(LN(2)/2)*V160*Y160*VLOOKUP('Données projet'!$B$9,Paramètres!$A$1:$I$89,3,0)*0.475*44/12</f>
        <v>4.1749221332253903E-19</v>
      </c>
      <c r="AC160" s="22">
        <f t="shared" si="163"/>
        <v>0.86682835836335936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-4.5474735088646412E-13</v>
      </c>
      <c r="AJ160" s="13">
        <f>AI160*VLOOKUP('Données projet'!$B$10,Paramètres!$A$1:$I$89,3,0)*VLOOKUP('Données projet'!$B$10,Paramètres!$A$1:$I$89,5,0)</f>
        <v>-2.7193891583010558E-13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216.94426559495264</v>
      </c>
      <c r="AO160" s="59">
        <f t="shared" si="144"/>
        <v>225.33715877618704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0.37987950118813812</v>
      </c>
      <c r="AW160" s="21">
        <f>EXP(-LN(2)/2)*AW159+(1-EXP(-LN(2)/2))/(LN(2)/2)*AQ160*AT160*VLOOKUP('Données projet'!$B$10,Paramètres!$A$1:$I$89,3,0)*0.475*44/12</f>
        <v>1.8192035638318624E-18</v>
      </c>
      <c r="AX160" s="21">
        <f t="shared" si="166"/>
        <v>0.37987950118813812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-1.0286385077051818E-13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237.22177246688199</v>
      </c>
      <c r="BJ160" s="59">
        <f t="shared" si="146"/>
        <v>149.27472147904302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9.1824892448156489E-2</v>
      </c>
      <c r="BR160" s="21">
        <f>EXP(-LN(2)/2)*BR159+(1-EXP(-LN(2)/2))/(LN(2)/2)*BL160*BO160*VLOOKUP('Données projet'!$B$11,Paramètres!$A$1:$I$89,3,0)*0.475*44/12</f>
        <v>4.7450431593792369E-19</v>
      </c>
      <c r="BS160" s="22">
        <f t="shared" si="169"/>
        <v>9.1824892448156489E-2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-2.8421709430404007E-14</v>
      </c>
      <c r="BZ160" s="13">
        <f>BY160*VLOOKUP('Données projet'!$B$12,Paramètres!$A$1:$I$89,3,0)*VLOOKUP('Données projet'!$B$12,Paramètres!$A$1:$I$89,5,0)</f>
        <v>-2.4829205358400945E-14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223.81948236065614</v>
      </c>
      <c r="CE160" s="59">
        <f t="shared" si="148"/>
        <v>320.1204011431372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0.24845690425086173</v>
      </c>
      <c r="CL160" s="21">
        <f>EXP(-LN(2)/25)*CL159+(1-EXP(-LN(2)/25))/(LN(2)/25)*Calculateur!CG160*Calculateur!CI160*VLOOKUP('Données projet'!$B$12,Paramètres!$A$1:$I$89,3,0)*0.475*44/12</f>
        <v>0.52306358664190056</v>
      </c>
      <c r="CM160" s="21">
        <f>EXP(-LN(2)/2)*CM159+(1-EXP(-LN(2)/2))/(LN(2)/2)*CG160*CJ160*VLOOKUP('Données projet'!$B$12,Paramètres!$A$1:$I$89,3,0)*0.475*44/12</f>
        <v>2.1289784310872365E-18</v>
      </c>
      <c r="CN160" s="22">
        <f t="shared" si="172"/>
        <v>0.77152049089276231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-5.1159076974727213E-13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168.08890945052406</v>
      </c>
      <c r="T161" s="59">
        <f t="shared" si="142"/>
        <v>182.52462557642343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0.49242514282073901</v>
      </c>
      <c r="AA161" s="21">
        <f>EXP(-LN(2)/25)*AA160+(1-EXP(-LN(2)/25))/(LN(2)/25)*Calculateur!V161*Calculateur!X161*VLOOKUP('Données projet'!$B$9,Paramètres!$A$1:$I$89,3,0)*0.475*44/12</f>
        <v>0.35458517404872475</v>
      </c>
      <c r="AB161" s="21">
        <f>EXP(-LN(2)/2)*AB160+(1-EXP(-LN(2)/2))/(LN(2)/2)*V161*Y161*VLOOKUP('Données projet'!$B$9,Paramètres!$A$1:$I$89,3,0)*0.475*44/12</f>
        <v>2.9521157513294802E-19</v>
      </c>
      <c r="AC161" s="22">
        <f t="shared" si="163"/>
        <v>0.84701031686946382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-4.5474735088646412E-13</v>
      </c>
      <c r="AJ161" s="13">
        <f>AI161*VLOOKUP('Données projet'!$B$10,Paramètres!$A$1:$I$89,3,0)*VLOOKUP('Données projet'!$B$10,Paramètres!$A$1:$I$89,5,0)</f>
        <v>-2.7193891583010558E-13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216.94426559495264</v>
      </c>
      <c r="AO161" s="59">
        <f t="shared" si="144"/>
        <v>225.33715877618704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0.36949167625115376</v>
      </c>
      <c r="AW161" s="21">
        <f>EXP(-LN(2)/2)*AW160+(1-EXP(-LN(2)/2))/(LN(2)/2)*AQ161*AT161*VLOOKUP('Données projet'!$B$10,Paramètres!$A$1:$I$89,3,0)*0.475*44/12</f>
        <v>1.2863711763442442E-18</v>
      </c>
      <c r="AX161" s="21">
        <f t="shared" si="166"/>
        <v>0.36949167625115376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-1.0286385077051818E-13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237.22177246688199</v>
      </c>
      <c r="BJ161" s="59">
        <f t="shared" si="146"/>
        <v>149.27472147904302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8.9313935935300431E-2</v>
      </c>
      <c r="BR161" s="21">
        <f>EXP(-LN(2)/2)*BR160+(1-EXP(-LN(2)/2))/(LN(2)/2)*BL161*BO161*VLOOKUP('Données projet'!$B$11,Paramètres!$A$1:$I$89,3,0)*0.475*44/12</f>
        <v>3.3552521950198982E-19</v>
      </c>
      <c r="BS161" s="22">
        <f t="shared" si="169"/>
        <v>8.9313935935300431E-2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-2.8421709430404007E-14</v>
      </c>
      <c r="BZ161" s="13">
        <f>BY161*VLOOKUP('Données projet'!$B$12,Paramètres!$A$1:$I$89,3,0)*VLOOKUP('Données projet'!$B$12,Paramètres!$A$1:$I$89,5,0)</f>
        <v>-2.4829205358400945E-14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223.81948236065614</v>
      </c>
      <c r="CE161" s="59">
        <f t="shared" si="148"/>
        <v>320.1204011431372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0.24358481590225023</v>
      </c>
      <c r="CL161" s="21">
        <f>EXP(-LN(2)/25)*CL160+(1-EXP(-LN(2)/25))/(LN(2)/25)*Calculateur!CG161*Calculateur!CI161*VLOOKUP('Données projet'!$B$12,Paramètres!$A$1:$I$89,3,0)*0.475*44/12</f>
        <v>0.50876038535845924</v>
      </c>
      <c r="CM161" s="21">
        <f>EXP(-LN(2)/2)*CM160+(1-EXP(-LN(2)/2))/(LN(2)/2)*CG161*CJ161*VLOOKUP('Données projet'!$B$12,Paramètres!$A$1:$I$89,3,0)*0.475*44/12</f>
        <v>1.5054150856216818E-18</v>
      </c>
      <c r="CN161" s="22">
        <f t="shared" si="172"/>
        <v>0.75234520126070947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-5.1159076974727213E-13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168.08890945052406</v>
      </c>
      <c r="T162" s="59">
        <f t="shared" si="142"/>
        <v>182.52462557642343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0.48276898611970437</v>
      </c>
      <c r="AA162" s="21">
        <f>EXP(-LN(2)/25)*AA161+(1-EXP(-LN(2)/25))/(LN(2)/25)*Calculateur!V162*Calculateur!X162*VLOOKUP('Données projet'!$B$9,Paramètres!$A$1:$I$89,3,0)*0.475*44/12</f>
        <v>0.3448890238175385</v>
      </c>
      <c r="AB162" s="21">
        <f>EXP(-LN(2)/2)*AB161+(1-EXP(-LN(2)/2))/(LN(2)/2)*V162*Y162*VLOOKUP('Données projet'!$B$9,Paramètres!$A$1:$I$89,3,0)*0.475*44/12</f>
        <v>2.0874610666126951E-19</v>
      </c>
      <c r="AC162" s="22">
        <f t="shared" si="163"/>
        <v>0.82765800993724281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-4.5474735088646412E-13</v>
      </c>
      <c r="AJ162" s="13">
        <f>AI162*VLOOKUP('Données projet'!$B$10,Paramètres!$A$1:$I$89,3,0)*VLOOKUP('Données projet'!$B$10,Paramètres!$A$1:$I$89,5,0)</f>
        <v>-2.7193891583010558E-13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216.94426559495264</v>
      </c>
      <c r="AO162" s="59">
        <f t="shared" si="144"/>
        <v>225.33715877618704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0.35938790693334316</v>
      </c>
      <c r="AW162" s="21">
        <f>EXP(-LN(2)/2)*AW161+(1-EXP(-LN(2)/2))/(LN(2)/2)*AQ162*AT162*VLOOKUP('Données projet'!$B$10,Paramètres!$A$1:$I$89,3,0)*0.475*44/12</f>
        <v>9.0960178191593121E-19</v>
      </c>
      <c r="AX162" s="21">
        <f t="shared" si="166"/>
        <v>0.35938790693334316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-1.0286385077051818E-13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237.22177246688199</v>
      </c>
      <c r="BJ162" s="59">
        <f t="shared" si="146"/>
        <v>149.27472147904302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8.6871641660333884E-2</v>
      </c>
      <c r="BR162" s="21">
        <f>EXP(-LN(2)/2)*BR161+(1-EXP(-LN(2)/2))/(LN(2)/2)*BL162*BO162*VLOOKUP('Données projet'!$B$11,Paramètres!$A$1:$I$89,3,0)*0.475*44/12</f>
        <v>2.3725215796896184E-19</v>
      </c>
      <c r="BS162" s="22">
        <f t="shared" si="169"/>
        <v>8.6871641660333884E-2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-2.8421709430404007E-14</v>
      </c>
      <c r="BZ162" s="13">
        <f>BY162*VLOOKUP('Données projet'!$B$12,Paramètres!$A$1:$I$89,3,0)*VLOOKUP('Données projet'!$B$12,Paramètres!$A$1:$I$89,5,0)</f>
        <v>-2.4829205358400945E-14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223.81948236065614</v>
      </c>
      <c r="CE162" s="59">
        <f t="shared" si="148"/>
        <v>320.1204011431372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0.23880826623447454</v>
      </c>
      <c r="CL162" s="21">
        <f>EXP(-LN(2)/25)*CL161+(1-EXP(-LN(2)/25))/(LN(2)/25)*Calculateur!CG162*Calculateur!CI162*VLOOKUP('Données projet'!$B$12,Paramètres!$A$1:$I$89,3,0)*0.475*44/12</f>
        <v>0.49484830586628631</v>
      </c>
      <c r="CM162" s="21">
        <f>EXP(-LN(2)/2)*CM161+(1-EXP(-LN(2)/2))/(LN(2)/2)*CG162*CJ162*VLOOKUP('Données projet'!$B$12,Paramètres!$A$1:$I$89,3,0)*0.475*44/12</f>
        <v>1.0644892155436182E-18</v>
      </c>
      <c r="CN162" s="22">
        <f t="shared" si="172"/>
        <v>0.73365657210076085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-5.1159076974727213E-13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168.08890945052406</v>
      </c>
      <c r="T163" s="59">
        <f t="shared" si="142"/>
        <v>182.52462557642343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0.473302180761903</v>
      </c>
      <c r="AA163" s="21">
        <f>EXP(-LN(2)/25)*AA162+(1-EXP(-LN(2)/25))/(LN(2)/25)*Calculateur!V163*Calculateur!X163*VLOOKUP('Données projet'!$B$9,Paramètres!$A$1:$I$89,3,0)*0.475*44/12</f>
        <v>0.3354580153243224</v>
      </c>
      <c r="AB163" s="21">
        <f>EXP(-LN(2)/2)*AB162+(1-EXP(-LN(2)/2))/(LN(2)/2)*V163*Y163*VLOOKUP('Données projet'!$B$9,Paramètres!$A$1:$I$89,3,0)*0.475*44/12</f>
        <v>1.4760578756647401E-19</v>
      </c>
      <c r="AC163" s="22">
        <f t="shared" si="163"/>
        <v>0.8087601960862254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-4.5474735088646412E-13</v>
      </c>
      <c r="AJ163" s="13">
        <f>AI163*VLOOKUP('Données projet'!$B$10,Paramètres!$A$1:$I$89,3,0)*VLOOKUP('Données projet'!$B$10,Paramètres!$A$1:$I$89,5,0)</f>
        <v>-2.7193891583010558E-13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216.94426559495264</v>
      </c>
      <c r="AO163" s="59">
        <f t="shared" si="144"/>
        <v>225.33715877618704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0.34956042571886226</v>
      </c>
      <c r="AW163" s="21">
        <f>EXP(-LN(2)/2)*AW162+(1-EXP(-LN(2)/2))/(LN(2)/2)*AQ163*AT163*VLOOKUP('Données projet'!$B$10,Paramètres!$A$1:$I$89,3,0)*0.475*44/12</f>
        <v>6.4318558817212211E-19</v>
      </c>
      <c r="AX163" s="21">
        <f t="shared" si="166"/>
        <v>0.34956042571886226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-1.0286385077051818E-13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237.22177246688199</v>
      </c>
      <c r="BJ163" s="59">
        <f t="shared" si="146"/>
        <v>149.27472147904302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8.4496132050750961E-2</v>
      </c>
      <c r="BR163" s="21">
        <f>EXP(-LN(2)/2)*BR162+(1-EXP(-LN(2)/2))/(LN(2)/2)*BL163*BO163*VLOOKUP('Données projet'!$B$11,Paramètres!$A$1:$I$89,3,0)*0.475*44/12</f>
        <v>1.6776260975099491E-19</v>
      </c>
      <c r="BS163" s="22">
        <f t="shared" si="169"/>
        <v>8.4496132050750961E-2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-2.8421709430404007E-14</v>
      </c>
      <c r="BZ163" s="13">
        <f>BY163*VLOOKUP('Données projet'!$B$12,Paramètres!$A$1:$I$89,3,0)*VLOOKUP('Données projet'!$B$12,Paramètres!$A$1:$I$89,5,0)</f>
        <v>-2.4829205358400945E-14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223.81948236065614</v>
      </c>
      <c r="CE163" s="59">
        <f t="shared" si="148"/>
        <v>320.1204011431372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0.23412538179227629</v>
      </c>
      <c r="CL163" s="21">
        <f>EXP(-LN(2)/25)*CL162+(1-EXP(-LN(2)/25))/(LN(2)/25)*Calculateur!CG163*Calculateur!CI163*VLOOKUP('Données projet'!$B$12,Paramètres!$A$1:$I$89,3,0)*0.475*44/12</f>
        <v>0.48131665291943132</v>
      </c>
      <c r="CM163" s="21">
        <f>EXP(-LN(2)/2)*CM162+(1-EXP(-LN(2)/2))/(LN(2)/2)*CG163*CJ163*VLOOKUP('Données projet'!$B$12,Paramètres!$A$1:$I$89,3,0)*0.475*44/12</f>
        <v>7.527075428108409E-19</v>
      </c>
      <c r="CN163" s="22">
        <f t="shared" si="172"/>
        <v>0.71544203471170764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-5.1159076974727213E-13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168.08890945052406</v>
      </c>
      <c r="T164" s="59">
        <f t="shared" si="142"/>
        <v>182.52462557642343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0.46402101368298698</v>
      </c>
      <c r="AA164" s="21">
        <f>EXP(-LN(2)/25)*AA163+(1-EXP(-LN(2)/25))/(LN(2)/25)*Calculateur!V164*Calculateur!X164*VLOOKUP('Données projet'!$B$9,Paramètres!$A$1:$I$89,3,0)*0.475*44/12</f>
        <v>0.32628489825430845</v>
      </c>
      <c r="AB164" s="21">
        <f>EXP(-LN(2)/2)*AB163+(1-EXP(-LN(2)/2))/(LN(2)/2)*V164*Y164*VLOOKUP('Données projet'!$B$9,Paramètres!$A$1:$I$89,3,0)*0.475*44/12</f>
        <v>1.0437305333063476E-19</v>
      </c>
      <c r="AC164" s="22">
        <f t="shared" si="163"/>
        <v>0.79030591193729549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-4.5474735088646412E-13</v>
      </c>
      <c r="AJ164" s="13">
        <f>AI164*VLOOKUP('Données projet'!$B$10,Paramètres!$A$1:$I$89,3,0)*VLOOKUP('Données projet'!$B$10,Paramètres!$A$1:$I$89,5,0)</f>
        <v>-2.7193891583010558E-13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216.94426559495264</v>
      </c>
      <c r="AO164" s="59">
        <f t="shared" si="144"/>
        <v>225.33715877618704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0.3400016774949961</v>
      </c>
      <c r="AW164" s="21">
        <f>EXP(-LN(2)/2)*AW163+(1-EXP(-LN(2)/2))/(LN(2)/2)*AQ164*AT164*VLOOKUP('Données projet'!$B$10,Paramètres!$A$1:$I$89,3,0)*0.475*44/12</f>
        <v>4.548008909579656E-19</v>
      </c>
      <c r="AX164" s="21">
        <f t="shared" si="166"/>
        <v>0.3400016774949961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-1.0286385077051818E-13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237.22177246688199</v>
      </c>
      <c r="BJ164" s="59">
        <f t="shared" si="146"/>
        <v>149.27472147904302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8.2185580876364711E-2</v>
      </c>
      <c r="BR164" s="21">
        <f>EXP(-LN(2)/2)*BR163+(1-EXP(-LN(2)/2))/(LN(2)/2)*BL164*BO164*VLOOKUP('Données projet'!$B$11,Paramètres!$A$1:$I$89,3,0)*0.475*44/12</f>
        <v>1.1862607898448092E-19</v>
      </c>
      <c r="BS164" s="22">
        <f t="shared" si="169"/>
        <v>8.2185580876364711E-2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-2.8421709430404007E-14</v>
      </c>
      <c r="BZ164" s="13">
        <f>BY164*VLOOKUP('Données projet'!$B$12,Paramètres!$A$1:$I$89,3,0)*VLOOKUP('Données projet'!$B$12,Paramètres!$A$1:$I$89,5,0)</f>
        <v>-2.4829205358400945E-14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223.81948236065614</v>
      </c>
      <c r="CE164" s="59">
        <f t="shared" si="148"/>
        <v>320.1204011431372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0.22953432585771208</v>
      </c>
      <c r="CL164" s="21">
        <f>EXP(-LN(2)/25)*CL163+(1-EXP(-LN(2)/25))/(LN(2)/25)*Calculateur!CG164*Calculateur!CI164*VLOOKUP('Données projet'!$B$12,Paramètres!$A$1:$I$89,3,0)*0.475*44/12</f>
        <v>0.46815502373400675</v>
      </c>
      <c r="CM164" s="21">
        <f>EXP(-LN(2)/2)*CM163+(1-EXP(-LN(2)/2))/(LN(2)/2)*CG164*CJ164*VLOOKUP('Données projet'!$B$12,Paramètres!$A$1:$I$89,3,0)*0.475*44/12</f>
        <v>5.3224460777180912E-19</v>
      </c>
      <c r="CN164" s="22">
        <f t="shared" si="172"/>
        <v>0.6976893495917188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-5.1159076974727213E-13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168.08890945052406</v>
      </c>
      <c r="T165" s="59">
        <f t="shared" si="142"/>
        <v>182.52462557642343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0.45492184462953555</v>
      </c>
      <c r="AA165" s="21">
        <f>EXP(-LN(2)/25)*AA164+(1-EXP(-LN(2)/25))/(LN(2)/25)*Calculateur!V165*Calculateur!X165*VLOOKUP('Données projet'!$B$9,Paramètres!$A$1:$I$89,3,0)*0.475*44/12</f>
        <v>0.31736262055296732</v>
      </c>
      <c r="AB165" s="21">
        <f>EXP(-LN(2)/2)*AB164+(1-EXP(-LN(2)/2))/(LN(2)/2)*V165*Y165*VLOOKUP('Données projet'!$B$9,Paramètres!$A$1:$I$89,3,0)*0.475*44/12</f>
        <v>7.3802893783237005E-20</v>
      </c>
      <c r="AC165" s="22">
        <f t="shared" si="163"/>
        <v>0.77228446518250293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-4.5474735088646412E-13</v>
      </c>
      <c r="AJ165" s="13">
        <f>AI165*VLOOKUP('Données projet'!$B$10,Paramètres!$A$1:$I$89,3,0)*VLOOKUP('Données projet'!$B$10,Paramètres!$A$1:$I$89,5,0)</f>
        <v>-2.7193891583010558E-13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216.94426559495264</v>
      </c>
      <c r="AO165" s="59">
        <f t="shared" si="144"/>
        <v>225.33715877618704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0.33070431374398429</v>
      </c>
      <c r="AW165" s="21">
        <f>EXP(-LN(2)/2)*AW164+(1-EXP(-LN(2)/2))/(LN(2)/2)*AQ165*AT165*VLOOKUP('Données projet'!$B$10,Paramètres!$A$1:$I$89,3,0)*0.475*44/12</f>
        <v>3.2159279408606105E-19</v>
      </c>
      <c r="AX165" s="21">
        <f t="shared" si="166"/>
        <v>0.33070431374398429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-1.0286385077051818E-13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237.22177246688199</v>
      </c>
      <c r="BJ165" s="59">
        <f t="shared" si="146"/>
        <v>149.27472147904302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7.9938211845348661E-2</v>
      </c>
      <c r="BR165" s="21">
        <f>EXP(-LN(2)/2)*BR164+(1-EXP(-LN(2)/2))/(LN(2)/2)*BL165*BO165*VLOOKUP('Données projet'!$B$11,Paramètres!$A$1:$I$89,3,0)*0.475*44/12</f>
        <v>8.3881304875497456E-20</v>
      </c>
      <c r="BS165" s="22">
        <f t="shared" si="169"/>
        <v>7.9938211845348661E-2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-2.8421709430404007E-14</v>
      </c>
      <c r="BZ165" s="13">
        <f>BY165*VLOOKUP('Données projet'!$B$12,Paramètres!$A$1:$I$89,3,0)*VLOOKUP('Données projet'!$B$12,Paramètres!$A$1:$I$89,5,0)</f>
        <v>-2.4829205358400945E-14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223.81948236065614</v>
      </c>
      <c r="CE165" s="59">
        <f t="shared" si="148"/>
        <v>320.1204011431372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0.22503329772975705</v>
      </c>
      <c r="CL165" s="21">
        <f>EXP(-LN(2)/25)*CL164+(1-EXP(-LN(2)/25))/(LN(2)/25)*Calculateur!CG165*Calculateur!CI165*VLOOKUP('Données projet'!$B$12,Paramètres!$A$1:$I$89,3,0)*0.475*44/12</f>
        <v>0.4553532999907976</v>
      </c>
      <c r="CM165" s="21">
        <f>EXP(-LN(2)/2)*CM164+(1-EXP(-LN(2)/2))/(LN(2)/2)*CG165*CJ165*VLOOKUP('Données projet'!$B$12,Paramètres!$A$1:$I$89,3,0)*0.475*44/12</f>
        <v>3.7635377140542045E-19</v>
      </c>
      <c r="CN165" s="22">
        <f t="shared" si="172"/>
        <v>0.68038659772055465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-5.1159076974727213E-13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168.08890945052406</v>
      </c>
      <c r="T166" s="59">
        <f t="shared" si="142"/>
        <v>182.52462557642343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0.44600110473127719</v>
      </c>
      <c r="AA166" s="21">
        <f>EXP(-LN(2)/25)*AA165+(1-EXP(-LN(2)/25))/(LN(2)/25)*Calculateur!V166*Calculateur!X166*VLOOKUP('Données projet'!$B$9,Paramètres!$A$1:$I$89,3,0)*0.475*44/12</f>
        <v>0.30868432300457155</v>
      </c>
      <c r="AB166" s="21">
        <f>EXP(-LN(2)/2)*AB165+(1-EXP(-LN(2)/2))/(LN(2)/2)*V166*Y166*VLOOKUP('Données projet'!$B$9,Paramètres!$A$1:$I$89,3,0)*0.475*44/12</f>
        <v>5.2186526665317378E-20</v>
      </c>
      <c r="AC166" s="22">
        <f t="shared" si="163"/>
        <v>0.75468542773584879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-4.5474735088646412E-13</v>
      </c>
      <c r="AJ166" s="13">
        <f>AI166*VLOOKUP('Données projet'!$B$10,Paramètres!$A$1:$I$89,3,0)*VLOOKUP('Données projet'!$B$10,Paramètres!$A$1:$I$89,5,0)</f>
        <v>-2.7193891583010558E-13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216.94426559495264</v>
      </c>
      <c r="AO166" s="59">
        <f t="shared" si="144"/>
        <v>225.33715877618704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0.32166118689367101</v>
      </c>
      <c r="AW166" s="21">
        <f>EXP(-LN(2)/2)*AW165+(1-EXP(-LN(2)/2))/(LN(2)/2)*AQ166*AT166*VLOOKUP('Données projet'!$B$10,Paramètres!$A$1:$I$89,3,0)*0.475*44/12</f>
        <v>2.274004454789828E-19</v>
      </c>
      <c r="AX166" s="21">
        <f t="shared" si="166"/>
        <v>0.32166118689367101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-1.0286385077051818E-13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237.22177246688199</v>
      </c>
      <c r="BJ166" s="59">
        <f t="shared" si="146"/>
        <v>149.27472147904302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7.7752297238669749E-2</v>
      </c>
      <c r="BR166" s="21">
        <f>EXP(-LN(2)/2)*BR165+(1-EXP(-LN(2)/2))/(LN(2)/2)*BL166*BO166*VLOOKUP('Données projet'!$B$11,Paramètres!$A$1:$I$89,3,0)*0.475*44/12</f>
        <v>5.9313039492240461E-20</v>
      </c>
      <c r="BS166" s="22">
        <f t="shared" si="169"/>
        <v>7.7752297238669749E-2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-2.8421709430404007E-14</v>
      </c>
      <c r="BZ166" s="13">
        <f>BY166*VLOOKUP('Données projet'!$B$12,Paramètres!$A$1:$I$89,3,0)*VLOOKUP('Données projet'!$B$12,Paramètres!$A$1:$I$89,5,0)</f>
        <v>-2.4829205358400945E-14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223.81948236065614</v>
      </c>
      <c r="CE166" s="59">
        <f t="shared" si="148"/>
        <v>320.1204011431372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0.22062053201803516</v>
      </c>
      <c r="CL166" s="21">
        <f>EXP(-LN(2)/25)*CL165+(1-EXP(-LN(2)/25))/(LN(2)/25)*Calculateur!CG166*Calculateur!CI166*VLOOKUP('Données projet'!$B$12,Paramètres!$A$1:$I$89,3,0)*0.475*44/12</f>
        <v>0.44290164005655991</v>
      </c>
      <c r="CM166" s="21">
        <f>EXP(-LN(2)/2)*CM165+(1-EXP(-LN(2)/2))/(LN(2)/2)*CG166*CJ166*VLOOKUP('Données projet'!$B$12,Paramètres!$A$1:$I$89,3,0)*0.475*44/12</f>
        <v>2.6612230388590456E-19</v>
      </c>
      <c r="CN166" s="22">
        <f t="shared" si="172"/>
        <v>0.66352217207459507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-5.1159076974727213E-13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168.08890945052406</v>
      </c>
      <c r="T167" s="59">
        <f t="shared" si="142"/>
        <v>182.52462557642343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0.43725529510130962</v>
      </c>
      <c r="AA167" s="21">
        <f>EXP(-LN(2)/25)*AA166+(1-EXP(-LN(2)/25))/(LN(2)/25)*Calculateur!V167*Calculateur!X167*VLOOKUP('Données projet'!$B$9,Paramètres!$A$1:$I$89,3,0)*0.475*44/12</f>
        <v>0.30024333395900848</v>
      </c>
      <c r="AB167" s="21">
        <f>EXP(-LN(2)/2)*AB166+(1-EXP(-LN(2)/2))/(LN(2)/2)*V167*Y167*VLOOKUP('Données projet'!$B$9,Paramètres!$A$1:$I$89,3,0)*0.475*44/12</f>
        <v>3.6901446891618503E-20</v>
      </c>
      <c r="AC167" s="22">
        <f t="shared" si="163"/>
        <v>0.73749862906031804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-4.5474735088646412E-13</v>
      </c>
      <c r="AJ167" s="13">
        <f>AI167*VLOOKUP('Données projet'!$B$10,Paramètres!$A$1:$I$89,3,0)*VLOOKUP('Données projet'!$B$10,Paramètres!$A$1:$I$89,5,0)</f>
        <v>-2.7193891583010558E-13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216.94426559495264</v>
      </c>
      <c r="AO167" s="59">
        <f t="shared" si="144"/>
        <v>225.33715877618704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0.31286534482263695</v>
      </c>
      <c r="AW167" s="21">
        <f>EXP(-LN(2)/2)*AW166+(1-EXP(-LN(2)/2))/(LN(2)/2)*AQ167*AT167*VLOOKUP('Données projet'!$B$10,Paramètres!$A$1:$I$89,3,0)*0.475*44/12</f>
        <v>1.6079639704303053E-19</v>
      </c>
      <c r="AX167" s="21">
        <f t="shared" si="166"/>
        <v>0.31286534482263695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-1.0286385077051818E-13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237.22177246688199</v>
      </c>
      <c r="BJ167" s="59">
        <f t="shared" si="146"/>
        <v>149.27472147904302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7.5626156581862725E-2</v>
      </c>
      <c r="BR167" s="21">
        <f>EXP(-LN(2)/2)*BR166+(1-EXP(-LN(2)/2))/(LN(2)/2)*BL167*BO167*VLOOKUP('Données projet'!$B$11,Paramètres!$A$1:$I$89,3,0)*0.475*44/12</f>
        <v>4.1940652437748728E-20</v>
      </c>
      <c r="BS167" s="22">
        <f t="shared" si="169"/>
        <v>7.5626156581862725E-2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-2.8421709430404007E-14</v>
      </c>
      <c r="BZ167" s="13">
        <f>BY167*VLOOKUP('Données projet'!$B$12,Paramètres!$A$1:$I$89,3,0)*VLOOKUP('Données projet'!$B$12,Paramètres!$A$1:$I$89,5,0)</f>
        <v>-2.4829205358400945E-14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223.81948236065614</v>
      </c>
      <c r="CE167" s="59">
        <f t="shared" si="148"/>
        <v>320.1204011431372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0.21629429795039881</v>
      </c>
      <c r="CL167" s="21">
        <f>EXP(-LN(2)/25)*CL166+(1-EXP(-LN(2)/25))/(LN(2)/25)*Calculateur!CG167*Calculateur!CI167*VLOOKUP('Données projet'!$B$12,Paramètres!$A$1:$I$89,3,0)*0.475*44/12</f>
        <v>0.43079047141802829</v>
      </c>
      <c r="CM167" s="21">
        <f>EXP(-LN(2)/2)*CM166+(1-EXP(-LN(2)/2))/(LN(2)/2)*CG167*CJ167*VLOOKUP('Données projet'!$B$12,Paramètres!$A$1:$I$89,3,0)*0.475*44/12</f>
        <v>1.8817688570271023E-19</v>
      </c>
      <c r="CN167" s="22">
        <f t="shared" si="172"/>
        <v>0.64708476936842707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-5.1159076974727213E-13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168.08890945052406</v>
      </c>
      <c r="T168" s="59">
        <f t="shared" si="142"/>
        <v>182.52462557642343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0.42868098546376859</v>
      </c>
      <c r="AA168" s="21">
        <f>EXP(-LN(2)/25)*AA167+(1-EXP(-LN(2)/25))/(LN(2)/25)*Calculateur!V168*Calculateur!X168*VLOOKUP('Données projet'!$B$9,Paramètres!$A$1:$I$89,3,0)*0.475*44/12</f>
        <v>0.29203316420278869</v>
      </c>
      <c r="AB168" s="21">
        <f>EXP(-LN(2)/2)*AB167+(1-EXP(-LN(2)/2))/(LN(2)/2)*V168*Y168*VLOOKUP('Données projet'!$B$9,Paramètres!$A$1:$I$89,3,0)*0.475*44/12</f>
        <v>2.6093263332658689E-20</v>
      </c>
      <c r="AC168" s="22">
        <f t="shared" si="163"/>
        <v>0.72071414966655722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-4.5474735088646412E-13</v>
      </c>
      <c r="AJ168" s="13">
        <f>AI168*VLOOKUP('Données projet'!$B$10,Paramètres!$A$1:$I$89,3,0)*VLOOKUP('Données projet'!$B$10,Paramètres!$A$1:$I$89,5,0)</f>
        <v>-2.7193891583010558E-13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216.94426559495264</v>
      </c>
      <c r="AO168" s="59">
        <f t="shared" si="144"/>
        <v>225.33715877618704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0.3043100255155885</v>
      </c>
      <c r="AW168" s="21">
        <f>EXP(-LN(2)/2)*AW167+(1-EXP(-LN(2)/2))/(LN(2)/2)*AQ168*AT168*VLOOKUP('Données projet'!$B$10,Paramètres!$A$1:$I$89,3,0)*0.475*44/12</f>
        <v>1.137002227394914E-19</v>
      </c>
      <c r="AX168" s="21">
        <f t="shared" si="166"/>
        <v>0.3043100255155885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-1.0286385077051818E-13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237.22177246688199</v>
      </c>
      <c r="BJ168" s="59">
        <f t="shared" si="146"/>
        <v>149.27472147904302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7.355815535312496E-2</v>
      </c>
      <c r="BR168" s="21">
        <f>EXP(-LN(2)/2)*BR167+(1-EXP(-LN(2)/2))/(LN(2)/2)*BL168*BO168*VLOOKUP('Données projet'!$B$11,Paramètres!$A$1:$I$89,3,0)*0.475*44/12</f>
        <v>2.965651974612023E-20</v>
      </c>
      <c r="BS168" s="22">
        <f t="shared" si="169"/>
        <v>7.355815535312496E-2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-2.8421709430404007E-14</v>
      </c>
      <c r="BZ168" s="13">
        <f>BY168*VLOOKUP('Données projet'!$B$12,Paramètres!$A$1:$I$89,3,0)*VLOOKUP('Données projet'!$B$12,Paramètres!$A$1:$I$89,5,0)</f>
        <v>-2.4829205358400945E-14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223.81948236065614</v>
      </c>
      <c r="CE168" s="59">
        <f t="shared" si="148"/>
        <v>320.1204011431372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0.21205289869408658</v>
      </c>
      <c r="CL168" s="21">
        <f>EXP(-LN(2)/25)*CL167+(1-EXP(-LN(2)/25))/(LN(2)/25)*Calculateur!CG168*Calculateur!CI168*VLOOKUP('Données projet'!$B$12,Paramètres!$A$1:$I$89,3,0)*0.475*44/12</f>
        <v>0.41901048332281599</v>
      </c>
      <c r="CM168" s="21">
        <f>EXP(-LN(2)/2)*CM167+(1-EXP(-LN(2)/2))/(LN(2)/2)*CG168*CJ168*VLOOKUP('Données projet'!$B$12,Paramètres!$A$1:$I$89,3,0)*0.475*44/12</f>
        <v>1.3306115194295228E-19</v>
      </c>
      <c r="CN168" s="22">
        <f t="shared" si="172"/>
        <v>0.6310633820169026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-5.1159076974727213E-13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168.08890945052406</v>
      </c>
      <c r="T169" s="59">
        <f t="shared" si="142"/>
        <v>182.52462557642343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0.42027481280840723</v>
      </c>
      <c r="AA169" s="21">
        <f>EXP(-LN(2)/25)*AA168+(1-EXP(-LN(2)/25))/(LN(2)/25)*Calculateur!V169*Calculateur!X169*VLOOKUP('Données projet'!$B$9,Paramètres!$A$1:$I$89,3,0)*0.475*44/12</f>
        <v>0.28404750197030676</v>
      </c>
      <c r="AB169" s="21">
        <f>EXP(-LN(2)/2)*AB168+(1-EXP(-LN(2)/2))/(LN(2)/2)*V169*Y169*VLOOKUP('Données projet'!$B$9,Paramètres!$A$1:$I$89,3,0)*0.475*44/12</f>
        <v>1.8450723445809251E-20</v>
      </c>
      <c r="AC169" s="22">
        <f t="shared" si="163"/>
        <v>0.70432231477871399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-4.5474735088646412E-13</v>
      </c>
      <c r="AJ169" s="13">
        <f>AI169*VLOOKUP('Données projet'!$B$10,Paramètres!$A$1:$I$89,3,0)*VLOOKUP('Données projet'!$B$10,Paramètres!$A$1:$I$89,5,0)</f>
        <v>-2.7193891583010558E-13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216.94426559495264</v>
      </c>
      <c r="AO169" s="59">
        <f t="shared" si="144"/>
        <v>225.33715877618704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0.29598865186489598</v>
      </c>
      <c r="AW169" s="21">
        <f>EXP(-LN(2)/2)*AW168+(1-EXP(-LN(2)/2))/(LN(2)/2)*AQ169*AT169*VLOOKUP('Données projet'!$B$10,Paramètres!$A$1:$I$89,3,0)*0.475*44/12</f>
        <v>8.0398198521515263E-20</v>
      </c>
      <c r="AX169" s="21">
        <f t="shared" si="166"/>
        <v>0.29598865186489598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-1.0286385077051818E-13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237.22177246688199</v>
      </c>
      <c r="BJ169" s="59">
        <f t="shared" si="146"/>
        <v>149.27472147904302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7.1546703726738492E-2</v>
      </c>
      <c r="BR169" s="21">
        <f>EXP(-LN(2)/2)*BR168+(1-EXP(-LN(2)/2))/(LN(2)/2)*BL169*BO169*VLOOKUP('Données projet'!$B$11,Paramètres!$A$1:$I$89,3,0)*0.475*44/12</f>
        <v>2.0970326218874364E-20</v>
      </c>
      <c r="BS169" s="22">
        <f t="shared" si="169"/>
        <v>7.1546703726738492E-2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-2.8421709430404007E-14</v>
      </c>
      <c r="BZ169" s="13">
        <f>BY169*VLOOKUP('Données projet'!$B$12,Paramètres!$A$1:$I$89,3,0)*VLOOKUP('Données projet'!$B$12,Paramètres!$A$1:$I$89,5,0)</f>
        <v>-2.4829205358400945E-14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223.81948236065614</v>
      </c>
      <c r="CE169" s="59">
        <f t="shared" si="148"/>
        <v>320.1204011431372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0.20789467069019255</v>
      </c>
      <c r="CL169" s="21">
        <f>EXP(-LN(2)/25)*CL168+(1-EXP(-LN(2)/25))/(LN(2)/25)*Calculateur!CG169*Calculateur!CI169*VLOOKUP('Données projet'!$B$12,Paramètres!$A$1:$I$89,3,0)*0.475*44/12</f>
        <v>0.40755261962154993</v>
      </c>
      <c r="CM169" s="21">
        <f>EXP(-LN(2)/2)*CM168+(1-EXP(-LN(2)/2))/(LN(2)/2)*CG169*CJ169*VLOOKUP('Données projet'!$B$12,Paramètres!$A$1:$I$89,3,0)*0.475*44/12</f>
        <v>9.4088442851355113E-20</v>
      </c>
      <c r="CN169" s="22">
        <f t="shared" si="172"/>
        <v>0.6154472903117425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-5.1159076974727213E-13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168.08890945052406</v>
      </c>
      <c r="T170" s="59">
        <f t="shared" si="142"/>
        <v>182.52462557642343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0.41203348007155849</v>
      </c>
      <c r="AA170" s="21">
        <f>EXP(-LN(2)/25)*AA169+(1-EXP(-LN(2)/25))/(LN(2)/25)*Calculateur!V170*Calculateur!X170*VLOOKUP('Données projet'!$B$9,Paramètres!$A$1:$I$89,3,0)*0.475*44/12</f>
        <v>0.27628020809151982</v>
      </c>
      <c r="AB170" s="21">
        <f>EXP(-LN(2)/2)*AB169+(1-EXP(-LN(2)/2))/(LN(2)/2)*V170*Y170*VLOOKUP('Données projet'!$B$9,Paramètres!$A$1:$I$89,3,0)*0.475*44/12</f>
        <v>1.3046631666329345E-20</v>
      </c>
      <c r="AC170" s="22">
        <f t="shared" si="163"/>
        <v>0.68831368816307825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-4.5474735088646412E-13</v>
      </c>
      <c r="AJ170" s="13">
        <f>AI170*VLOOKUP('Données projet'!$B$10,Paramètres!$A$1:$I$89,3,0)*VLOOKUP('Données projet'!$B$10,Paramètres!$A$1:$I$89,5,0)</f>
        <v>-2.7193891583010558E-13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216.94426559495264</v>
      </c>
      <c r="AO170" s="59">
        <f t="shared" si="144"/>
        <v>225.33715877618704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0.28789482661428367</v>
      </c>
      <c r="AW170" s="21">
        <f>EXP(-LN(2)/2)*AW169+(1-EXP(-LN(2)/2))/(LN(2)/2)*AQ170*AT170*VLOOKUP('Données projet'!$B$10,Paramètres!$A$1:$I$89,3,0)*0.475*44/12</f>
        <v>5.6850111369745701E-20</v>
      </c>
      <c r="AX170" s="21">
        <f t="shared" si="166"/>
        <v>0.28789482661428367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-1.0286385077051818E-13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237.22177246688199</v>
      </c>
      <c r="BJ170" s="59">
        <f t="shared" si="146"/>
        <v>149.27472147904302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6.9590255350853197E-2</v>
      </c>
      <c r="BR170" s="21">
        <f>EXP(-LN(2)/2)*BR169+(1-EXP(-LN(2)/2))/(LN(2)/2)*BL170*BO170*VLOOKUP('Données projet'!$B$11,Paramètres!$A$1:$I$89,3,0)*0.475*44/12</f>
        <v>1.4828259873060115E-20</v>
      </c>
      <c r="BS170" s="22">
        <f t="shared" si="169"/>
        <v>6.9590255350853197E-2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-2.8421709430404007E-14</v>
      </c>
      <c r="BZ170" s="13">
        <f>BY170*VLOOKUP('Données projet'!$B$12,Paramètres!$A$1:$I$89,3,0)*VLOOKUP('Données projet'!$B$12,Paramètres!$A$1:$I$89,5,0)</f>
        <v>-2.4829205358400945E-14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223.81948236065614</v>
      </c>
      <c r="CE170" s="59">
        <f t="shared" si="148"/>
        <v>320.1204011431372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0.2038179830011862</v>
      </c>
      <c r="CL170" s="21">
        <f>EXP(-LN(2)/25)*CL169+(1-EXP(-LN(2)/25))/(LN(2)/25)*Calculateur!CG170*Calculateur!CI170*VLOOKUP('Données projet'!$B$12,Paramètres!$A$1:$I$89,3,0)*0.475*44/12</f>
        <v>0.39640807180573784</v>
      </c>
      <c r="CM170" s="21">
        <f>EXP(-LN(2)/2)*CM169+(1-EXP(-LN(2)/2))/(LN(2)/2)*CG170*CJ170*VLOOKUP('Données projet'!$B$12,Paramètres!$A$1:$I$89,3,0)*0.475*44/12</f>
        <v>6.653057597147614E-20</v>
      </c>
      <c r="CN170" s="22">
        <f t="shared" si="172"/>
        <v>0.60022605480692404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-5.1159076974727213E-13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168.08890945052406</v>
      </c>
      <c r="T171" s="59">
        <f t="shared" si="142"/>
        <v>182.52462557642343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0.4039537548429627</v>
      </c>
      <c r="AA171" s="21">
        <f>EXP(-LN(2)/25)*AA170+(1-EXP(-LN(2)/25))/(LN(2)/25)*Calculateur!V171*Calculateur!X171*VLOOKUP('Données projet'!$B$9,Paramètres!$A$1:$I$89,3,0)*0.475*44/12</f>
        <v>0.26872531127231253</v>
      </c>
      <c r="AB171" s="21">
        <f>EXP(-LN(2)/2)*AB170+(1-EXP(-LN(2)/2))/(LN(2)/2)*V171*Y171*VLOOKUP('Données projet'!$B$9,Paramètres!$A$1:$I$89,3,0)*0.475*44/12</f>
        <v>9.2253617229046257E-21</v>
      </c>
      <c r="AC171" s="22">
        <f t="shared" si="163"/>
        <v>0.67267906611527528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-4.5474735088646412E-13</v>
      </c>
      <c r="AJ171" s="13">
        <f>AI171*VLOOKUP('Données projet'!$B$10,Paramètres!$A$1:$I$89,3,0)*VLOOKUP('Données projet'!$B$10,Paramètres!$A$1:$I$89,5,0)</f>
        <v>-2.7193891583010558E-13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216.94426559495264</v>
      </c>
      <c r="AO171" s="59">
        <f t="shared" si="144"/>
        <v>225.33715877618704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0.28002232744078515</v>
      </c>
      <c r="AW171" s="21">
        <f>EXP(-LN(2)/2)*AW170+(1-EXP(-LN(2)/2))/(LN(2)/2)*AQ171*AT171*VLOOKUP('Données projet'!$B$10,Paramètres!$A$1:$I$89,3,0)*0.475*44/12</f>
        <v>4.0199099260757632E-20</v>
      </c>
      <c r="AX171" s="21">
        <f t="shared" si="166"/>
        <v>0.28002232744078515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-1.0286385077051818E-13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237.22177246688199</v>
      </c>
      <c r="BJ171" s="59">
        <f t="shared" si="146"/>
        <v>149.27472147904302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6.7687306158691632E-2</v>
      </c>
      <c r="BR171" s="21">
        <f>EXP(-LN(2)/2)*BR170+(1-EXP(-LN(2)/2))/(LN(2)/2)*BL171*BO171*VLOOKUP('Données projet'!$B$11,Paramètres!$A$1:$I$89,3,0)*0.475*44/12</f>
        <v>1.0485163109437182E-20</v>
      </c>
      <c r="BS171" s="22">
        <f t="shared" si="169"/>
        <v>6.7687306158691632E-2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-2.8421709430404007E-14</v>
      </c>
      <c r="BZ171" s="13">
        <f>BY171*VLOOKUP('Données projet'!$B$12,Paramètres!$A$1:$I$89,3,0)*VLOOKUP('Données projet'!$B$12,Paramètres!$A$1:$I$89,5,0)</f>
        <v>-2.4829205358400945E-14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223.81948236065614</v>
      </c>
      <c r="CE171" s="59">
        <f t="shared" si="148"/>
        <v>320.1204011431372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0.19982123667122731</v>
      </c>
      <c r="CL171" s="21">
        <f>EXP(-LN(2)/25)*CL170+(1-EXP(-LN(2)/25))/(LN(2)/25)*Calculateur!CG171*Calculateur!CI171*VLOOKUP('Données projet'!$B$12,Paramètres!$A$1:$I$89,3,0)*0.475*44/12</f>
        <v>0.38556827223601542</v>
      </c>
      <c r="CM171" s="21">
        <f>EXP(-LN(2)/2)*CM170+(1-EXP(-LN(2)/2))/(LN(2)/2)*CG171*CJ171*VLOOKUP('Données projet'!$B$12,Paramètres!$A$1:$I$89,3,0)*0.475*44/12</f>
        <v>4.7044221425677556E-20</v>
      </c>
      <c r="CN171" s="22">
        <f t="shared" si="172"/>
        <v>0.58538950890724273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-5.1159076974727213E-13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168.08890945052406</v>
      </c>
      <c r="T172" s="59">
        <f t="shared" si="142"/>
        <v>182.52462557642343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0.39603246809795389</v>
      </c>
      <c r="AA172" s="21">
        <f>EXP(-LN(2)/25)*AA171+(1-EXP(-LN(2)/25))/(LN(2)/25)*Calculateur!V172*Calculateur!X172*VLOOKUP('Données projet'!$B$9,Paramètres!$A$1:$I$89,3,0)*0.475*44/12</f>
        <v>0.26137700350392118</v>
      </c>
      <c r="AB172" s="21">
        <f>EXP(-LN(2)/2)*AB171+(1-EXP(-LN(2)/2))/(LN(2)/2)*V172*Y172*VLOOKUP('Données projet'!$B$9,Paramètres!$A$1:$I$89,3,0)*0.475*44/12</f>
        <v>6.5233158331646723E-21</v>
      </c>
      <c r="AC172" s="22">
        <f t="shared" si="163"/>
        <v>0.65740947160187502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-4.5474735088646412E-13</v>
      </c>
      <c r="AJ172" s="13">
        <f>AI172*VLOOKUP('Données projet'!$B$10,Paramètres!$A$1:$I$89,3,0)*VLOOKUP('Données projet'!$B$10,Paramètres!$A$1:$I$89,5,0)</f>
        <v>-2.7193891583010558E-13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216.94426559495264</v>
      </c>
      <c r="AO172" s="59">
        <f t="shared" si="144"/>
        <v>225.33715877618704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0.27236510217118265</v>
      </c>
      <c r="AW172" s="21">
        <f>EXP(-LN(2)/2)*AW171+(1-EXP(-LN(2)/2))/(LN(2)/2)*AQ172*AT172*VLOOKUP('Données projet'!$B$10,Paramètres!$A$1:$I$89,3,0)*0.475*44/12</f>
        <v>2.842505568487285E-20</v>
      </c>
      <c r="AX172" s="21">
        <f t="shared" si="166"/>
        <v>0.27236510217118265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-1.0286385077051818E-13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237.22177246688199</v>
      </c>
      <c r="BJ172" s="59">
        <f t="shared" si="146"/>
        <v>149.27472147904302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6.5836393212261479E-2</v>
      </c>
      <c r="BR172" s="21">
        <f>EXP(-LN(2)/2)*BR171+(1-EXP(-LN(2)/2))/(LN(2)/2)*BL172*BO172*VLOOKUP('Données projet'!$B$11,Paramètres!$A$1:$I$89,3,0)*0.475*44/12</f>
        <v>7.4141299365300576E-21</v>
      </c>
      <c r="BS172" s="22">
        <f t="shared" si="169"/>
        <v>6.5836393212261479E-2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-2.8421709430404007E-14</v>
      </c>
      <c r="BZ172" s="13">
        <f>BY172*VLOOKUP('Données projet'!$B$12,Paramètres!$A$1:$I$89,3,0)*VLOOKUP('Données projet'!$B$12,Paramètres!$A$1:$I$89,5,0)</f>
        <v>-2.4829205358400945E-14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223.81948236065614</v>
      </c>
      <c r="CE172" s="59">
        <f t="shared" si="148"/>
        <v>320.1204011431372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0.19590286409902435</v>
      </c>
      <c r="CL172" s="21">
        <f>EXP(-LN(2)/25)*CL171+(1-EXP(-LN(2)/25))/(LN(2)/25)*Calculateur!CG172*Calculateur!CI172*VLOOKUP('Données projet'!$B$12,Paramètres!$A$1:$I$89,3,0)*0.475*44/12</f>
        <v>0.37502488755556734</v>
      </c>
      <c r="CM172" s="21">
        <f>EXP(-LN(2)/2)*CM171+(1-EXP(-LN(2)/2))/(LN(2)/2)*CG172*CJ172*VLOOKUP('Données projet'!$B$12,Paramètres!$A$1:$I$89,3,0)*0.475*44/12</f>
        <v>3.326528798573807E-20</v>
      </c>
      <c r="CN172" s="22">
        <f t="shared" si="172"/>
        <v>0.57092775165459164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-5.1159076974727213E-13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168.08890945052406</v>
      </c>
      <c r="T173" s="59">
        <f t="shared" si="142"/>
        <v>182.52462557642343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0.38826651295450687</v>
      </c>
      <c r="AA173" s="21">
        <f>EXP(-LN(2)/25)*AA172+(1-EXP(-LN(2)/25))/(LN(2)/25)*Calculateur!V173*Calculateur!X173*VLOOKUP('Données projet'!$B$9,Paramètres!$A$1:$I$89,3,0)*0.475*44/12</f>
        <v>0.25422963559788725</v>
      </c>
      <c r="AB173" s="21">
        <f>EXP(-LN(2)/2)*AB172+(1-EXP(-LN(2)/2))/(LN(2)/2)*V173*Y173*VLOOKUP('Données projet'!$B$9,Paramètres!$A$1:$I$89,3,0)*0.475*44/12</f>
        <v>4.6126808614523128E-21</v>
      </c>
      <c r="AC173" s="22">
        <f t="shared" si="163"/>
        <v>0.64249614855239412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-4.5474735088646412E-13</v>
      </c>
      <c r="AJ173" s="13">
        <f>AI173*VLOOKUP('Données projet'!$B$10,Paramètres!$A$1:$I$89,3,0)*VLOOKUP('Données projet'!$B$10,Paramètres!$A$1:$I$89,5,0)</f>
        <v>-2.7193891583010558E-13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216.94426559495264</v>
      </c>
      <c r="AO173" s="59">
        <f t="shared" si="144"/>
        <v>225.33715877618704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0.26491726412925343</v>
      </c>
      <c r="AW173" s="21">
        <f>EXP(-LN(2)/2)*AW172+(1-EXP(-LN(2)/2))/(LN(2)/2)*AQ173*AT173*VLOOKUP('Données projet'!$B$10,Paramètres!$A$1:$I$89,3,0)*0.475*44/12</f>
        <v>2.0099549630378816E-20</v>
      </c>
      <c r="AX173" s="21">
        <f t="shared" si="166"/>
        <v>0.26491726412925343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-1.0286385077051818E-13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237.22177246688199</v>
      </c>
      <c r="BJ173" s="59">
        <f t="shared" si="146"/>
        <v>149.27472147904302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6.4036093577686748E-2</v>
      </c>
      <c r="BR173" s="21">
        <f>EXP(-LN(2)/2)*BR172+(1-EXP(-LN(2)/2))/(LN(2)/2)*BL173*BO173*VLOOKUP('Données projet'!$B$11,Paramètres!$A$1:$I$89,3,0)*0.475*44/12</f>
        <v>5.242581554718591E-21</v>
      </c>
      <c r="BS173" s="22">
        <f t="shared" si="169"/>
        <v>6.4036093577686748E-2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-2.8421709430404007E-14</v>
      </c>
      <c r="BZ173" s="13">
        <f>BY173*VLOOKUP('Données projet'!$B$12,Paramètres!$A$1:$I$89,3,0)*VLOOKUP('Données projet'!$B$12,Paramètres!$A$1:$I$89,5,0)</f>
        <v>-2.4829205358400945E-14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223.81948236065614</v>
      </c>
      <c r="CE173" s="59">
        <f t="shared" si="148"/>
        <v>320.1204011431372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0.19206132842299103</v>
      </c>
      <c r="CL173" s="21">
        <f>EXP(-LN(2)/25)*CL172+(1-EXP(-LN(2)/25))/(LN(2)/25)*Calculateur!CG173*Calculateur!CI173*VLOOKUP('Données projet'!$B$12,Paramètres!$A$1:$I$89,3,0)*0.475*44/12</f>
        <v>0.36476981228365862</v>
      </c>
      <c r="CM173" s="21">
        <f>EXP(-LN(2)/2)*CM172+(1-EXP(-LN(2)/2))/(LN(2)/2)*CG173*CJ173*VLOOKUP('Données projet'!$B$12,Paramètres!$A$1:$I$89,3,0)*0.475*44/12</f>
        <v>2.3522110712838778E-20</v>
      </c>
      <c r="CN173" s="22">
        <f t="shared" si="172"/>
        <v>0.55683114070664963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-5.1159076974727213E-13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168.08890945052406</v>
      </c>
      <c r="T174" s="59">
        <f t="shared" si="142"/>
        <v>182.52462557642343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0.38065284345465794</v>
      </c>
      <c r="AA174" s="21">
        <f>EXP(-LN(2)/25)*AA173+(1-EXP(-LN(2)/25))/(LN(2)/25)*Calculateur!V174*Calculateur!X174*VLOOKUP('Données projet'!$B$9,Paramètres!$A$1:$I$89,3,0)*0.475*44/12</f>
        <v>0.24727771284310754</v>
      </c>
      <c r="AB174" s="21">
        <f>EXP(-LN(2)/2)*AB173+(1-EXP(-LN(2)/2))/(LN(2)/2)*V174*Y174*VLOOKUP('Données projet'!$B$9,Paramètres!$A$1:$I$89,3,0)*0.475*44/12</f>
        <v>3.2616579165823361E-21</v>
      </c>
      <c r="AC174" s="22">
        <f t="shared" si="163"/>
        <v>0.62793055629776551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-4.5474735088646412E-13</v>
      </c>
      <c r="AJ174" s="13">
        <f>AI174*VLOOKUP('Données projet'!$B$10,Paramètres!$A$1:$I$89,3,0)*VLOOKUP('Données projet'!$B$10,Paramètres!$A$1:$I$89,5,0)</f>
        <v>-2.7193891583010558E-13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216.94426559495264</v>
      </c>
      <c r="AO174" s="59">
        <f t="shared" si="144"/>
        <v>225.33715877618704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0.25767308761024554</v>
      </c>
      <c r="AW174" s="21">
        <f>EXP(-LN(2)/2)*AW173+(1-EXP(-LN(2)/2))/(LN(2)/2)*AQ174*AT174*VLOOKUP('Données projet'!$B$10,Paramètres!$A$1:$I$89,3,0)*0.475*44/12</f>
        <v>1.4212527842436425E-20</v>
      </c>
      <c r="AX174" s="21">
        <f t="shared" si="166"/>
        <v>0.25767308761024554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-1.0286385077051818E-13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237.22177246688199</v>
      </c>
      <c r="BJ174" s="59">
        <f t="shared" si="146"/>
        <v>149.27472147904302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6.2285023231293098E-2</v>
      </c>
      <c r="BR174" s="21">
        <f>EXP(-LN(2)/2)*BR173+(1-EXP(-LN(2)/2))/(LN(2)/2)*BL174*BO174*VLOOKUP('Données projet'!$B$11,Paramètres!$A$1:$I$89,3,0)*0.475*44/12</f>
        <v>3.7070649682650288E-21</v>
      </c>
      <c r="BS174" s="22">
        <f t="shared" si="169"/>
        <v>6.2285023231293098E-2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-2.8421709430404007E-14</v>
      </c>
      <c r="BZ174" s="13">
        <f>BY174*VLOOKUP('Données projet'!$B$12,Paramètres!$A$1:$I$89,3,0)*VLOOKUP('Données projet'!$B$12,Paramètres!$A$1:$I$89,5,0)</f>
        <v>-2.4829205358400945E-14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223.81948236065614</v>
      </c>
      <c r="CE174" s="59">
        <f t="shared" si="148"/>
        <v>320.1204011431372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0.18829512291845932</v>
      </c>
      <c r="CL174" s="21">
        <f>EXP(-LN(2)/25)*CL173+(1-EXP(-LN(2)/25))/(LN(2)/25)*Calculateur!CG174*Calculateur!CI174*VLOOKUP('Données projet'!$B$12,Paramètres!$A$1:$I$89,3,0)*0.475*44/12</f>
        <v>0.35479516258435123</v>
      </c>
      <c r="CM174" s="21">
        <f>EXP(-LN(2)/2)*CM173+(1-EXP(-LN(2)/2))/(LN(2)/2)*CG174*CJ174*VLOOKUP('Données projet'!$B$12,Paramètres!$A$1:$I$89,3,0)*0.475*44/12</f>
        <v>1.6632643992869035E-20</v>
      </c>
      <c r="CN174" s="22">
        <f t="shared" si="172"/>
        <v>0.54309028550281058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-5.1159076974727213E-13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168.08890945052406</v>
      </c>
      <c r="T175" s="59">
        <f t="shared" si="142"/>
        <v>182.52462557642343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0.37318847336982119</v>
      </c>
      <c r="AA175" s="21">
        <f>EXP(-LN(2)/25)*AA174+(1-EXP(-LN(2)/25))/(LN(2)/25)*Calculateur!V175*Calculateur!X175*VLOOKUP('Données projet'!$B$9,Paramètres!$A$1:$I$89,3,0)*0.475*44/12</f>
        <v>0.24051589078164301</v>
      </c>
      <c r="AB175" s="21">
        <f>EXP(-LN(2)/2)*AB174+(1-EXP(-LN(2)/2))/(LN(2)/2)*V175*Y175*VLOOKUP('Données projet'!$B$9,Paramètres!$A$1:$I$89,3,0)*0.475*44/12</f>
        <v>2.3063404307261564E-21</v>
      </c>
      <c r="AC175" s="22">
        <f t="shared" si="163"/>
        <v>0.61370436415146423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-4.5474735088646412E-13</v>
      </c>
      <c r="AJ175" s="13">
        <f>AI175*VLOOKUP('Données projet'!$B$10,Paramètres!$A$1:$I$89,3,0)*VLOOKUP('Données projet'!$B$10,Paramètres!$A$1:$I$89,5,0)</f>
        <v>-2.7193891583010558E-13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216.94426559495264</v>
      </c>
      <c r="AO175" s="59">
        <f t="shared" si="144"/>
        <v>225.33715877618704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0.2506270034791046</v>
      </c>
      <c r="AW175" s="21">
        <f>EXP(-LN(2)/2)*AW174+(1-EXP(-LN(2)/2))/(LN(2)/2)*AQ175*AT175*VLOOKUP('Données projet'!$B$10,Paramètres!$A$1:$I$89,3,0)*0.475*44/12</f>
        <v>1.0049774815189408E-20</v>
      </c>
      <c r="AX175" s="21">
        <f t="shared" si="166"/>
        <v>0.2506270034791046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-1.0286385077051818E-13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237.22177246688199</v>
      </c>
      <c r="BJ175" s="59">
        <f t="shared" si="146"/>
        <v>149.27472147904302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6.0581835995606369E-2</v>
      </c>
      <c r="BR175" s="21">
        <f>EXP(-LN(2)/2)*BR174+(1-EXP(-LN(2)/2))/(LN(2)/2)*BL175*BO175*VLOOKUP('Données projet'!$B$11,Paramètres!$A$1:$I$89,3,0)*0.475*44/12</f>
        <v>2.6212907773592955E-21</v>
      </c>
      <c r="BS175" s="22">
        <f t="shared" si="169"/>
        <v>6.0581835995606369E-2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-2.8421709430404007E-14</v>
      </c>
      <c r="BZ175" s="13">
        <f>BY175*VLOOKUP('Données projet'!$B$12,Paramètres!$A$1:$I$89,3,0)*VLOOKUP('Données projet'!$B$12,Paramètres!$A$1:$I$89,5,0)</f>
        <v>-2.4829205358400945E-14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223.81948236065614</v>
      </c>
      <c r="CE175" s="59">
        <f t="shared" si="148"/>
        <v>320.1204011431372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0.18460277040671294</v>
      </c>
      <c r="CL175" s="21">
        <f>EXP(-LN(2)/25)*CL174+(1-EXP(-LN(2)/25))/(LN(2)/25)*Calculateur!CG175*Calculateur!CI175*VLOOKUP('Données projet'!$B$12,Paramètres!$A$1:$I$89,3,0)*0.475*44/12</f>
        <v>0.34509327020561542</v>
      </c>
      <c r="CM175" s="21">
        <f>EXP(-LN(2)/2)*CM174+(1-EXP(-LN(2)/2))/(LN(2)/2)*CG175*CJ175*VLOOKUP('Données projet'!$B$12,Paramètres!$A$1:$I$89,3,0)*0.475*44/12</f>
        <v>1.1761055356419389E-20</v>
      </c>
      <c r="CN175" s="22">
        <f t="shared" si="172"/>
        <v>0.52969604061232833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-5.1159076974727213E-13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168.08890945052406</v>
      </c>
      <c r="T176" s="59">
        <f t="shared" si="142"/>
        <v>182.52462557642343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0.36587047502953191</v>
      </c>
      <c r="AA176" s="21">
        <f>EXP(-LN(2)/25)*AA175+(1-EXP(-LN(2)/25))/(LN(2)/25)*Calculateur!V176*Calculateur!X176*VLOOKUP('Données projet'!$B$9,Paramètres!$A$1:$I$89,3,0)*0.475*44/12</f>
        <v>0.233938971100038</v>
      </c>
      <c r="AB176" s="21">
        <f>EXP(-LN(2)/2)*AB175+(1-EXP(-LN(2)/2))/(LN(2)/2)*V176*Y176*VLOOKUP('Données projet'!$B$9,Paramètres!$A$1:$I$89,3,0)*0.475*44/12</f>
        <v>1.6308289582911681E-21</v>
      </c>
      <c r="AC176" s="22">
        <f t="shared" si="163"/>
        <v>0.59980944612956988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-4.5474735088646412E-13</v>
      </c>
      <c r="AJ176" s="13">
        <f>AI176*VLOOKUP('Données projet'!$B$10,Paramètres!$A$1:$I$89,3,0)*VLOOKUP('Données projet'!$B$10,Paramètres!$A$1:$I$89,5,0)</f>
        <v>-2.7193891583010558E-13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216.94426559495264</v>
      </c>
      <c r="AO176" s="59">
        <f t="shared" si="144"/>
        <v>225.33715877618704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0.24377359488906719</v>
      </c>
      <c r="AW176" s="21">
        <f>EXP(-LN(2)/2)*AW175+(1-EXP(-LN(2)/2))/(LN(2)/2)*AQ176*AT176*VLOOKUP('Données projet'!$B$10,Paramètres!$A$1:$I$89,3,0)*0.475*44/12</f>
        <v>7.1062639212182126E-21</v>
      </c>
      <c r="AX176" s="21">
        <f t="shared" si="166"/>
        <v>0.24377359488906719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-1.0286385077051818E-13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237.22177246688199</v>
      </c>
      <c r="BJ176" s="59">
        <f t="shared" si="146"/>
        <v>149.27472147904302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5.892522250444622E-2</v>
      </c>
      <c r="BR176" s="21">
        <f>EXP(-LN(2)/2)*BR175+(1-EXP(-LN(2)/2))/(LN(2)/2)*BL176*BO176*VLOOKUP('Données projet'!$B$11,Paramètres!$A$1:$I$89,3,0)*0.475*44/12</f>
        <v>1.8535324841325144E-21</v>
      </c>
      <c r="BS176" s="22">
        <f t="shared" si="169"/>
        <v>5.892522250444622E-2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-2.8421709430404007E-14</v>
      </c>
      <c r="BZ176" s="13">
        <f>BY176*VLOOKUP('Données projet'!$B$12,Paramètres!$A$1:$I$89,3,0)*VLOOKUP('Données projet'!$B$12,Paramètres!$A$1:$I$89,5,0)</f>
        <v>-2.4829205358400945E-14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223.81948236065614</v>
      </c>
      <c r="CE176" s="59">
        <f t="shared" si="148"/>
        <v>320.1204011431372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0.18098282267560925</v>
      </c>
      <c r="CL176" s="21">
        <f>EXP(-LN(2)/25)*CL175+(1-EXP(-LN(2)/25))/(LN(2)/25)*Calculateur!CG176*Calculateur!CI176*VLOOKUP('Données projet'!$B$12,Paramètres!$A$1:$I$89,3,0)*0.475*44/12</f>
        <v>0.33565667658417653</v>
      </c>
      <c r="CM176" s="21">
        <f>EXP(-LN(2)/2)*CM175+(1-EXP(-LN(2)/2))/(LN(2)/2)*CG176*CJ176*VLOOKUP('Données projet'!$B$12,Paramètres!$A$1:$I$89,3,0)*0.475*44/12</f>
        <v>8.3163219964345175E-21</v>
      </c>
      <c r="CN176" s="22">
        <f t="shared" si="172"/>
        <v>0.51663949925978581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-5.1159076974727213E-13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168.08890945052406</v>
      </c>
      <c r="T177" s="59">
        <f t="shared" si="142"/>
        <v>182.52462557642343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0.35869597817315746</v>
      </c>
      <c r="AA177" s="21">
        <f>EXP(-LN(2)/25)*AA176+(1-EXP(-LN(2)/25))/(LN(2)/25)*Calculateur!V177*Calculateur!X177*VLOOKUP('Données projet'!$B$9,Paramètres!$A$1:$I$89,3,0)*0.475*44/12</f>
        <v>0.22754189763299165</v>
      </c>
      <c r="AB177" s="21">
        <f>EXP(-LN(2)/2)*AB176+(1-EXP(-LN(2)/2))/(LN(2)/2)*V177*Y177*VLOOKUP('Données projet'!$B$9,Paramètres!$A$1:$I$89,3,0)*0.475*44/12</f>
        <v>1.1531702153630782E-21</v>
      </c>
      <c r="AC177" s="22">
        <f t="shared" si="163"/>
        <v>0.58623787580614906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-4.5474735088646412E-13</v>
      </c>
      <c r="AJ177" s="13">
        <f>AI177*VLOOKUP('Données projet'!$B$10,Paramètres!$A$1:$I$89,3,0)*VLOOKUP('Données projet'!$B$10,Paramètres!$A$1:$I$89,5,0)</f>
        <v>-2.7193891583010558E-13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216.94426559495264</v>
      </c>
      <c r="AO177" s="59">
        <f t="shared" si="144"/>
        <v>225.33715877618704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0.23710759311732946</v>
      </c>
      <c r="AW177" s="21">
        <f>EXP(-LN(2)/2)*AW176+(1-EXP(-LN(2)/2))/(LN(2)/2)*AQ177*AT177*VLOOKUP('Données projet'!$B$10,Paramètres!$A$1:$I$89,3,0)*0.475*44/12</f>
        <v>5.024887407594704E-21</v>
      </c>
      <c r="AX177" s="21">
        <f t="shared" si="166"/>
        <v>0.23710759311732946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-1.0286385077051818E-13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237.22177246688199</v>
      </c>
      <c r="BJ177" s="59">
        <f t="shared" si="146"/>
        <v>149.27472147904302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5.731390919631936E-2</v>
      </c>
      <c r="BR177" s="21">
        <f>EXP(-LN(2)/2)*BR176+(1-EXP(-LN(2)/2))/(LN(2)/2)*BL177*BO177*VLOOKUP('Données projet'!$B$11,Paramètres!$A$1:$I$89,3,0)*0.475*44/12</f>
        <v>1.3106453886796478E-21</v>
      </c>
      <c r="BS177" s="22">
        <f t="shared" si="169"/>
        <v>5.731390919631936E-2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-2.8421709430404007E-14</v>
      </c>
      <c r="BZ177" s="13">
        <f>BY177*VLOOKUP('Données projet'!$B$12,Paramètres!$A$1:$I$89,3,0)*VLOOKUP('Données projet'!$B$12,Paramètres!$A$1:$I$89,5,0)</f>
        <v>-2.4829205358400945E-14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223.81948236065614</v>
      </c>
      <c r="CE177" s="59">
        <f t="shared" si="148"/>
        <v>320.1204011431372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0.17743385991156241</v>
      </c>
      <c r="CL177" s="21">
        <f>EXP(-LN(2)/25)*CL176+(1-EXP(-LN(2)/25))/(LN(2)/25)*Calculateur!CG177*Calculateur!CI177*VLOOKUP('Données projet'!$B$12,Paramètres!$A$1:$I$89,3,0)*0.475*44/12</f>
        <v>0.32647812711156476</v>
      </c>
      <c r="CM177" s="21">
        <f>EXP(-LN(2)/2)*CM176+(1-EXP(-LN(2)/2))/(LN(2)/2)*CG177*CJ177*VLOOKUP('Données projet'!$B$12,Paramètres!$A$1:$I$89,3,0)*0.475*44/12</f>
        <v>5.8805276782096946E-21</v>
      </c>
      <c r="CN177" s="22">
        <f t="shared" si="172"/>
        <v>0.50391198702312723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-5.1159076974727213E-13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168.08890945052406</v>
      </c>
      <c r="T178" s="59">
        <f t="shared" si="142"/>
        <v>182.52462557642343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0.35166216882412549</v>
      </c>
      <c r="AA178" s="21">
        <f>EXP(-LN(2)/25)*AA177+(1-EXP(-LN(2)/25))/(LN(2)/25)*Calculateur!V178*Calculateur!X178*VLOOKUP('Données projet'!$B$9,Paramètres!$A$1:$I$89,3,0)*0.475*44/12</f>
        <v>0.22131975247630914</v>
      </c>
      <c r="AB178" s="21">
        <f>EXP(-LN(2)/2)*AB177+(1-EXP(-LN(2)/2))/(LN(2)/2)*V178*Y178*VLOOKUP('Données projet'!$B$9,Paramètres!$A$1:$I$89,3,0)*0.475*44/12</f>
        <v>8.1541447914558404E-22</v>
      </c>
      <c r="AC178" s="22">
        <f t="shared" si="163"/>
        <v>0.57298192130043457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-4.5474735088646412E-13</v>
      </c>
      <c r="AJ178" s="13">
        <f>AI178*VLOOKUP('Données projet'!$B$10,Paramètres!$A$1:$I$89,3,0)*VLOOKUP('Données projet'!$B$10,Paramètres!$A$1:$I$89,5,0)</f>
        <v>-2.7193891583010558E-13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216.94426559495264</v>
      </c>
      <c r="AO178" s="59">
        <f t="shared" si="144"/>
        <v>225.33715877618704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0.23062387351458968</v>
      </c>
      <c r="AW178" s="21">
        <f>EXP(-LN(2)/2)*AW177+(1-EXP(-LN(2)/2))/(LN(2)/2)*AQ178*AT178*VLOOKUP('Données projet'!$B$10,Paramètres!$A$1:$I$89,3,0)*0.475*44/12</f>
        <v>3.5531319606091063E-21</v>
      </c>
      <c r="AX178" s="21">
        <f t="shared" si="166"/>
        <v>0.23062387351458968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-1.0286385077051818E-13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237.22177246688199</v>
      </c>
      <c r="BJ178" s="59">
        <f t="shared" si="146"/>
        <v>149.27472147904302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5.5746657335338512E-2</v>
      </c>
      <c r="BR178" s="21">
        <f>EXP(-LN(2)/2)*BR177+(1-EXP(-LN(2)/2))/(LN(2)/2)*BL178*BO178*VLOOKUP('Données projet'!$B$11,Paramètres!$A$1:$I$89,3,0)*0.475*44/12</f>
        <v>9.267662420662572E-22</v>
      </c>
      <c r="BS178" s="22">
        <f t="shared" si="169"/>
        <v>5.5746657335338512E-2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-2.8421709430404007E-14</v>
      </c>
      <c r="BZ178" s="13">
        <f>BY178*VLOOKUP('Données projet'!$B$12,Paramètres!$A$1:$I$89,3,0)*VLOOKUP('Données projet'!$B$12,Paramètres!$A$1:$I$89,5,0)</f>
        <v>-2.4829205358400945E-14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223.81948236065614</v>
      </c>
      <c r="CE178" s="59">
        <f t="shared" si="148"/>
        <v>320.1204011431372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0.17395449014266498</v>
      </c>
      <c r="CL178" s="21">
        <f>EXP(-LN(2)/25)*CL177+(1-EXP(-LN(2)/25))/(LN(2)/25)*Calculateur!CG178*Calculateur!CI178*VLOOKUP('Données projet'!$B$12,Paramètres!$A$1:$I$89,3,0)*0.475*44/12</f>
        <v>0.31755056555696048</v>
      </c>
      <c r="CM178" s="21">
        <f>EXP(-LN(2)/2)*CM177+(1-EXP(-LN(2)/2))/(LN(2)/2)*CG178*CJ178*VLOOKUP('Données projet'!$B$12,Paramètres!$A$1:$I$89,3,0)*0.475*44/12</f>
        <v>4.1581609982172588E-21</v>
      </c>
      <c r="CN178" s="22">
        <f t="shared" si="172"/>
        <v>0.49150505569962544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-5.1159076974727213E-13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168.08890945052406</v>
      </c>
      <c r="T179" s="59">
        <f t="shared" si="142"/>
        <v>182.52462557642343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0.34476628818622795</v>
      </c>
      <c r="AA179" s="21">
        <f>EXP(-LN(2)/25)*AA178+(1-EXP(-LN(2)/25))/(LN(2)/25)*Calculateur!V179*Calculateur!X179*VLOOKUP('Données projet'!$B$9,Paramètres!$A$1:$I$89,3,0)*0.475*44/12</f>
        <v>0.21526775220614452</v>
      </c>
      <c r="AB179" s="21">
        <f>EXP(-LN(2)/2)*AB178+(1-EXP(-LN(2)/2))/(LN(2)/2)*V179*Y179*VLOOKUP('Données projet'!$B$9,Paramètres!$A$1:$I$89,3,0)*0.475*44/12</f>
        <v>5.765851076815391E-22</v>
      </c>
      <c r="AC179" s="22">
        <f t="shared" si="163"/>
        <v>0.56003404039237248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-4.5474735088646412E-13</v>
      </c>
      <c r="AJ179" s="13">
        <f>AI179*VLOOKUP('Données projet'!$B$10,Paramètres!$A$1:$I$89,3,0)*VLOOKUP('Données projet'!$B$10,Paramètres!$A$1:$I$89,5,0)</f>
        <v>-2.7193891583010558E-13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216.94426559495264</v>
      </c>
      <c r="AO179" s="59">
        <f t="shared" si="144"/>
        <v>225.33715877618704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0.22431745156535082</v>
      </c>
      <c r="AW179" s="21">
        <f>EXP(-LN(2)/2)*AW178+(1-EXP(-LN(2)/2))/(LN(2)/2)*AQ179*AT179*VLOOKUP('Données projet'!$B$10,Paramètres!$A$1:$I$89,3,0)*0.475*44/12</f>
        <v>2.512443703797352E-21</v>
      </c>
      <c r="AX179" s="21">
        <f t="shared" si="166"/>
        <v>0.22431745156535082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-1.0286385077051818E-13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237.22177246688199</v>
      </c>
      <c r="BJ179" s="59">
        <f t="shared" si="146"/>
        <v>149.27472147904302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5.4222262058914381E-2</v>
      </c>
      <c r="BR179" s="21">
        <f>EXP(-LN(2)/2)*BR178+(1-EXP(-LN(2)/2))/(LN(2)/2)*BL179*BO179*VLOOKUP('Données projet'!$B$11,Paramètres!$A$1:$I$89,3,0)*0.475*44/12</f>
        <v>6.5532269433982388E-22</v>
      </c>
      <c r="BS179" s="22">
        <f t="shared" si="169"/>
        <v>5.4222262058914381E-2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-2.8421709430404007E-14</v>
      </c>
      <c r="BZ179" s="13">
        <f>BY179*VLOOKUP('Données projet'!$B$12,Paramètres!$A$1:$I$89,3,0)*VLOOKUP('Données projet'!$B$12,Paramètres!$A$1:$I$89,5,0)</f>
        <v>-2.4829205358400945E-14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223.81948236065614</v>
      </c>
      <c r="CE179" s="59">
        <f t="shared" si="148"/>
        <v>320.1204011431372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0.17054334869272963</v>
      </c>
      <c r="CL179" s="21">
        <f>EXP(-LN(2)/25)*CL178+(1-EXP(-LN(2)/25))/(LN(2)/25)*Calculateur!CG179*Calculateur!CI179*VLOOKUP('Données projet'!$B$12,Paramètres!$A$1:$I$89,3,0)*0.475*44/12</f>
        <v>0.30886712864254695</v>
      </c>
      <c r="CM179" s="21">
        <f>EXP(-LN(2)/2)*CM178+(1-EXP(-LN(2)/2))/(LN(2)/2)*CG179*CJ179*VLOOKUP('Données projet'!$B$12,Paramètres!$A$1:$I$89,3,0)*0.475*44/12</f>
        <v>2.9402638391048473E-21</v>
      </c>
      <c r="CN179" s="22">
        <f t="shared" si="172"/>
        <v>0.47941047733527659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-5.1159076974727213E-13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168.08890945052406</v>
      </c>
      <c r="T180" s="59">
        <f t="shared" si="142"/>
        <v>182.52462557642343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0.33800563156156771</v>
      </c>
      <c r="AA180" s="21">
        <f>EXP(-LN(2)/25)*AA179+(1-EXP(-LN(2)/25))/(LN(2)/25)*Calculateur!V180*Calculateur!X180*VLOOKUP('Données projet'!$B$9,Paramètres!$A$1:$I$89,3,0)*0.475*44/12</f>
        <v>0.2093812442016284</v>
      </c>
      <c r="AB180" s="21">
        <f>EXP(-LN(2)/2)*AB179+(1-EXP(-LN(2)/2))/(LN(2)/2)*V180*Y180*VLOOKUP('Données projet'!$B$9,Paramètres!$A$1:$I$89,3,0)*0.475*44/12</f>
        <v>4.0770723957279202E-22</v>
      </c>
      <c r="AC180" s="22">
        <f t="shared" si="163"/>
        <v>0.54738687576319611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-4.5474735088646412E-13</v>
      </c>
      <c r="AJ180" s="13">
        <f>AI180*VLOOKUP('Données projet'!$B$10,Paramètres!$A$1:$I$89,3,0)*VLOOKUP('Données projet'!$B$10,Paramètres!$A$1:$I$89,5,0)</f>
        <v>-2.7193891583010558E-13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216.94426559495264</v>
      </c>
      <c r="AO180" s="59">
        <f t="shared" si="144"/>
        <v>225.33715877618704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0.2181834790559542</v>
      </c>
      <c r="AW180" s="21">
        <f>EXP(-LN(2)/2)*AW179+(1-EXP(-LN(2)/2))/(LN(2)/2)*AQ180*AT180*VLOOKUP('Données projet'!$B$10,Paramètres!$A$1:$I$89,3,0)*0.475*44/12</f>
        <v>1.7765659803045531E-21</v>
      </c>
      <c r="AX180" s="21">
        <f t="shared" si="166"/>
        <v>0.2181834790559542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-1.0286385077051818E-13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237.22177246688199</v>
      </c>
      <c r="BJ180" s="59">
        <f t="shared" si="146"/>
        <v>149.27472147904302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5.273955145148853E-2</v>
      </c>
      <c r="BR180" s="21">
        <f>EXP(-LN(2)/2)*BR179+(1-EXP(-LN(2)/2))/(LN(2)/2)*BL180*BO180*VLOOKUP('Données projet'!$B$11,Paramètres!$A$1:$I$89,3,0)*0.475*44/12</f>
        <v>4.633831210331286E-22</v>
      </c>
      <c r="BS180" s="22">
        <f t="shared" si="169"/>
        <v>5.273955145148853E-2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-2.8421709430404007E-14</v>
      </c>
      <c r="BZ180" s="13">
        <f>BY180*VLOOKUP('Données projet'!$B$12,Paramètres!$A$1:$I$89,3,0)*VLOOKUP('Données projet'!$B$12,Paramètres!$A$1:$I$89,5,0)</f>
        <v>-2.4829205358400945E-14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223.81948236065614</v>
      </c>
      <c r="CE180" s="59">
        <f t="shared" si="148"/>
        <v>320.1204011431372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0.16719909764603666</v>
      </c>
      <c r="CL180" s="21">
        <f>EXP(-LN(2)/25)*CL179+(1-EXP(-LN(2)/25))/(LN(2)/25)*Calculateur!CG180*Calculateur!CI180*VLOOKUP('Données projet'!$B$12,Paramètres!$A$1:$I$89,3,0)*0.475*44/12</f>
        <v>0.30042114076720011</v>
      </c>
      <c r="CM180" s="21">
        <f>EXP(-LN(2)/2)*CM179+(1-EXP(-LN(2)/2))/(LN(2)/2)*CG180*CJ180*VLOOKUP('Données projet'!$B$12,Paramètres!$A$1:$I$89,3,0)*0.475*44/12</f>
        <v>2.0790804991086294E-21</v>
      </c>
      <c r="CN180" s="22">
        <f t="shared" si="172"/>
        <v>0.46762023841323674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-5.1159076974727213E-13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168.08890945052406</v>
      </c>
      <c r="T181" s="59">
        <f t="shared" si="142"/>
        <v>182.52462557642343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0.33137754728972368</v>
      </c>
      <c r="AA181" s="21">
        <f>EXP(-LN(2)/25)*AA180+(1-EXP(-LN(2)/25))/(LN(2)/25)*Calculateur!V181*Calculateur!X181*VLOOKUP('Données projet'!$B$9,Paramètres!$A$1:$I$89,3,0)*0.475*44/12</f>
        <v>0.20365570306805378</v>
      </c>
      <c r="AB181" s="21">
        <f>EXP(-LN(2)/2)*AB180+(1-EXP(-LN(2)/2))/(LN(2)/2)*V181*Y181*VLOOKUP('Données projet'!$B$9,Paramètres!$A$1:$I$89,3,0)*0.475*44/12</f>
        <v>2.8829255384076955E-22</v>
      </c>
      <c r="AC181" s="22">
        <f t="shared" si="163"/>
        <v>0.53503325035777749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-4.5474735088646412E-13</v>
      </c>
      <c r="AJ181" s="13">
        <f>AI181*VLOOKUP('Données projet'!$B$10,Paramètres!$A$1:$I$89,3,0)*VLOOKUP('Données projet'!$B$10,Paramètres!$A$1:$I$89,5,0)</f>
        <v>-2.7193891583010558E-13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216.94426559495264</v>
      </c>
      <c r="AO181" s="59">
        <f t="shared" si="144"/>
        <v>225.33715877618704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0.21221724034739864</v>
      </c>
      <c r="AW181" s="21">
        <f>EXP(-LN(2)/2)*AW180+(1-EXP(-LN(2)/2))/(LN(2)/2)*AQ181*AT181*VLOOKUP('Données projet'!$B$10,Paramètres!$A$1:$I$89,3,0)*0.475*44/12</f>
        <v>1.256221851898676E-21</v>
      </c>
      <c r="AX181" s="21">
        <f t="shared" si="166"/>
        <v>0.21221724034739864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-1.0286385077051818E-13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237.22177246688199</v>
      </c>
      <c r="BJ181" s="59">
        <f t="shared" si="146"/>
        <v>149.27472147904302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5.1297385643595102E-2</v>
      </c>
      <c r="BR181" s="21">
        <f>EXP(-LN(2)/2)*BR180+(1-EXP(-LN(2)/2))/(LN(2)/2)*BL181*BO181*VLOOKUP('Données projet'!$B$11,Paramètres!$A$1:$I$89,3,0)*0.475*44/12</f>
        <v>3.2766134716991194E-22</v>
      </c>
      <c r="BS181" s="22">
        <f t="shared" si="169"/>
        <v>5.1297385643595102E-2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-2.8421709430404007E-14</v>
      </c>
      <c r="BZ181" s="13">
        <f>BY181*VLOOKUP('Données projet'!$B$12,Paramètres!$A$1:$I$89,3,0)*VLOOKUP('Données projet'!$B$12,Paramètres!$A$1:$I$89,5,0)</f>
        <v>-2.4829205358400945E-14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223.81948236065614</v>
      </c>
      <c r="CE181" s="59">
        <f t="shared" si="148"/>
        <v>320.1204011431372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0.16392042532257761</v>
      </c>
      <c r="CL181" s="21">
        <f>EXP(-LN(2)/25)*CL180+(1-EXP(-LN(2)/25))/(LN(2)/25)*Calculateur!CG181*Calculateur!CI181*VLOOKUP('Données projet'!$B$12,Paramètres!$A$1:$I$89,3,0)*0.475*44/12</f>
        <v>0.29220610887445986</v>
      </c>
      <c r="CM181" s="21">
        <f>EXP(-LN(2)/2)*CM180+(1-EXP(-LN(2)/2))/(LN(2)/2)*CG181*CJ181*VLOOKUP('Données projet'!$B$12,Paramètres!$A$1:$I$89,3,0)*0.475*44/12</f>
        <v>1.4701319195524236E-21</v>
      </c>
      <c r="CN181" s="22">
        <f t="shared" si="172"/>
        <v>0.45612653419703747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-5.1159076974727213E-13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168.08890945052406</v>
      </c>
      <c r="T182" s="59">
        <f t="shared" si="142"/>
        <v>182.52462557642343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0.32487943570771832</v>
      </c>
      <c r="AA182" s="21">
        <f>EXP(-LN(2)/25)*AA181+(1-EXP(-LN(2)/25))/(LN(2)/25)*Calculateur!V182*Calculateur!X182*VLOOKUP('Données projet'!$B$9,Paramètres!$A$1:$I$89,3,0)*0.475*44/12</f>
        <v>0.19808672715786987</v>
      </c>
      <c r="AB182" s="21">
        <f>EXP(-LN(2)/2)*AB181+(1-EXP(-LN(2)/2))/(LN(2)/2)*V182*Y182*VLOOKUP('Données projet'!$B$9,Paramètres!$A$1:$I$89,3,0)*0.475*44/12</f>
        <v>2.0385361978639601E-22</v>
      </c>
      <c r="AC182" s="22">
        <f t="shared" si="163"/>
        <v>0.52296616286558817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-4.5474735088646412E-13</v>
      </c>
      <c r="AJ182" s="13">
        <f>AI182*VLOOKUP('Données projet'!$B$10,Paramètres!$A$1:$I$89,3,0)*VLOOKUP('Données projet'!$B$10,Paramètres!$A$1:$I$89,5,0)</f>
        <v>-2.7193891583010558E-13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216.94426559495264</v>
      </c>
      <c r="AO182" s="59">
        <f t="shared" si="144"/>
        <v>225.33715877618704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0.20641414875007938</v>
      </c>
      <c r="AW182" s="21">
        <f>EXP(-LN(2)/2)*AW181+(1-EXP(-LN(2)/2))/(LN(2)/2)*AQ182*AT182*VLOOKUP('Données projet'!$B$10,Paramètres!$A$1:$I$89,3,0)*0.475*44/12</f>
        <v>8.8828299015227657E-22</v>
      </c>
      <c r="AX182" s="21">
        <f t="shared" si="166"/>
        <v>0.20641414875007938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-1.0286385077051818E-13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237.22177246688199</v>
      </c>
      <c r="BJ182" s="59">
        <f t="shared" si="146"/>
        <v>149.27472147904302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4.9894655935558724E-2</v>
      </c>
      <c r="BR182" s="21">
        <f>EXP(-LN(2)/2)*BR181+(1-EXP(-LN(2)/2))/(LN(2)/2)*BL182*BO182*VLOOKUP('Données projet'!$B$11,Paramètres!$A$1:$I$89,3,0)*0.475*44/12</f>
        <v>2.316915605165643E-22</v>
      </c>
      <c r="BS182" s="22">
        <f t="shared" si="169"/>
        <v>4.9894655935558724E-2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-2.8421709430404007E-14</v>
      </c>
      <c r="BZ182" s="13">
        <f>BY182*VLOOKUP('Données projet'!$B$12,Paramètres!$A$1:$I$89,3,0)*VLOOKUP('Données projet'!$B$12,Paramètres!$A$1:$I$89,5,0)</f>
        <v>-2.4829205358400945E-14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223.81948236065614</v>
      </c>
      <c r="CE182" s="59">
        <f t="shared" si="148"/>
        <v>320.1204011431372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0.16070604576358896</v>
      </c>
      <c r="CL182" s="21">
        <f>EXP(-LN(2)/25)*CL181+(1-EXP(-LN(2)/25))/(LN(2)/25)*Calculateur!CG182*Calculateur!CI182*VLOOKUP('Données projet'!$B$12,Paramètres!$A$1:$I$89,3,0)*0.475*44/12</f>
        <v>0.28421571746083635</v>
      </c>
      <c r="CM182" s="21">
        <f>EXP(-LN(2)/2)*CM181+(1-EXP(-LN(2)/2))/(LN(2)/2)*CG182*CJ182*VLOOKUP('Données projet'!$B$12,Paramètres!$A$1:$I$89,3,0)*0.475*44/12</f>
        <v>1.0395402495543147E-21</v>
      </c>
      <c r="CN182" s="22">
        <f t="shared" si="172"/>
        <v>0.44492176322442534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-5.1159076974727213E-13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168.08890945052406</v>
      </c>
      <c r="T183" s="59">
        <f t="shared" si="142"/>
        <v>182.52462557642343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0.31850874813037938</v>
      </c>
      <c r="AA183" s="21">
        <f>EXP(-LN(2)/25)*AA182+(1-EXP(-LN(2)/25))/(LN(2)/25)*Calculateur!V183*Calculateur!X183*VLOOKUP('Données projet'!$B$9,Paramètres!$A$1:$I$89,3,0)*0.475*44/12</f>
        <v>0.19267003518680967</v>
      </c>
      <c r="AB183" s="21">
        <f>EXP(-LN(2)/2)*AB182+(1-EXP(-LN(2)/2))/(LN(2)/2)*V183*Y183*VLOOKUP('Données projet'!$B$9,Paramètres!$A$1:$I$89,3,0)*0.475*44/12</f>
        <v>1.4414627692038478E-22</v>
      </c>
      <c r="AC183" s="22">
        <f t="shared" si="163"/>
        <v>0.51117878331718902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-4.5474735088646412E-13</v>
      </c>
      <c r="AJ183" s="13">
        <f>AI183*VLOOKUP('Données projet'!$B$10,Paramètres!$A$1:$I$89,3,0)*VLOOKUP('Données projet'!$B$10,Paramètres!$A$1:$I$89,5,0)</f>
        <v>-2.7193891583010558E-13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216.94426559495264</v>
      </c>
      <c r="AO183" s="59">
        <f t="shared" si="144"/>
        <v>225.33715877618704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0.20076974299766015</v>
      </c>
      <c r="AW183" s="21">
        <f>EXP(-LN(2)/2)*AW182+(1-EXP(-LN(2)/2))/(LN(2)/2)*AQ183*AT183*VLOOKUP('Données projet'!$B$10,Paramètres!$A$1:$I$89,3,0)*0.475*44/12</f>
        <v>6.2811092594933799E-22</v>
      </c>
      <c r="AX183" s="21">
        <f t="shared" si="166"/>
        <v>0.20076974299766015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-1.0286385077051818E-13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237.22177246688199</v>
      </c>
      <c r="BJ183" s="59">
        <f t="shared" si="146"/>
        <v>149.27472147904302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4.8530283945154948E-2</v>
      </c>
      <c r="BR183" s="21">
        <f>EXP(-LN(2)/2)*BR182+(1-EXP(-LN(2)/2))/(LN(2)/2)*BL183*BO183*VLOOKUP('Données projet'!$B$11,Paramètres!$A$1:$I$89,3,0)*0.475*44/12</f>
        <v>1.6383067358495597E-22</v>
      </c>
      <c r="BS183" s="22">
        <f t="shared" si="169"/>
        <v>4.8530283945154948E-2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-2.8421709430404007E-14</v>
      </c>
      <c r="BZ183" s="13">
        <f>BY183*VLOOKUP('Données projet'!$B$12,Paramètres!$A$1:$I$89,3,0)*VLOOKUP('Données projet'!$B$12,Paramètres!$A$1:$I$89,5,0)</f>
        <v>-2.4829205358400945E-14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223.81948236065614</v>
      </c>
      <c r="CE183" s="59">
        <f t="shared" si="148"/>
        <v>320.1204011431372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0.15755469822717413</v>
      </c>
      <c r="CL183" s="21">
        <f>EXP(-LN(2)/25)*CL182+(1-EXP(-LN(2)/25))/(LN(2)/25)*Calculateur!CG183*Calculateur!CI183*VLOOKUP('Données projet'!$B$12,Paramètres!$A$1:$I$89,3,0)*0.475*44/12</f>
        <v>0.27644382372061477</v>
      </c>
      <c r="CM183" s="21">
        <f>EXP(-LN(2)/2)*CM182+(1-EXP(-LN(2)/2))/(LN(2)/2)*CG183*CJ183*VLOOKUP('Données projet'!$B$12,Paramètres!$A$1:$I$89,3,0)*0.475*44/12</f>
        <v>7.3506595977621182E-22</v>
      </c>
      <c r="CN183" s="22">
        <f t="shared" si="172"/>
        <v>0.43399852194778887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-5.1159076974727213E-13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168.08890945052406</v>
      </c>
      <c r="T184" s="59">
        <f t="shared" si="142"/>
        <v>182.52462557642343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0.31226298585069634</v>
      </c>
      <c r="AA184" s="21">
        <f>EXP(-LN(2)/25)*AA183+(1-EXP(-LN(2)/25))/(LN(2)/25)*Calculateur!V184*Calculateur!X184*VLOOKUP('Données projet'!$B$9,Paramètres!$A$1:$I$89,3,0)*0.475*44/12</f>
        <v>0.18740146294254956</v>
      </c>
      <c r="AB184" s="21">
        <f>EXP(-LN(2)/2)*AB183+(1-EXP(-LN(2)/2))/(LN(2)/2)*V184*Y184*VLOOKUP('Données projet'!$B$9,Paramètres!$A$1:$I$89,3,0)*0.475*44/12</f>
        <v>1.01926809893198E-22</v>
      </c>
      <c r="AC184" s="22">
        <f t="shared" si="163"/>
        <v>0.4996644487932459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-4.5474735088646412E-13</v>
      </c>
      <c r="AJ184" s="13">
        <f>AI184*VLOOKUP('Données projet'!$B$10,Paramètres!$A$1:$I$89,3,0)*VLOOKUP('Données projet'!$B$10,Paramètres!$A$1:$I$89,5,0)</f>
        <v>-2.7193891583010558E-13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216.94426559495264</v>
      </c>
      <c r="AO184" s="59">
        <f t="shared" si="144"/>
        <v>225.33715877618704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0.19527968381736721</v>
      </c>
      <c r="AW184" s="21">
        <f>EXP(-LN(2)/2)*AW183+(1-EXP(-LN(2)/2))/(LN(2)/2)*AQ184*AT184*VLOOKUP('Données projet'!$B$10,Paramètres!$A$1:$I$89,3,0)*0.475*44/12</f>
        <v>4.4414149507613829E-22</v>
      </c>
      <c r="AX184" s="21">
        <f t="shared" si="166"/>
        <v>0.19527968381736721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-1.0286385077051818E-13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237.22177246688199</v>
      </c>
      <c r="BJ184" s="59">
        <f t="shared" si="146"/>
        <v>149.27472147904302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4.720322077857797E-2</v>
      </c>
      <c r="BR184" s="21">
        <f>EXP(-LN(2)/2)*BR183+(1-EXP(-LN(2)/2))/(LN(2)/2)*BL184*BO184*VLOOKUP('Données projet'!$B$11,Paramètres!$A$1:$I$89,3,0)*0.475*44/12</f>
        <v>1.1584578025828215E-22</v>
      </c>
      <c r="BS184" s="22">
        <f t="shared" si="169"/>
        <v>4.720322077857797E-2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-2.8421709430404007E-14</v>
      </c>
      <c r="BZ184" s="13">
        <f>BY184*VLOOKUP('Données projet'!$B$12,Paramètres!$A$1:$I$89,3,0)*VLOOKUP('Données projet'!$B$12,Paramètres!$A$1:$I$89,5,0)</f>
        <v>-2.4829205358400945E-14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223.81948236065614</v>
      </c>
      <c r="CE184" s="59">
        <f t="shared" si="148"/>
        <v>320.1204011431372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0.1544651466938162</v>
      </c>
      <c r="CL184" s="21">
        <f>EXP(-LN(2)/25)*CL183+(1-EXP(-LN(2)/25))/(LN(2)/25)*Calculateur!CG184*Calculateur!CI184*VLOOKUP('Données projet'!$B$12,Paramètres!$A$1:$I$89,3,0)*0.475*44/12</f>
        <v>0.26888445282342571</v>
      </c>
      <c r="CM184" s="21">
        <f>EXP(-LN(2)/2)*CM183+(1-EXP(-LN(2)/2))/(LN(2)/2)*CG184*CJ184*VLOOKUP('Données projet'!$B$12,Paramètres!$A$1:$I$89,3,0)*0.475*44/12</f>
        <v>5.1977012477715734E-22</v>
      </c>
      <c r="CN184" s="22">
        <f t="shared" si="172"/>
        <v>0.42334959951724194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-5.1159076974727213E-13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168.08890945052406</v>
      </c>
      <c r="T185" s="59">
        <f t="shared" si="142"/>
        <v>182.52462557642343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0.30613969915977901</v>
      </c>
      <c r="AA185" s="21">
        <f>EXP(-LN(2)/25)*AA184+(1-EXP(-LN(2)/25))/(LN(2)/25)*Calculateur!V185*Calculateur!X185*VLOOKUP('Données projet'!$B$9,Paramètres!$A$1:$I$89,3,0)*0.475*44/12</f>
        <v>0.18227696008337091</v>
      </c>
      <c r="AB185" s="21">
        <f>EXP(-LN(2)/2)*AB184+(1-EXP(-LN(2)/2))/(LN(2)/2)*V185*Y185*VLOOKUP('Données projet'!$B$9,Paramètres!$A$1:$I$89,3,0)*0.475*44/12</f>
        <v>7.2073138460192388E-23</v>
      </c>
      <c r="AC185" s="22">
        <f t="shared" si="163"/>
        <v>0.48841665924314992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-4.5474735088646412E-13</v>
      </c>
      <c r="AJ185" s="13">
        <f>AI185*VLOOKUP('Données projet'!$B$10,Paramètres!$A$1:$I$89,3,0)*VLOOKUP('Données projet'!$B$10,Paramètres!$A$1:$I$89,5,0)</f>
        <v>-2.7193891583010558E-13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216.94426559495264</v>
      </c>
      <c r="AO185" s="59">
        <f t="shared" si="144"/>
        <v>225.33715877618704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0.18993975059406906</v>
      </c>
      <c r="AW185" s="21">
        <f>EXP(-LN(2)/2)*AW184+(1-EXP(-LN(2)/2))/(LN(2)/2)*AQ185*AT185*VLOOKUP('Données projet'!$B$10,Paramètres!$A$1:$I$89,3,0)*0.475*44/12</f>
        <v>3.14055462974669E-22</v>
      </c>
      <c r="AX185" s="21">
        <f t="shared" si="166"/>
        <v>0.18993975059406906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-1.0286385077051818E-13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237.22177246688199</v>
      </c>
      <c r="BJ185" s="59">
        <f t="shared" si="146"/>
        <v>149.27472147904302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4.5912446224078259E-2</v>
      </c>
      <c r="BR185" s="21">
        <f>EXP(-LN(2)/2)*BR184+(1-EXP(-LN(2)/2))/(LN(2)/2)*BL185*BO185*VLOOKUP('Données projet'!$B$11,Paramètres!$A$1:$I$89,3,0)*0.475*44/12</f>
        <v>8.1915336792477985E-23</v>
      </c>
      <c r="BS185" s="22">
        <f t="shared" si="169"/>
        <v>4.5912446224078259E-2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-2.8421709430404007E-14</v>
      </c>
      <c r="BZ185" s="13">
        <f>BY185*VLOOKUP('Données projet'!$B$12,Paramètres!$A$1:$I$89,3,0)*VLOOKUP('Données projet'!$B$12,Paramètres!$A$1:$I$89,5,0)</f>
        <v>-2.4829205358400945E-14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223.81948236065614</v>
      </c>
      <c r="CE185" s="59">
        <f t="shared" si="148"/>
        <v>320.1204011431372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0.15143617938158704</v>
      </c>
      <c r="CL185" s="21">
        <f>EXP(-LN(2)/25)*CL184+(1-EXP(-LN(2)/25))/(LN(2)/25)*Calculateur!CG185*Calculateur!CI185*VLOOKUP('Données projet'!$B$12,Paramètres!$A$1:$I$89,3,0)*0.475*44/12</f>
        <v>0.26153179332095028</v>
      </c>
      <c r="CM185" s="21">
        <f>EXP(-LN(2)/2)*CM184+(1-EXP(-LN(2)/2))/(LN(2)/2)*CG185*CJ185*VLOOKUP('Données projet'!$B$12,Paramètres!$A$1:$I$89,3,0)*0.475*44/12</f>
        <v>3.6753297988810591E-22</v>
      </c>
      <c r="CN185" s="22">
        <f t="shared" si="172"/>
        <v>0.41296797270253732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-5.1159076974727213E-13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168.08890945052406</v>
      </c>
      <c r="T186" s="59">
        <f t="shared" si="142"/>
        <v>182.52462557642343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0.30013648638603452</v>
      </c>
      <c r="AA186" s="21">
        <f>EXP(-LN(2)/25)*AA185+(1-EXP(-LN(2)/25))/(LN(2)/25)*Calculateur!V186*Calculateur!X186*VLOOKUP('Données projet'!$B$9,Paramètres!$A$1:$I$89,3,0)*0.475*44/12</f>
        <v>0.1772925870243624</v>
      </c>
      <c r="AB186" s="21">
        <f>EXP(-LN(2)/2)*AB185+(1-EXP(-LN(2)/2))/(LN(2)/2)*V186*Y186*VLOOKUP('Données projet'!$B$9,Paramètres!$A$1:$I$89,3,0)*0.475*44/12</f>
        <v>5.0963404946599002E-23</v>
      </c>
      <c r="AC186" s="22">
        <f t="shared" si="163"/>
        <v>0.47742907341039692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-4.5474735088646412E-13</v>
      </c>
      <c r="AJ186" s="13">
        <f>AI186*VLOOKUP('Données projet'!$B$10,Paramètres!$A$1:$I$89,3,0)*VLOOKUP('Données projet'!$B$10,Paramètres!$A$1:$I$89,5,0)</f>
        <v>-2.7193891583010558E-13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216.94426559495264</v>
      </c>
      <c r="AO186" s="59">
        <f t="shared" si="144"/>
        <v>225.33715877618704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0.18474583812557688</v>
      </c>
      <c r="AW186" s="21">
        <f>EXP(-LN(2)/2)*AW185+(1-EXP(-LN(2)/2))/(LN(2)/2)*AQ186*AT186*VLOOKUP('Données projet'!$B$10,Paramètres!$A$1:$I$89,3,0)*0.475*44/12</f>
        <v>2.2207074753806914E-22</v>
      </c>
      <c r="AX186" s="21">
        <f t="shared" si="166"/>
        <v>0.18474583812557688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-1.0286385077051818E-13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237.22177246688199</v>
      </c>
      <c r="BJ186" s="59">
        <f t="shared" si="146"/>
        <v>149.27472147904302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4.4656967967650223E-2</v>
      </c>
      <c r="BR186" s="21">
        <f>EXP(-LN(2)/2)*BR185+(1-EXP(-LN(2)/2))/(LN(2)/2)*BL186*BO186*VLOOKUP('Données projet'!$B$11,Paramètres!$A$1:$I$89,3,0)*0.475*44/12</f>
        <v>5.7922890129141075E-23</v>
      </c>
      <c r="BS186" s="22">
        <f t="shared" si="169"/>
        <v>4.4656967967650223E-2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-2.8421709430404007E-14</v>
      </c>
      <c r="BZ186" s="13">
        <f>BY186*VLOOKUP('Données projet'!$B$12,Paramètres!$A$1:$I$89,3,0)*VLOOKUP('Données projet'!$B$12,Paramètres!$A$1:$I$89,5,0)</f>
        <v>-2.4829205358400945E-14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223.81948236065614</v>
      </c>
      <c r="CE186" s="59">
        <f t="shared" si="148"/>
        <v>320.1204011431372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0.14846660827086305</v>
      </c>
      <c r="CL186" s="21">
        <f>EXP(-LN(2)/25)*CL185+(1-EXP(-LN(2)/25))/(LN(2)/25)*Calculateur!CG186*Calculateur!CI186*VLOOKUP('Données projet'!$B$12,Paramètres!$A$1:$I$89,3,0)*0.475*44/12</f>
        <v>0.25438019267922962</v>
      </c>
      <c r="CM186" s="21">
        <f>EXP(-LN(2)/2)*CM185+(1-EXP(-LN(2)/2))/(LN(2)/2)*CG186*CJ186*VLOOKUP('Données projet'!$B$12,Paramètres!$A$1:$I$89,3,0)*0.475*44/12</f>
        <v>2.5988506238857867E-22</v>
      </c>
      <c r="CN186" s="22">
        <f t="shared" si="172"/>
        <v>0.40284680095009268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-5.1159076974727213E-13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168.08890945052406</v>
      </c>
      <c r="T187" s="59">
        <f t="shared" si="142"/>
        <v>182.52462557642343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0.29425099295318491</v>
      </c>
      <c r="AA187" s="21">
        <f>EXP(-LN(2)/25)*AA186+(1-EXP(-LN(2)/25))/(LN(2)/25)*Calculateur!V187*Calculateur!X187*VLOOKUP('Données projet'!$B$9,Paramètres!$A$1:$I$89,3,0)*0.475*44/12</f>
        <v>0.17244451190876928</v>
      </c>
      <c r="AB187" s="21">
        <f>EXP(-LN(2)/2)*AB186+(1-EXP(-LN(2)/2))/(LN(2)/2)*V187*Y187*VLOOKUP('Données projet'!$B$9,Paramètres!$A$1:$I$89,3,0)*0.475*44/12</f>
        <v>3.6036569230096194E-23</v>
      </c>
      <c r="AC187" s="22">
        <f t="shared" si="163"/>
        <v>0.46669550486195421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-4.5474735088646412E-13</v>
      </c>
      <c r="AJ187" s="13">
        <f>AI187*VLOOKUP('Données projet'!$B$10,Paramètres!$A$1:$I$89,3,0)*VLOOKUP('Données projet'!$B$10,Paramètres!$A$1:$I$89,5,0)</f>
        <v>-2.7193891583010558E-13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216.94426559495264</v>
      </c>
      <c r="AO187" s="59">
        <f t="shared" si="144"/>
        <v>225.33715877618704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0.17969395346667158</v>
      </c>
      <c r="AW187" s="21">
        <f>EXP(-LN(2)/2)*AW186+(1-EXP(-LN(2)/2))/(LN(2)/2)*AQ187*AT187*VLOOKUP('Données projet'!$B$10,Paramètres!$A$1:$I$89,3,0)*0.475*44/12</f>
        <v>1.570277314873345E-22</v>
      </c>
      <c r="AX187" s="21">
        <f t="shared" si="166"/>
        <v>0.17969395346667158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-1.0286385077051818E-13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237.22177246688199</v>
      </c>
      <c r="BJ187" s="59">
        <f t="shared" si="146"/>
        <v>149.27472147904302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4.3435820830166949E-2</v>
      </c>
      <c r="BR187" s="21">
        <f>EXP(-LN(2)/2)*BR186+(1-EXP(-LN(2)/2))/(LN(2)/2)*BL187*BO187*VLOOKUP('Données projet'!$B$11,Paramètres!$A$1:$I$89,3,0)*0.475*44/12</f>
        <v>4.0957668396238992E-23</v>
      </c>
      <c r="BS187" s="22">
        <f t="shared" si="169"/>
        <v>4.3435820830166949E-2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-2.8421709430404007E-14</v>
      </c>
      <c r="BZ187" s="13">
        <f>BY187*VLOOKUP('Données projet'!$B$12,Paramètres!$A$1:$I$89,3,0)*VLOOKUP('Données projet'!$B$12,Paramètres!$A$1:$I$89,5,0)</f>
        <v>-2.4829205358400945E-14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223.81948236065614</v>
      </c>
      <c r="CE187" s="59">
        <f t="shared" si="148"/>
        <v>320.1204011431372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0.14555526863836085</v>
      </c>
      <c r="CL187" s="21">
        <f>EXP(-LN(2)/25)*CL186+(1-EXP(-LN(2)/25))/(LN(2)/25)*Calculateur!CG187*Calculateur!CI187*VLOOKUP('Données projet'!$B$12,Paramètres!$A$1:$I$89,3,0)*0.475*44/12</f>
        <v>0.24742415293314315</v>
      </c>
      <c r="CM187" s="21">
        <f>EXP(-LN(2)/2)*CM186+(1-EXP(-LN(2)/2))/(LN(2)/2)*CG187*CJ187*VLOOKUP('Données projet'!$B$12,Paramètres!$A$1:$I$89,3,0)*0.475*44/12</f>
        <v>1.8376648994405295E-22</v>
      </c>
      <c r="CN187" s="22">
        <f t="shared" si="172"/>
        <v>0.39297942157150401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-5.1159076974727213E-13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168.08890945052406</v>
      </c>
      <c r="T188" s="59">
        <f t="shared" si="142"/>
        <v>182.52462557642343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0.28848091045675694</v>
      </c>
      <c r="AA188" s="21">
        <f>EXP(-LN(2)/25)*AA187+(1-EXP(-LN(2)/25))/(LN(2)/25)*Calculateur!V188*Calculateur!X188*VLOOKUP('Données projet'!$B$9,Paramètres!$A$1:$I$89,3,0)*0.475*44/12</f>
        <v>0.16772900766216123</v>
      </c>
      <c r="AB188" s="21">
        <f>EXP(-LN(2)/2)*AB187+(1-EXP(-LN(2)/2))/(LN(2)/2)*V188*Y188*VLOOKUP('Données projet'!$B$9,Paramètres!$A$1:$I$89,3,0)*0.475*44/12</f>
        <v>2.5481702473299501E-23</v>
      </c>
      <c r="AC188" s="22">
        <f t="shared" si="163"/>
        <v>0.4562099181189182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-4.5474735088646412E-13</v>
      </c>
      <c r="AJ188" s="13">
        <f>AI188*VLOOKUP('Données projet'!$B$10,Paramètres!$A$1:$I$89,3,0)*VLOOKUP('Données projet'!$B$10,Paramètres!$A$1:$I$89,5,0)</f>
        <v>-2.7193891583010558E-13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216.94426559495264</v>
      </c>
      <c r="AO188" s="59">
        <f t="shared" si="144"/>
        <v>225.33715877618704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0.17478021285943113</v>
      </c>
      <c r="AW188" s="21">
        <f>EXP(-LN(2)/2)*AW187+(1-EXP(-LN(2)/2))/(LN(2)/2)*AQ188*AT188*VLOOKUP('Données projet'!$B$10,Paramètres!$A$1:$I$89,3,0)*0.475*44/12</f>
        <v>1.1103537376903457E-22</v>
      </c>
      <c r="AX188" s="21">
        <f t="shared" si="166"/>
        <v>0.17478021285943113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-1.0286385077051818E-13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237.22177246688199</v>
      </c>
      <c r="BJ188" s="59">
        <f t="shared" si="146"/>
        <v>149.27472147904302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4.2248066025375487E-2</v>
      </c>
      <c r="BR188" s="21">
        <f>EXP(-LN(2)/2)*BR187+(1-EXP(-LN(2)/2))/(LN(2)/2)*BL188*BO188*VLOOKUP('Données projet'!$B$11,Paramètres!$A$1:$I$89,3,0)*0.475*44/12</f>
        <v>2.8961445064570538E-23</v>
      </c>
      <c r="BS188" s="22">
        <f t="shared" si="169"/>
        <v>4.2248066025375487E-2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-2.8421709430404007E-14</v>
      </c>
      <c r="BZ188" s="13">
        <f>BY188*VLOOKUP('Données projet'!$B$12,Paramètres!$A$1:$I$89,3,0)*VLOOKUP('Données projet'!$B$12,Paramètres!$A$1:$I$89,5,0)</f>
        <v>-2.4829205358400945E-14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223.81948236065614</v>
      </c>
      <c r="CE188" s="59">
        <f t="shared" si="148"/>
        <v>320.1204011431372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0.14270101860031018</v>
      </c>
      <c r="CL188" s="21">
        <f>EXP(-LN(2)/25)*CL187+(1-EXP(-LN(2)/25))/(LN(2)/25)*Calculateur!CG188*Calculateur!CI188*VLOOKUP('Données projet'!$B$12,Paramètres!$A$1:$I$89,3,0)*0.475*44/12</f>
        <v>0.24065832645971566</v>
      </c>
      <c r="CM188" s="21">
        <f>EXP(-LN(2)/2)*CM187+(1-EXP(-LN(2)/2))/(LN(2)/2)*CG188*CJ188*VLOOKUP('Données projet'!$B$12,Paramètres!$A$1:$I$89,3,0)*0.475*44/12</f>
        <v>1.2994253119428934E-22</v>
      </c>
      <c r="CN188" s="22">
        <f t="shared" si="172"/>
        <v>0.38335934506002584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-5.1159076974727213E-13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168.08890945052406</v>
      </c>
      <c r="T189" s="59">
        <f t="shared" si="142"/>
        <v>182.52462557642343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0.28282397575868112</v>
      </c>
      <c r="AA189" s="21">
        <f>EXP(-LN(2)/25)*AA188+(1-EXP(-LN(2)/25))/(LN(2)/25)*Calculateur!V189*Calculateur!X189*VLOOKUP('Données projet'!$B$9,Paramètres!$A$1:$I$89,3,0)*0.475*44/12</f>
        <v>0.16314244912715425</v>
      </c>
      <c r="AB189" s="21">
        <f>EXP(-LN(2)/2)*AB188+(1-EXP(-LN(2)/2))/(LN(2)/2)*V189*Y189*VLOOKUP('Données projet'!$B$9,Paramètres!$A$1:$I$89,3,0)*0.475*44/12</f>
        <v>1.8018284615048097E-23</v>
      </c>
      <c r="AC189" s="22">
        <f t="shared" si="163"/>
        <v>0.44596642488583538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-4.5474735088646412E-13</v>
      </c>
      <c r="AJ189" s="13">
        <f>AI189*VLOOKUP('Données projet'!$B$10,Paramètres!$A$1:$I$89,3,0)*VLOOKUP('Données projet'!$B$10,Paramètres!$A$1:$I$89,5,0)</f>
        <v>-2.7193891583010558E-13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216.94426559495264</v>
      </c>
      <c r="AO189" s="59">
        <f t="shared" si="144"/>
        <v>225.33715877618704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0.17000083874749805</v>
      </c>
      <c r="AW189" s="21">
        <f>EXP(-LN(2)/2)*AW188+(1-EXP(-LN(2)/2))/(LN(2)/2)*AQ189*AT189*VLOOKUP('Données projet'!$B$10,Paramètres!$A$1:$I$89,3,0)*0.475*44/12</f>
        <v>7.8513865743667249E-23</v>
      </c>
      <c r="AX189" s="21">
        <f t="shared" si="166"/>
        <v>0.17000083874749805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-1.0286385077051818E-13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237.22177246688199</v>
      </c>
      <c r="BJ189" s="59">
        <f t="shared" si="146"/>
        <v>149.27472147904302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4.1092790438182362E-2</v>
      </c>
      <c r="BR189" s="21">
        <f>EXP(-LN(2)/2)*BR188+(1-EXP(-LN(2)/2))/(LN(2)/2)*BL189*BO189*VLOOKUP('Données projet'!$B$11,Paramètres!$A$1:$I$89,3,0)*0.475*44/12</f>
        <v>2.0478834198119496E-23</v>
      </c>
      <c r="BS189" s="22">
        <f t="shared" si="169"/>
        <v>4.1092790438182362E-2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-2.8421709430404007E-14</v>
      </c>
      <c r="BZ189" s="13">
        <f>BY189*VLOOKUP('Données projet'!$B$12,Paramètres!$A$1:$I$89,3,0)*VLOOKUP('Données projet'!$B$12,Paramètres!$A$1:$I$89,5,0)</f>
        <v>-2.4829205358400945E-14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223.81948236065614</v>
      </c>
      <c r="CE189" s="59">
        <f t="shared" si="148"/>
        <v>320.1204011431372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0.13990273866458505</v>
      </c>
      <c r="CL189" s="21">
        <f>EXP(-LN(2)/25)*CL188+(1-EXP(-LN(2)/25))/(LN(2)/25)*Calculateur!CG189*Calculateur!CI189*VLOOKUP('Données projet'!$B$12,Paramètres!$A$1:$I$89,3,0)*0.475*44/12</f>
        <v>0.23407751186700337</v>
      </c>
      <c r="CM189" s="21">
        <f>EXP(-LN(2)/2)*CM188+(1-EXP(-LN(2)/2))/(LN(2)/2)*CG189*CJ189*VLOOKUP('Données projet'!$B$12,Paramètres!$A$1:$I$89,3,0)*0.475*44/12</f>
        <v>9.1883244972026477E-23</v>
      </c>
      <c r="CN189" s="22">
        <f t="shared" si="172"/>
        <v>0.37398025053158845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-5.1159076974727213E-13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168.08890945052406</v>
      </c>
      <c r="T190" s="59">
        <f t="shared" si="142"/>
        <v>182.52462557642343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0.27727797009964511</v>
      </c>
      <c r="AA190" s="21">
        <f>EXP(-LN(2)/25)*AA189+(1-EXP(-LN(2)/25))/(LN(2)/25)*Calculateur!V190*Calculateur!X190*VLOOKUP('Données projet'!$B$9,Paramètres!$A$1:$I$89,3,0)*0.475*44/12</f>
        <v>0.15868131027648369</v>
      </c>
      <c r="AB190" s="21">
        <f>EXP(-LN(2)/2)*AB189+(1-EXP(-LN(2)/2))/(LN(2)/2)*V190*Y190*VLOOKUP('Données projet'!$B$9,Paramètres!$A$1:$I$89,3,0)*0.475*44/12</f>
        <v>1.2740851236649751E-23</v>
      </c>
      <c r="AC190" s="22">
        <f t="shared" si="163"/>
        <v>0.4359592803761288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-4.5474735088646412E-13</v>
      </c>
      <c r="AJ190" s="13">
        <f>AI190*VLOOKUP('Données projet'!$B$10,Paramètres!$A$1:$I$89,3,0)*VLOOKUP('Données projet'!$B$10,Paramètres!$A$1:$I$89,5,0)</f>
        <v>-2.7193891583010558E-13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216.94426559495264</v>
      </c>
      <c r="AO190" s="59">
        <f t="shared" si="144"/>
        <v>225.33715877618704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0.16535215687199215</v>
      </c>
      <c r="AW190" s="21">
        <f>EXP(-LN(2)/2)*AW189+(1-EXP(-LN(2)/2))/(LN(2)/2)*AQ190*AT190*VLOOKUP('Données projet'!$B$10,Paramètres!$A$1:$I$89,3,0)*0.475*44/12</f>
        <v>5.5517686884517286E-23</v>
      </c>
      <c r="AX190" s="21">
        <f t="shared" si="166"/>
        <v>0.16535215687199215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-1.0286385077051818E-13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237.22177246688199</v>
      </c>
      <c r="BJ190" s="59">
        <f t="shared" si="146"/>
        <v>149.27472147904302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3.9969105922674338E-2</v>
      </c>
      <c r="BR190" s="21">
        <f>EXP(-LN(2)/2)*BR189+(1-EXP(-LN(2)/2))/(LN(2)/2)*BL190*BO190*VLOOKUP('Données projet'!$B$11,Paramètres!$A$1:$I$89,3,0)*0.475*44/12</f>
        <v>1.4480722532285269E-23</v>
      </c>
      <c r="BS190" s="22">
        <f t="shared" si="169"/>
        <v>3.9969105922674338E-2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-2.8421709430404007E-14</v>
      </c>
      <c r="BZ190" s="13">
        <f>BY190*VLOOKUP('Données projet'!$B$12,Paramètres!$A$1:$I$89,3,0)*VLOOKUP('Données projet'!$B$12,Paramètres!$A$1:$I$89,5,0)</f>
        <v>-2.4829205358400945E-14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223.81948236065614</v>
      </c>
      <c r="CE190" s="59">
        <f t="shared" si="148"/>
        <v>320.1204011431372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0.13715933129161725</v>
      </c>
      <c r="CL190" s="21">
        <f>EXP(-LN(2)/25)*CL189+(1-EXP(-LN(2)/25))/(LN(2)/25)*Calculateur!CG190*Calculateur!CI190*VLOOKUP('Données projet'!$B$12,Paramètres!$A$1:$I$89,3,0)*0.475*44/12</f>
        <v>0.2276766499953988</v>
      </c>
      <c r="CM190" s="21">
        <f>EXP(-LN(2)/2)*CM189+(1-EXP(-LN(2)/2))/(LN(2)/2)*CG190*CJ190*VLOOKUP('Données projet'!$B$12,Paramètres!$A$1:$I$89,3,0)*0.475*44/12</f>
        <v>6.4971265597144668E-23</v>
      </c>
      <c r="CN190" s="22">
        <f t="shared" si="172"/>
        <v>0.36483598128701605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-5.1159076974727213E-13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168.08890945052406</v>
      </c>
      <c r="T191" s="59">
        <f t="shared" si="142"/>
        <v>182.52462557642343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0.27184071822885336</v>
      </c>
      <c r="AA191" s="21">
        <f>EXP(-LN(2)/25)*AA190+(1-EXP(-LN(2)/25))/(LN(2)/25)*Calculateur!V191*Calculateur!X191*VLOOKUP('Données projet'!$B$9,Paramètres!$A$1:$I$89,3,0)*0.475*44/12</f>
        <v>0.1543421615022858</v>
      </c>
      <c r="AB191" s="21">
        <f>EXP(-LN(2)/2)*AB190+(1-EXP(-LN(2)/2))/(LN(2)/2)*V191*Y191*VLOOKUP('Données projet'!$B$9,Paramètres!$A$1:$I$89,3,0)*0.475*44/12</f>
        <v>9.0091423075240485E-24</v>
      </c>
      <c r="AC191" s="22">
        <f t="shared" si="163"/>
        <v>0.42618287973113916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-4.5474735088646412E-13</v>
      </c>
      <c r="AJ191" s="13">
        <f>AI191*VLOOKUP('Données projet'!$B$10,Paramètres!$A$1:$I$89,3,0)*VLOOKUP('Données projet'!$B$10,Paramètres!$A$1:$I$89,5,0)</f>
        <v>-2.7193891583010558E-13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216.94426559495264</v>
      </c>
      <c r="AO191" s="59">
        <f t="shared" si="144"/>
        <v>225.33715877618704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0.16083059344683551</v>
      </c>
      <c r="AW191" s="21">
        <f>EXP(-LN(2)/2)*AW190+(1-EXP(-LN(2)/2))/(LN(2)/2)*AQ191*AT191*VLOOKUP('Données projet'!$B$10,Paramètres!$A$1:$I$89,3,0)*0.475*44/12</f>
        <v>3.9256932871833625E-23</v>
      </c>
      <c r="AX191" s="21">
        <f t="shared" si="166"/>
        <v>0.16083059344683551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-1.0286385077051818E-13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237.22177246688199</v>
      </c>
      <c r="BJ191" s="59">
        <f t="shared" si="146"/>
        <v>149.27472147904302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3.8876148619334881E-2</v>
      </c>
      <c r="BR191" s="21">
        <f>EXP(-LN(2)/2)*BR190+(1-EXP(-LN(2)/2))/(LN(2)/2)*BL191*BO191*VLOOKUP('Données projet'!$B$11,Paramètres!$A$1:$I$89,3,0)*0.475*44/12</f>
        <v>1.0239417099059748E-23</v>
      </c>
      <c r="BS191" s="22">
        <f t="shared" si="169"/>
        <v>3.8876148619334881E-2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-2.8421709430404007E-14</v>
      </c>
      <c r="BZ191" s="13">
        <f>BY191*VLOOKUP('Données projet'!$B$12,Paramètres!$A$1:$I$89,3,0)*VLOOKUP('Données projet'!$B$12,Paramètres!$A$1:$I$89,5,0)</f>
        <v>-2.4829205358400945E-14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223.81948236065614</v>
      </c>
      <c r="CE191" s="59">
        <f t="shared" si="148"/>
        <v>320.1204011431372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0.13446972046392008</v>
      </c>
      <c r="CL191" s="21">
        <f>EXP(-LN(2)/25)*CL190+(1-EXP(-LN(2)/25))/(LN(2)/25)*Calculateur!CG191*Calculateur!CI191*VLOOKUP('Données projet'!$B$12,Paramètres!$A$1:$I$89,3,0)*0.475*44/12</f>
        <v>0.22145082002827995</v>
      </c>
      <c r="CM191" s="21">
        <f>EXP(-LN(2)/2)*CM190+(1-EXP(-LN(2)/2))/(LN(2)/2)*CG191*CJ191*VLOOKUP('Données projet'!$B$12,Paramètres!$A$1:$I$89,3,0)*0.475*44/12</f>
        <v>4.5941622486013239E-23</v>
      </c>
      <c r="CN191" s="22">
        <f t="shared" si="172"/>
        <v>0.35592054049220001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-5.1159076974727213E-13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168.08890945052406</v>
      </c>
      <c r="T192" s="59">
        <f t="shared" si="142"/>
        <v>182.52462557642343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0.26651008755085165</v>
      </c>
      <c r="AA192" s="21">
        <f>EXP(-LN(2)/25)*AA191+(1-EXP(-LN(2)/25))/(LN(2)/25)*Calculateur!V192*Calculateur!X192*VLOOKUP('Données projet'!$B$9,Paramètres!$A$1:$I$89,3,0)*0.475*44/12</f>
        <v>0.15012166697950427</v>
      </c>
      <c r="AB192" s="21">
        <f>EXP(-LN(2)/2)*AB191+(1-EXP(-LN(2)/2))/(LN(2)/2)*V192*Y192*VLOOKUP('Données projet'!$B$9,Paramètres!$A$1:$I$89,3,0)*0.475*44/12</f>
        <v>6.3704256183248753E-24</v>
      </c>
      <c r="AC192" s="22">
        <f t="shared" si="163"/>
        <v>0.41663175453035595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-4.5474735088646412E-13</v>
      </c>
      <c r="AJ192" s="13">
        <f>AI192*VLOOKUP('Données projet'!$B$10,Paramètres!$A$1:$I$89,3,0)*VLOOKUP('Données projet'!$B$10,Paramètres!$A$1:$I$89,5,0)</f>
        <v>-2.7193891583010558E-13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216.94426559495264</v>
      </c>
      <c r="AO192" s="59">
        <f t="shared" si="144"/>
        <v>225.33715877618704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0.15643267241131847</v>
      </c>
      <c r="AW192" s="21">
        <f>EXP(-LN(2)/2)*AW191+(1-EXP(-LN(2)/2))/(LN(2)/2)*AQ192*AT192*VLOOKUP('Données projet'!$B$10,Paramètres!$A$1:$I$89,3,0)*0.475*44/12</f>
        <v>2.7758843442258643E-23</v>
      </c>
      <c r="AX192" s="21">
        <f t="shared" si="166"/>
        <v>0.15643267241131847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-1.0286385077051818E-13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237.22177246688199</v>
      </c>
      <c r="BJ192" s="59">
        <f t="shared" si="146"/>
        <v>149.27472147904302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3.7813078290931362E-2</v>
      </c>
      <c r="BR192" s="21">
        <f>EXP(-LN(2)/2)*BR191+(1-EXP(-LN(2)/2))/(LN(2)/2)*BL192*BO192*VLOOKUP('Données projet'!$B$11,Paramètres!$A$1:$I$89,3,0)*0.475*44/12</f>
        <v>7.2403612661426344E-24</v>
      </c>
      <c r="BS192" s="22">
        <f t="shared" si="169"/>
        <v>3.7813078290931362E-2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-2.8421709430404007E-14</v>
      </c>
      <c r="BZ192" s="13">
        <f>BY192*VLOOKUP('Données projet'!$B$12,Paramètres!$A$1:$I$89,3,0)*VLOOKUP('Données projet'!$B$12,Paramètres!$A$1:$I$89,5,0)</f>
        <v>-2.4829205358400945E-14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223.81948236065614</v>
      </c>
      <c r="CE192" s="59">
        <f t="shared" si="148"/>
        <v>320.1204011431372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0.13183285126405345</v>
      </c>
      <c r="CL192" s="21">
        <f>EXP(-LN(2)/25)*CL191+(1-EXP(-LN(2)/25))/(LN(2)/25)*Calculateur!CG192*Calculateur!CI192*VLOOKUP('Données projet'!$B$12,Paramètres!$A$1:$I$89,3,0)*0.475*44/12</f>
        <v>0.21539523570901414</v>
      </c>
      <c r="CM192" s="21">
        <f>EXP(-LN(2)/2)*CM191+(1-EXP(-LN(2)/2))/(LN(2)/2)*CG192*CJ192*VLOOKUP('Données projet'!$B$12,Paramètres!$A$1:$I$89,3,0)*0.475*44/12</f>
        <v>3.2485632798572334E-23</v>
      </c>
      <c r="CN192" s="22">
        <f t="shared" si="172"/>
        <v>0.34722808697306762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-5.1159076974727213E-13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168.08890945052406</v>
      </c>
      <c r="T193" s="59">
        <f t="shared" si="142"/>
        <v>182.52462557642343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0.26128398728908186</v>
      </c>
      <c r="AA193" s="21">
        <f>EXP(-LN(2)/25)*AA192+(1-EXP(-LN(2)/25))/(LN(2)/25)*Calculateur!V193*Calculateur!X193*VLOOKUP('Données projet'!$B$9,Paramètres!$A$1:$I$89,3,0)*0.475*44/12</f>
        <v>0.14601658210139437</v>
      </c>
      <c r="AB193" s="21">
        <f>EXP(-LN(2)/2)*AB192+(1-EXP(-LN(2)/2))/(LN(2)/2)*V193*Y193*VLOOKUP('Données projet'!$B$9,Paramètres!$A$1:$I$89,3,0)*0.475*44/12</f>
        <v>4.5045711537620243E-24</v>
      </c>
      <c r="AC193" s="22">
        <f t="shared" si="163"/>
        <v>0.40730056939047621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-4.5474735088646412E-13</v>
      </c>
      <c r="AJ193" s="13">
        <f>AI193*VLOOKUP('Données projet'!$B$10,Paramètres!$A$1:$I$89,3,0)*VLOOKUP('Données projet'!$B$10,Paramètres!$A$1:$I$89,5,0)</f>
        <v>-2.7193891583010558E-13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216.94426559495264</v>
      </c>
      <c r="AO193" s="59">
        <f t="shared" si="144"/>
        <v>225.33715877618704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0.15215501275779425</v>
      </c>
      <c r="AW193" s="21">
        <f>EXP(-LN(2)/2)*AW192+(1-EXP(-LN(2)/2))/(LN(2)/2)*AQ193*AT193*VLOOKUP('Données projet'!$B$10,Paramètres!$A$1:$I$89,3,0)*0.475*44/12</f>
        <v>1.9628466435916812E-23</v>
      </c>
      <c r="AX193" s="21">
        <f t="shared" si="166"/>
        <v>0.15215501275779425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-1.0286385077051818E-13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237.22177246688199</v>
      </c>
      <c r="BJ193" s="59">
        <f t="shared" si="146"/>
        <v>149.27472147904302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3.677907767656248E-2</v>
      </c>
      <c r="BR193" s="21">
        <f>EXP(-LN(2)/2)*BR192+(1-EXP(-LN(2)/2))/(LN(2)/2)*BL193*BO193*VLOOKUP('Données projet'!$B$11,Paramètres!$A$1:$I$89,3,0)*0.475*44/12</f>
        <v>5.119708549529874E-24</v>
      </c>
      <c r="BS193" s="22">
        <f t="shared" si="169"/>
        <v>3.677907767656248E-2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-2.8421709430404007E-14</v>
      </c>
      <c r="BZ193" s="13">
        <f>BY193*VLOOKUP('Données projet'!$B$12,Paramètres!$A$1:$I$89,3,0)*VLOOKUP('Données projet'!$B$12,Paramètres!$A$1:$I$89,5,0)</f>
        <v>-2.4829205358400945E-14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223.81948236065614</v>
      </c>
      <c r="CE193" s="59">
        <f t="shared" si="148"/>
        <v>320.1204011431372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0.12924768946086479</v>
      </c>
      <c r="CL193" s="21">
        <f>EXP(-LN(2)/25)*CL192+(1-EXP(-LN(2)/25))/(LN(2)/25)*Calculateur!CG193*Calculateur!CI193*VLOOKUP('Données projet'!$B$12,Paramètres!$A$1:$I$89,3,0)*0.475*44/12</f>
        <v>0.20950524166140799</v>
      </c>
      <c r="CM193" s="21">
        <f>EXP(-LN(2)/2)*CM192+(1-EXP(-LN(2)/2))/(LN(2)/2)*CG193*CJ193*VLOOKUP('Données projet'!$B$12,Paramètres!$A$1:$I$89,3,0)*0.475*44/12</f>
        <v>2.2970811243006619E-23</v>
      </c>
      <c r="CN193" s="22">
        <f t="shared" si="172"/>
        <v>0.33875293112227278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-5.1159076974727213E-13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168.08890945052406</v>
      </c>
      <c r="T194" s="59">
        <f t="shared" si="142"/>
        <v>182.52462557642343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0.25616036766583899</v>
      </c>
      <c r="AA194" s="21">
        <f>EXP(-LN(2)/25)*AA193+(1-EXP(-LN(2)/25))/(LN(2)/25)*Calculateur!V194*Calculateur!X194*VLOOKUP('Données projet'!$B$9,Paramètres!$A$1:$I$89,3,0)*0.475*44/12</f>
        <v>0.14202375098515341</v>
      </c>
      <c r="AB194" s="21">
        <f>EXP(-LN(2)/2)*AB193+(1-EXP(-LN(2)/2))/(LN(2)/2)*V194*Y194*VLOOKUP('Données projet'!$B$9,Paramètres!$A$1:$I$89,3,0)*0.475*44/12</f>
        <v>3.1852128091624376E-24</v>
      </c>
      <c r="AC194" s="22">
        <f t="shared" si="163"/>
        <v>0.3981841186509924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-4.5474735088646412E-13</v>
      </c>
      <c r="AJ194" s="13">
        <f>AI194*VLOOKUP('Données projet'!$B$10,Paramètres!$A$1:$I$89,3,0)*VLOOKUP('Données projet'!$B$10,Paramètres!$A$1:$I$89,5,0)</f>
        <v>-2.7193891583010558E-13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216.94426559495264</v>
      </c>
      <c r="AO194" s="59">
        <f t="shared" si="144"/>
        <v>225.33715877618704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0.14799432593244799</v>
      </c>
      <c r="AW194" s="21">
        <f>EXP(-LN(2)/2)*AW193+(1-EXP(-LN(2)/2))/(LN(2)/2)*AQ194*AT194*VLOOKUP('Données projet'!$B$10,Paramètres!$A$1:$I$89,3,0)*0.475*44/12</f>
        <v>1.3879421721129321E-23</v>
      </c>
      <c r="AX194" s="21">
        <f t="shared" si="166"/>
        <v>0.14799432593244799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-1.0286385077051818E-13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237.22177246688199</v>
      </c>
      <c r="BJ194" s="59">
        <f t="shared" si="146"/>
        <v>149.27472147904302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3.5773351863369246E-2</v>
      </c>
      <c r="BR194" s="21">
        <f>EXP(-LN(2)/2)*BR193+(1-EXP(-LN(2)/2))/(LN(2)/2)*BL194*BO194*VLOOKUP('Données projet'!$B$11,Paramètres!$A$1:$I$89,3,0)*0.475*44/12</f>
        <v>3.6201806330713172E-24</v>
      </c>
      <c r="BS194" s="22">
        <f t="shared" si="169"/>
        <v>3.5773351863369246E-2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-2.8421709430404007E-14</v>
      </c>
      <c r="BZ194" s="13">
        <f>BY194*VLOOKUP('Données projet'!$B$12,Paramètres!$A$1:$I$89,3,0)*VLOOKUP('Données projet'!$B$12,Paramètres!$A$1:$I$89,5,0)</f>
        <v>-2.4829205358400945E-14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223.81948236065614</v>
      </c>
      <c r="CE194" s="59">
        <f t="shared" si="148"/>
        <v>320.1204011431372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0.12671322110384367</v>
      </c>
      <c r="CL194" s="21">
        <f>EXP(-LN(2)/25)*CL193+(1-EXP(-LN(2)/25))/(LN(2)/25)*Calculateur!CG194*Calculateur!CI194*VLOOKUP('Données projet'!$B$12,Paramètres!$A$1:$I$89,3,0)*0.475*44/12</f>
        <v>0.20377630981077496</v>
      </c>
      <c r="CM194" s="21">
        <f>EXP(-LN(2)/2)*CM193+(1-EXP(-LN(2)/2))/(LN(2)/2)*CG194*CJ194*VLOOKUP('Données projet'!$B$12,Paramètres!$A$1:$I$89,3,0)*0.475*44/12</f>
        <v>1.6242816399286167E-23</v>
      </c>
      <c r="CN194" s="22">
        <f t="shared" si="172"/>
        <v>0.33048953091461863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-5.1159076974727213E-13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168.08890945052406</v>
      </c>
      <c r="T195" s="59">
        <f t="shared" si="142"/>
        <v>182.52462557642343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0.2511372190983085</v>
      </c>
      <c r="AA195" s="21">
        <f>EXP(-LN(2)/25)*AA194+(1-EXP(-LN(2)/25))/(LN(2)/25)*Calculateur!V195*Calculateur!X195*VLOOKUP('Données projet'!$B$9,Paramètres!$A$1:$I$89,3,0)*0.475*44/12</f>
        <v>0.13814010404575991</v>
      </c>
      <c r="AB195" s="21">
        <f>EXP(-LN(2)/2)*AB194+(1-EXP(-LN(2)/2))/(LN(2)/2)*V195*Y195*VLOOKUP('Données projet'!$B$9,Paramètres!$A$1:$I$89,3,0)*0.475*44/12</f>
        <v>2.2522855768810121E-24</v>
      </c>
      <c r="AC195" s="22">
        <f t="shared" si="163"/>
        <v>0.38927732314406838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-4.5474735088646412E-13</v>
      </c>
      <c r="AJ195" s="13">
        <f>AI195*VLOOKUP('Données projet'!$B$10,Paramètres!$A$1:$I$89,3,0)*VLOOKUP('Données projet'!$B$10,Paramètres!$A$1:$I$89,5,0)</f>
        <v>-2.7193891583010558E-13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216.94426559495264</v>
      </c>
      <c r="AO195" s="59">
        <f t="shared" si="144"/>
        <v>225.33715877618704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0.14394741330714184</v>
      </c>
      <c r="AW195" s="21">
        <f>EXP(-LN(2)/2)*AW194+(1-EXP(-LN(2)/2))/(LN(2)/2)*AQ195*AT195*VLOOKUP('Données projet'!$B$10,Paramètres!$A$1:$I$89,3,0)*0.475*44/12</f>
        <v>9.8142332179584062E-24</v>
      </c>
      <c r="AX195" s="21">
        <f t="shared" si="166"/>
        <v>0.14394741330714184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-1.0286385077051818E-13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237.22177246688199</v>
      </c>
      <c r="BJ195" s="59">
        <f t="shared" si="146"/>
        <v>149.27472147904302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3.4795127675426599E-2</v>
      </c>
      <c r="BR195" s="21">
        <f>EXP(-LN(2)/2)*BR194+(1-EXP(-LN(2)/2))/(LN(2)/2)*BL195*BO195*VLOOKUP('Données projet'!$B$11,Paramètres!$A$1:$I$89,3,0)*0.475*44/12</f>
        <v>2.559854274764937E-24</v>
      </c>
      <c r="BS195" s="22">
        <f t="shared" si="169"/>
        <v>3.4795127675426599E-2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-2.8421709430404007E-14</v>
      </c>
      <c r="BZ195" s="13">
        <f>BY195*VLOOKUP('Données projet'!$B$12,Paramètres!$A$1:$I$89,3,0)*VLOOKUP('Données projet'!$B$12,Paramètres!$A$1:$I$89,5,0)</f>
        <v>-2.4829205358400945E-14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223.81948236065614</v>
      </c>
      <c r="CE195" s="59">
        <f t="shared" si="148"/>
        <v>320.1204011431372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0.12422845212543067</v>
      </c>
      <c r="CL195" s="21">
        <f>EXP(-LN(2)/25)*CL194+(1-EXP(-LN(2)/25))/(LN(2)/25)*Calculateur!CG195*Calculateur!CI195*VLOOKUP('Données projet'!$B$12,Paramètres!$A$1:$I$89,3,0)*0.475*44/12</f>
        <v>0.19820403590286892</v>
      </c>
      <c r="CM195" s="21">
        <f>EXP(-LN(2)/2)*CM194+(1-EXP(-LN(2)/2))/(LN(2)/2)*CG195*CJ195*VLOOKUP('Données projet'!$B$12,Paramètres!$A$1:$I$89,3,0)*0.475*44/12</f>
        <v>1.148540562150331E-23</v>
      </c>
      <c r="CN195" s="22">
        <f t="shared" si="172"/>
        <v>0.3224324880282996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-5.1159076974727213E-13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168.08890945052406</v>
      </c>
      <c r="T196" s="59">
        <f t="shared" si="142"/>
        <v>182.52462557642343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0.24621257141036917</v>
      </c>
      <c r="AA196" s="21">
        <f>EXP(-LN(2)/25)*AA195+(1-EXP(-LN(2)/25))/(LN(2)/25)*Calculateur!V196*Calculateur!X196*VLOOKUP('Données projet'!$B$9,Paramètres!$A$1:$I$89,3,0)*0.475*44/12</f>
        <v>0.13436265563615626</v>
      </c>
      <c r="AB196" s="21">
        <f>EXP(-LN(2)/2)*AB195+(1-EXP(-LN(2)/2))/(LN(2)/2)*V196*Y196*VLOOKUP('Données projet'!$B$9,Paramètres!$A$1:$I$89,3,0)*0.475*44/12</f>
        <v>1.5926064045812188E-24</v>
      </c>
      <c r="AC196" s="22">
        <f t="shared" si="163"/>
        <v>0.38057522704652547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-4.5474735088646412E-13</v>
      </c>
      <c r="AJ196" s="13">
        <f>AI196*VLOOKUP('Données projet'!$B$10,Paramètres!$A$1:$I$89,3,0)*VLOOKUP('Données projet'!$B$10,Paramètres!$A$1:$I$89,5,0)</f>
        <v>-2.7193891583010558E-13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216.94426559495264</v>
      </c>
      <c r="AO196" s="59">
        <f t="shared" si="144"/>
        <v>225.33715877618704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0.14001116372039257</v>
      </c>
      <c r="AW196" s="21">
        <f>EXP(-LN(2)/2)*AW195+(1-EXP(-LN(2)/2))/(LN(2)/2)*AQ196*AT196*VLOOKUP('Données projet'!$B$10,Paramètres!$A$1:$I$89,3,0)*0.475*44/12</f>
        <v>6.9397108605646607E-24</v>
      </c>
      <c r="AX196" s="21">
        <f t="shared" si="166"/>
        <v>0.14001116372039257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-1.0286385077051818E-13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237.22177246688199</v>
      </c>
      <c r="BJ196" s="59">
        <f t="shared" si="146"/>
        <v>149.27472147904302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3.3843653079345816E-2</v>
      </c>
      <c r="BR196" s="21">
        <f>EXP(-LN(2)/2)*BR195+(1-EXP(-LN(2)/2))/(LN(2)/2)*BL196*BO196*VLOOKUP('Données projet'!$B$11,Paramètres!$A$1:$I$89,3,0)*0.475*44/12</f>
        <v>1.8100903165356586E-24</v>
      </c>
      <c r="BS196" s="22">
        <f t="shared" si="169"/>
        <v>3.3843653079345816E-2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-2.8421709430404007E-14</v>
      </c>
      <c r="BZ196" s="13">
        <f>BY196*VLOOKUP('Données projet'!$B$12,Paramètres!$A$1:$I$89,3,0)*VLOOKUP('Données projet'!$B$12,Paramètres!$A$1:$I$89,5,0)</f>
        <v>-2.4829205358400945E-14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223.81948236065614</v>
      </c>
      <c r="CE196" s="59">
        <f t="shared" si="148"/>
        <v>320.1204011431372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0.12179240795112492</v>
      </c>
      <c r="CL196" s="21">
        <f>EXP(-LN(2)/25)*CL195+(1-EXP(-LN(2)/25))/(LN(2)/25)*Calculateur!CG196*Calculateur!CI196*VLOOKUP('Données projet'!$B$12,Paramètres!$A$1:$I$89,3,0)*0.475*44/12</f>
        <v>0.19278413611800771</v>
      </c>
      <c r="CM196" s="21">
        <f>EXP(-LN(2)/2)*CM195+(1-EXP(-LN(2)/2))/(LN(2)/2)*CG196*CJ196*VLOOKUP('Données projet'!$B$12,Paramètres!$A$1:$I$89,3,0)*0.475*44/12</f>
        <v>8.1214081996430835E-24</v>
      </c>
      <c r="CN196" s="22">
        <f t="shared" si="172"/>
        <v>0.3145765440691326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-5.1159076974727213E-13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168.08890945052406</v>
      </c>
      <c r="T197" s="59">
        <f t="shared" ref="T197:T203" si="204">$T$3</f>
        <v>182.52462557642343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0.24138449305985185</v>
      </c>
      <c r="AA197" s="21">
        <f>EXP(-LN(2)/25)*AA196+(1-EXP(-LN(2)/25))/(LN(2)/25)*Calculateur!V197*Calculateur!X197*VLOOKUP('Données projet'!$B$9,Paramètres!$A$1:$I$89,3,0)*0.475*44/12</f>
        <v>0.13068850175196059</v>
      </c>
      <c r="AB197" s="21">
        <f>EXP(-LN(2)/2)*AB196+(1-EXP(-LN(2)/2))/(LN(2)/2)*V197*Y197*VLOOKUP('Données projet'!$B$9,Paramètres!$A$1:$I$89,3,0)*0.475*44/12</f>
        <v>1.1261427884405061E-24</v>
      </c>
      <c r="AC197" s="22">
        <f t="shared" si="163"/>
        <v>0.37207299481181244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-4.5474735088646412E-13</v>
      </c>
      <c r="AJ197" s="13">
        <f>AI197*VLOOKUP('Données projet'!$B$10,Paramètres!$A$1:$I$89,3,0)*VLOOKUP('Données projet'!$B$10,Paramètres!$A$1:$I$89,5,0)</f>
        <v>-2.7193891583010558E-13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216.94426559495264</v>
      </c>
      <c r="AO197" s="59">
        <f t="shared" ref="AO197:AO203" si="205">$AO$3</f>
        <v>225.33715877618704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0.13618255108559132</v>
      </c>
      <c r="AW197" s="21">
        <f>EXP(-LN(2)/2)*AW196+(1-EXP(-LN(2)/2))/(LN(2)/2)*AQ197*AT197*VLOOKUP('Données projet'!$B$10,Paramètres!$A$1:$I$89,3,0)*0.475*44/12</f>
        <v>4.9071166089792031E-24</v>
      </c>
      <c r="AX197" s="21">
        <f t="shared" si="166"/>
        <v>0.13618255108559132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-1.0286385077051818E-13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237.22177246688199</v>
      </c>
      <c r="BJ197" s="59">
        <f t="shared" ref="BJ197:BJ203" si="206">$BJ$3</f>
        <v>149.27472147904302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3.291819660613074E-2</v>
      </c>
      <c r="BR197" s="21">
        <f>EXP(-LN(2)/2)*BR196+(1-EXP(-LN(2)/2))/(LN(2)/2)*BL197*BO197*VLOOKUP('Données projet'!$B$11,Paramètres!$A$1:$I$89,3,0)*0.475*44/12</f>
        <v>1.2799271373824685E-24</v>
      </c>
      <c r="BS197" s="22">
        <f t="shared" si="169"/>
        <v>3.291819660613074E-2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-2.8421709430404007E-14</v>
      </c>
      <c r="BZ197" s="13">
        <f>BY197*VLOOKUP('Données projet'!$B$12,Paramètres!$A$1:$I$89,3,0)*VLOOKUP('Données projet'!$B$12,Paramètres!$A$1:$I$89,5,0)</f>
        <v>-2.4829205358400945E-14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223.81948236065614</v>
      </c>
      <c r="CE197" s="59">
        <f t="shared" ref="CE197:CE203" si="207">$CE$3</f>
        <v>320.1204011431372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0.11940413311723708</v>
      </c>
      <c r="CL197" s="21">
        <f>EXP(-LN(2)/25)*CL196+(1-EXP(-LN(2)/25))/(LN(2)/25)*Calculateur!CG197*Calculateur!CI197*VLOOKUP('Données projet'!$B$12,Paramètres!$A$1:$I$89,3,0)*0.475*44/12</f>
        <v>0.18751244377778367</v>
      </c>
      <c r="CM197" s="21">
        <f>EXP(-LN(2)/2)*CM196+(1-EXP(-LN(2)/2))/(LN(2)/2)*CG197*CJ197*VLOOKUP('Données projet'!$B$12,Paramètres!$A$1:$I$89,3,0)*0.475*44/12</f>
        <v>5.7427028107516548E-24</v>
      </c>
      <c r="CN197" s="22">
        <f t="shared" si="172"/>
        <v>0.30691657689502072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-5.1159076974727213E-13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168.08890945052406</v>
      </c>
      <c r="T198" s="59">
        <f t="shared" si="204"/>
        <v>182.52462557642343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0.23665109038095117</v>
      </c>
      <c r="AA198" s="21">
        <f>EXP(-LN(2)/25)*AA197+(1-EXP(-LN(2)/25))/(LN(2)/25)*Calculateur!V198*Calculateur!X198*VLOOKUP('Données projet'!$B$9,Paramètres!$A$1:$I$89,3,0)*0.475*44/12</f>
        <v>0.12711481779894362</v>
      </c>
      <c r="AB198" s="21">
        <f>EXP(-LN(2)/2)*AB197+(1-EXP(-LN(2)/2))/(LN(2)/2)*V198*Y198*VLOOKUP('Données projet'!$B$9,Paramètres!$A$1:$I$89,3,0)*0.475*44/12</f>
        <v>7.9630320229060941E-25</v>
      </c>
      <c r="AC198" s="22">
        <f t="shared" si="163"/>
        <v>0.36376590817989479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-4.5474735088646412E-13</v>
      </c>
      <c r="AJ198" s="13">
        <f>AI198*VLOOKUP('Données projet'!$B$10,Paramètres!$A$1:$I$89,3,0)*VLOOKUP('Données projet'!$B$10,Paramètres!$A$1:$I$89,5,0)</f>
        <v>-2.7193891583010558E-13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216.94426559495264</v>
      </c>
      <c r="AO198" s="59">
        <f t="shared" si="205"/>
        <v>225.33715877618704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0.13245863206462671</v>
      </c>
      <c r="AW198" s="21">
        <f>EXP(-LN(2)/2)*AW197+(1-EXP(-LN(2)/2))/(LN(2)/2)*AQ198*AT198*VLOOKUP('Données projet'!$B$10,Paramètres!$A$1:$I$89,3,0)*0.475*44/12</f>
        <v>3.4698554302823304E-24</v>
      </c>
      <c r="AX198" s="21">
        <f t="shared" si="166"/>
        <v>0.13245863206462671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-1.0286385077051818E-13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237.22177246688199</v>
      </c>
      <c r="BJ198" s="59">
        <f t="shared" si="206"/>
        <v>149.27472147904302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3.2018046788843374E-2</v>
      </c>
      <c r="BR198" s="21">
        <f>EXP(-LN(2)/2)*BR197+(1-EXP(-LN(2)/2))/(LN(2)/2)*BL198*BO198*VLOOKUP('Données projet'!$B$11,Paramètres!$A$1:$I$89,3,0)*0.475*44/12</f>
        <v>9.050451582678293E-25</v>
      </c>
      <c r="BS198" s="22">
        <f t="shared" si="169"/>
        <v>3.2018046788843374E-2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-2.8421709430404007E-14</v>
      </c>
      <c r="BZ198" s="13">
        <f>BY198*VLOOKUP('Données projet'!$B$12,Paramètres!$A$1:$I$89,3,0)*VLOOKUP('Données projet'!$B$12,Paramètres!$A$1:$I$89,5,0)</f>
        <v>-2.4829205358400945E-14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223.81948236065614</v>
      </c>
      <c r="CE198" s="59">
        <f t="shared" si="207"/>
        <v>320.1204011431372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0.11706269089613797</v>
      </c>
      <c r="CL198" s="21">
        <f>EXP(-LN(2)/25)*CL197+(1-EXP(-LN(2)/25))/(LN(2)/25)*Calculateur!CG198*Calculateur!CI198*VLOOKUP('Données projet'!$B$12,Paramètres!$A$1:$I$89,3,0)*0.475*44/12</f>
        <v>0.18238490614182931</v>
      </c>
      <c r="CM198" s="21">
        <f>EXP(-LN(2)/2)*CM197+(1-EXP(-LN(2)/2))/(LN(2)/2)*CG198*CJ198*VLOOKUP('Données projet'!$B$12,Paramètres!$A$1:$I$89,3,0)*0.475*44/12</f>
        <v>4.0607040998215418E-24</v>
      </c>
      <c r="CN198" s="22">
        <f t="shared" si="172"/>
        <v>0.29944759703796731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-5.1159076974727213E-13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168.08890945052406</v>
      </c>
      <c r="T199" s="59">
        <f t="shared" si="204"/>
        <v>182.52462557642343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0.23201050684149316</v>
      </c>
      <c r="AA199" s="21">
        <f>EXP(-LN(2)/25)*AA198+(1-EXP(-LN(2)/25))/(LN(2)/25)*Calculateur!V199*Calculateur!X199*VLOOKUP('Données projet'!$B$9,Paramètres!$A$1:$I$89,3,0)*0.475*44/12</f>
        <v>0.12363885642155377</v>
      </c>
      <c r="AB199" s="21">
        <f>EXP(-LN(2)/2)*AB198+(1-EXP(-LN(2)/2))/(LN(2)/2)*V199*Y199*VLOOKUP('Données projet'!$B$9,Paramètres!$A$1:$I$89,3,0)*0.475*44/12</f>
        <v>5.6307139422025303E-25</v>
      </c>
      <c r="AC199" s="22">
        <f t="shared" si="163"/>
        <v>0.35564936326304691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-4.5474735088646412E-13</v>
      </c>
      <c r="AJ199" s="13">
        <f>AI199*VLOOKUP('Données projet'!$B$10,Paramètres!$A$1:$I$89,3,0)*VLOOKUP('Données projet'!$B$10,Paramètres!$A$1:$I$89,5,0)</f>
        <v>-2.7193891583010558E-13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216.94426559495264</v>
      </c>
      <c r="AO199" s="59">
        <f t="shared" si="205"/>
        <v>225.33715877618704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0.12883654380512277</v>
      </c>
      <c r="AW199" s="21">
        <f>EXP(-LN(2)/2)*AW198+(1-EXP(-LN(2)/2))/(LN(2)/2)*AQ199*AT199*VLOOKUP('Données projet'!$B$10,Paramètres!$A$1:$I$89,3,0)*0.475*44/12</f>
        <v>2.4535583044896015E-24</v>
      </c>
      <c r="AX199" s="21">
        <f t="shared" si="166"/>
        <v>0.12883654380512277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-1.0286385077051818E-13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237.22177246688199</v>
      </c>
      <c r="BJ199" s="59">
        <f t="shared" si="206"/>
        <v>149.27472147904302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3.1142511615646549E-2</v>
      </c>
      <c r="BR199" s="21">
        <f>EXP(-LN(2)/2)*BR198+(1-EXP(-LN(2)/2))/(LN(2)/2)*BL199*BO199*VLOOKUP('Données projet'!$B$11,Paramètres!$A$1:$I$89,3,0)*0.475*44/12</f>
        <v>6.3996356869123425E-25</v>
      </c>
      <c r="BS199" s="22">
        <f t="shared" si="169"/>
        <v>3.1142511615646549E-2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-2.8421709430404007E-14</v>
      </c>
      <c r="BZ199" s="13">
        <f>BY199*VLOOKUP('Données projet'!$B$12,Paramètres!$A$1:$I$89,3,0)*VLOOKUP('Données projet'!$B$12,Paramètres!$A$1:$I$89,5,0)</f>
        <v>-2.4829205358400945E-14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223.81948236065614</v>
      </c>
      <c r="CE199" s="59">
        <f t="shared" si="207"/>
        <v>320.1204011431372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0.11476716292885586</v>
      </c>
      <c r="CL199" s="21">
        <f>EXP(-LN(2)/25)*CL198+(1-EXP(-LN(2)/25))/(LN(2)/25)*Calculateur!CG199*Calculateur!CI199*VLOOKUP('Données projet'!$B$12,Paramètres!$A$1:$I$89,3,0)*0.475*44/12</f>
        <v>0.17739758129217562</v>
      </c>
      <c r="CM199" s="21">
        <f>EXP(-LN(2)/2)*CM198+(1-EXP(-LN(2)/2))/(LN(2)/2)*CG199*CJ199*VLOOKUP('Données projet'!$B$12,Paramètres!$A$1:$I$89,3,0)*0.475*44/12</f>
        <v>2.8713514053758274E-24</v>
      </c>
      <c r="CN199" s="22">
        <f t="shared" si="172"/>
        <v>0.29216474422103145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-5.1159076974727213E-13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168.08890945052406</v>
      </c>
      <c r="T200" s="59">
        <f t="shared" si="204"/>
        <v>182.52462557642343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0.22746092231476747</v>
      </c>
      <c r="AA200" s="21">
        <f>EXP(-LN(2)/25)*AA199+(1-EXP(-LN(2)/25))/(LN(2)/25)*Calculateur!V200*Calculateur!X200*VLOOKUP('Données projet'!$B$9,Paramètres!$A$1:$I$89,3,0)*0.475*44/12</f>
        <v>0.12025794539082151</v>
      </c>
      <c r="AB200" s="21">
        <f>EXP(-LN(2)/2)*AB199+(1-EXP(-LN(2)/2))/(LN(2)/2)*V200*Y200*VLOOKUP('Données projet'!$B$9,Paramètres!$A$1:$I$89,3,0)*0.475*44/12</f>
        <v>3.9815160114530471E-25</v>
      </c>
      <c r="AC200" s="22">
        <f t="shared" si="163"/>
        <v>0.34771886770558896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-4.5474735088646412E-13</v>
      </c>
      <c r="AJ200" s="13">
        <f>AI200*VLOOKUP('Données projet'!$B$10,Paramètres!$A$1:$I$89,3,0)*VLOOKUP('Données projet'!$B$10,Paramètres!$A$1:$I$89,5,0)</f>
        <v>-2.7193891583010558E-13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216.94426559495264</v>
      </c>
      <c r="AO200" s="59">
        <f t="shared" si="205"/>
        <v>225.33715877618704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0.1253135017395523</v>
      </c>
      <c r="AW200" s="21">
        <f>EXP(-LN(2)/2)*AW199+(1-EXP(-LN(2)/2))/(LN(2)/2)*AQ200*AT200*VLOOKUP('Données projet'!$B$10,Paramètres!$A$1:$I$89,3,0)*0.475*44/12</f>
        <v>1.7349277151411652E-24</v>
      </c>
      <c r="AX200" s="21">
        <f t="shared" si="166"/>
        <v>0.1253135017395523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-1.0286385077051818E-13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237.22177246688199</v>
      </c>
      <c r="BJ200" s="59">
        <f t="shared" si="206"/>
        <v>149.27472147904302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3.0290917997803184E-2</v>
      </c>
      <c r="BR200" s="21">
        <f>EXP(-LN(2)/2)*BR199+(1-EXP(-LN(2)/2))/(LN(2)/2)*BL200*BO200*VLOOKUP('Données projet'!$B$11,Paramètres!$A$1:$I$89,3,0)*0.475*44/12</f>
        <v>4.5252257913391465E-25</v>
      </c>
      <c r="BS200" s="22">
        <f t="shared" si="169"/>
        <v>3.0290917997803184E-2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-2.8421709430404007E-14</v>
      </c>
      <c r="BZ200" s="13">
        <f>BY200*VLOOKUP('Données projet'!$B$12,Paramètres!$A$1:$I$89,3,0)*VLOOKUP('Données projet'!$B$12,Paramètres!$A$1:$I$89,5,0)</f>
        <v>-2.4829205358400945E-14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223.81948236065614</v>
      </c>
      <c r="CE200" s="59">
        <f t="shared" si="207"/>
        <v>320.1204011431372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0.11251664886487835</v>
      </c>
      <c r="CL200" s="21">
        <f>EXP(-LN(2)/25)*CL199+(1-EXP(-LN(2)/25))/(LN(2)/25)*Calculateur!CG200*Calculateur!CI200*VLOOKUP('Données projet'!$B$12,Paramètres!$A$1:$I$89,3,0)*0.475*44/12</f>
        <v>0.17254663510280771</v>
      </c>
      <c r="CM200" s="21">
        <f>EXP(-LN(2)/2)*CM199+(1-EXP(-LN(2)/2))/(LN(2)/2)*CG200*CJ200*VLOOKUP('Données projet'!$B$12,Paramètres!$A$1:$I$89,3,0)*0.475*44/12</f>
        <v>2.0303520499107709E-24</v>
      </c>
      <c r="CN200" s="22">
        <f t="shared" si="172"/>
        <v>0.28506328396768604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-5.1159076974727213E-13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168.08890945052406</v>
      </c>
      <c r="T201" s="59">
        <f t="shared" si="204"/>
        <v>182.52462557642343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0.22300055236563832</v>
      </c>
      <c r="AA201" s="21">
        <f>EXP(-LN(2)/25)*AA200+(1-EXP(-LN(2)/25))/(LN(2)/25)*Calculateur!V201*Calculateur!X201*VLOOKUP('Données projet'!$B$9,Paramètres!$A$1:$I$89,3,0)*0.475*44/12</f>
        <v>0.116969485550019</v>
      </c>
      <c r="AB201" s="21">
        <f>EXP(-LN(2)/2)*AB200+(1-EXP(-LN(2)/2))/(LN(2)/2)*V201*Y201*VLOOKUP('Données projet'!$B$9,Paramètres!$A$1:$I$89,3,0)*0.475*44/12</f>
        <v>2.8153569711012652E-25</v>
      </c>
      <c r="AC201" s="22">
        <f t="shared" si="163"/>
        <v>0.33997003791565733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-4.5474735088646412E-13</v>
      </c>
      <c r="AJ201" s="13">
        <f>AI201*VLOOKUP('Données projet'!$B$10,Paramètres!$A$1:$I$89,3,0)*VLOOKUP('Données projet'!$B$10,Paramètres!$A$1:$I$89,5,0)</f>
        <v>-2.7193891583010558E-13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216.94426559495264</v>
      </c>
      <c r="AO201" s="59">
        <f t="shared" si="205"/>
        <v>225.33715877618704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0.1218867974445336</v>
      </c>
      <c r="AW201" s="21">
        <f>EXP(-LN(2)/2)*AW200+(1-EXP(-LN(2)/2))/(LN(2)/2)*AQ201*AT201*VLOOKUP('Données projet'!$B$10,Paramètres!$A$1:$I$89,3,0)*0.475*44/12</f>
        <v>1.2267791522448008E-24</v>
      </c>
      <c r="AX201" s="21">
        <f t="shared" si="166"/>
        <v>0.1218867974445336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-1.0286385077051818E-13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237.22177246688199</v>
      </c>
      <c r="BJ201" s="59">
        <f t="shared" si="206"/>
        <v>149.27472147904302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2.946261125222311E-2</v>
      </c>
      <c r="BR201" s="21">
        <f>EXP(-LN(2)/2)*BR200+(1-EXP(-LN(2)/2))/(LN(2)/2)*BL201*BO201*VLOOKUP('Données projet'!$B$11,Paramètres!$A$1:$I$89,3,0)*0.475*44/12</f>
        <v>3.1998178434561713E-25</v>
      </c>
      <c r="BS201" s="22">
        <f t="shared" si="169"/>
        <v>2.946261125222311E-2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-2.8421709430404007E-14</v>
      </c>
      <c r="BZ201" s="13">
        <f>BY201*VLOOKUP('Données projet'!$B$12,Paramètres!$A$1:$I$89,3,0)*VLOOKUP('Données projet'!$B$12,Paramètres!$A$1:$I$89,5,0)</f>
        <v>-2.4829205358400945E-14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223.81948236065614</v>
      </c>
      <c r="CE201" s="59">
        <f t="shared" si="207"/>
        <v>320.1204011431372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0.1103102660090174</v>
      </c>
      <c r="CL201" s="21">
        <f>EXP(-LN(2)/25)*CL200+(1-EXP(-LN(2)/25))/(LN(2)/25)*Calculateur!CG201*Calculateur!CI201*VLOOKUP('Données projet'!$B$12,Paramètres!$A$1:$I$89,3,0)*0.475*44/12</f>
        <v>0.16782833829208826</v>
      </c>
      <c r="CM201" s="21">
        <f>EXP(-LN(2)/2)*CM200+(1-EXP(-LN(2)/2))/(LN(2)/2)*CG201*CJ201*VLOOKUP('Données projet'!$B$12,Paramètres!$A$1:$I$89,3,0)*0.475*44/12</f>
        <v>1.4356757026879137E-24</v>
      </c>
      <c r="CN201" s="22">
        <f t="shared" si="172"/>
        <v>0.27813860430110565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-5.1159076974727213E-13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168.08890945052406</v>
      </c>
      <c r="T202" s="59">
        <f t="shared" si="204"/>
        <v>182.52462557642343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0.21862764755065453</v>
      </c>
      <c r="AA202" s="21">
        <f>EXP(-LN(2)/25)*AA201+(1-EXP(-LN(2)/25))/(LN(2)/25)*Calculateur!V202*Calculateur!X202*VLOOKUP('Données projet'!$B$9,Paramètres!$A$1:$I$89,3,0)*0.475*44/12</f>
        <v>0.11377094881649583</v>
      </c>
      <c r="AB202" s="21">
        <f>EXP(-LN(2)/2)*AB201+(1-EXP(-LN(2)/2))/(LN(2)/2)*V202*Y202*VLOOKUP('Données projet'!$B$9,Paramètres!$A$1:$I$89,3,0)*0.475*44/12</f>
        <v>1.9907580057265235E-25</v>
      </c>
      <c r="AC202" s="22">
        <f t="shared" si="163"/>
        <v>0.33239859636715036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-4.5474735088646412E-13</v>
      </c>
      <c r="AJ202" s="13">
        <f>AI202*VLOOKUP('Données projet'!$B$10,Paramètres!$A$1:$I$89,3,0)*VLOOKUP('Données projet'!$B$10,Paramètres!$A$1:$I$89,5,0)</f>
        <v>-2.7193891583010558E-13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216.94426559495264</v>
      </c>
      <c r="AO202" s="59">
        <f t="shared" si="205"/>
        <v>225.33715877618704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0.11855379655866473</v>
      </c>
      <c r="AW202" s="21">
        <f>EXP(-LN(2)/2)*AW201+(1-EXP(-LN(2)/2))/(LN(2)/2)*AQ202*AT202*VLOOKUP('Données projet'!$B$10,Paramètres!$A$1:$I$89,3,0)*0.475*44/12</f>
        <v>8.6746385757058259E-25</v>
      </c>
      <c r="AX202" s="21">
        <f t="shared" si="166"/>
        <v>0.11855379655866473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-1.0286385077051818E-13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237.22177246688199</v>
      </c>
      <c r="BJ202" s="59">
        <f t="shared" si="206"/>
        <v>149.27472147904302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2.865695459815968E-2</v>
      </c>
      <c r="BR202" s="21">
        <f>EXP(-LN(2)/2)*BR201+(1-EXP(-LN(2)/2))/(LN(2)/2)*BL202*BO202*VLOOKUP('Données projet'!$B$11,Paramètres!$A$1:$I$89,3,0)*0.475*44/12</f>
        <v>2.2626128956695732E-25</v>
      </c>
      <c r="BS202" s="22">
        <f t="shared" si="169"/>
        <v>2.865695459815968E-2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-2.8421709430404007E-14</v>
      </c>
      <c r="BZ202" s="13">
        <f>BY202*VLOOKUP('Données projet'!$B$12,Paramètres!$A$1:$I$89,3,0)*VLOOKUP('Données projet'!$B$12,Paramètres!$A$1:$I$89,5,0)</f>
        <v>-2.4829205358400945E-14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223.81948236065614</v>
      </c>
      <c r="CE202" s="59">
        <f t="shared" si="207"/>
        <v>320.1204011431372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0.10814714897519923</v>
      </c>
      <c r="CL202" s="21">
        <f>EXP(-LN(2)/25)*CL201+(1-EXP(-LN(2)/25))/(LN(2)/25)*Calculateur!CG202*Calculateur!CI202*VLOOKUP('Données projet'!$B$12,Paramètres!$A$1:$I$89,3,0)*0.475*44/12</f>
        <v>0.16323906355578238</v>
      </c>
      <c r="CM202" s="21">
        <f>EXP(-LN(2)/2)*CM201+(1-EXP(-LN(2)/2))/(LN(2)/2)*CG202*CJ202*VLOOKUP('Données projet'!$B$12,Paramètres!$A$1:$I$89,3,0)*0.475*44/12</f>
        <v>1.0151760249553854E-24</v>
      </c>
      <c r="CN202" s="22">
        <f t="shared" si="172"/>
        <v>0.27138621253098161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-5.1159076974727213E-13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168.08890945052406</v>
      </c>
      <c r="T203" s="59">
        <f t="shared" si="204"/>
        <v>182.52462557642343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0.21434049273188402</v>
      </c>
      <c r="AA203" s="21">
        <f>EXP(-LN(2)/25)*AA202+(1-EXP(-LN(2)/25))/(LN(2)/25)*Calculateur!V203*Calculateur!X203*VLOOKUP('Données projet'!$B$9,Paramètres!$A$1:$I$89,3,0)*0.475*44/12</f>
        <v>0.11065987623815457</v>
      </c>
      <c r="AB203" s="21">
        <f>EXP(-LN(2)/2)*AB202+(1-EXP(-LN(2)/2))/(LN(2)/2)*V203*Y203*VLOOKUP('Données projet'!$B$9,Paramètres!$A$1:$I$89,3,0)*0.475*44/12</f>
        <v>1.4076784855506326E-25</v>
      </c>
      <c r="AC203" s="22">
        <f t="shared" si="163"/>
        <v>0.32500036897003859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-4.5474735088646412E-13</v>
      </c>
      <c r="AJ203" s="13">
        <f>AI203*VLOOKUP('Données projet'!$B$10,Paramètres!$A$1:$I$89,3,0)*VLOOKUP('Données projet'!$B$10,Paramètres!$A$1:$I$89,5,0)</f>
        <v>-2.7193891583010558E-13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216.94426559495264</v>
      </c>
      <c r="AO203" s="59">
        <f t="shared" si="205"/>
        <v>225.33715877618704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0.11531193675729484</v>
      </c>
      <c r="AW203" s="21">
        <f>EXP(-LN(2)/2)*AW202+(1-EXP(-LN(2)/2))/(LN(2)/2)*AQ203*AT203*VLOOKUP('Données projet'!$B$10,Paramètres!$A$1:$I$89,3,0)*0.475*44/12</f>
        <v>6.1338957612240039E-25</v>
      </c>
      <c r="AX203" s="21">
        <f t="shared" si="166"/>
        <v>0.11531193675729484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-1.0286385077051818E-13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237.22177246688199</v>
      </c>
      <c r="BJ203" s="59">
        <f t="shared" si="206"/>
        <v>149.27472147904302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2.7873328667669256E-2</v>
      </c>
      <c r="BR203" s="21">
        <f>EXP(-LN(2)/2)*BR202+(1-EXP(-LN(2)/2))/(LN(2)/2)*BL203*BO203*VLOOKUP('Données projet'!$B$11,Paramètres!$A$1:$I$89,3,0)*0.475*44/12</f>
        <v>1.5999089217280856E-25</v>
      </c>
      <c r="BS203" s="22">
        <f t="shared" si="169"/>
        <v>2.7873328667669256E-2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-2.8421709430404007E-14</v>
      </c>
      <c r="BZ203" s="13">
        <f>BY203*VLOOKUP('Données projet'!$B$12,Paramètres!$A$1:$I$89,3,0)*VLOOKUP('Données projet'!$B$12,Paramètres!$A$1:$I$89,5,0)</f>
        <v>-2.4829205358400945E-14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223.81948236065614</v>
      </c>
      <c r="CE203" s="59">
        <f t="shared" si="207"/>
        <v>320.1204011431372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0.10602644934704311</v>
      </c>
      <c r="CL203" s="21">
        <f>EXP(-LN(2)/25)*CL202+(1-EXP(-LN(2)/25))/(LN(2)/25)*Calculateur!CG203*Calculateur!CI203*VLOOKUP('Données projet'!$B$12,Paramètres!$A$1:$I$89,3,0)*0.475*44/12</f>
        <v>0.15877528277848024</v>
      </c>
      <c r="CM203" s="21">
        <f>EXP(-LN(2)/2)*CM202+(1-EXP(-LN(2)/2))/(LN(2)/2)*CG203*CJ203*VLOOKUP('Données projet'!$B$12,Paramètres!$A$1:$I$89,3,0)*0.475*44/12</f>
        <v>7.1783785134395685E-25</v>
      </c>
      <c r="CN203" s="22">
        <f t="shared" si="172"/>
        <v>0.26480173212552338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-5.1159076974727213E-13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1.3480061545972777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1.2530028811664373</v>
      </c>
      <c r="BA205" s="82">
        <f>EXP(LN('Données projet'!B88)/'Données projet'!A88)</f>
        <v>1.2054868146447177</v>
      </c>
      <c r="BV205" s="82">
        <f>EXP(LN('Données projet'!B114)/'Données projet'!A114)</f>
        <v>1.2765231539157764</v>
      </c>
      <c r="CQ205" s="82">
        <f>EXP(LN('Données projet'!B140)/'Données projet'!A140)</f>
        <v>1.4309690811052556</v>
      </c>
      <c r="DL205" s="82">
        <f>EXP(LN('Données projet'!B166)/'Données projet'!A166)</f>
        <v>1.2709816152101407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K22" sqref="K2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maritime</v>
      </c>
      <c r="B6" s="146">
        <f>'Données projet'!D9</f>
        <v>1.8137712233347845</v>
      </c>
      <c r="C6" s="147">
        <f ca="1">IF(OR('Données projet'!B9="",'Données projet'!C9="",'Données projet'!C9=0%),0,Calculateur!S3)</f>
        <v>168.08890945052406</v>
      </c>
      <c r="D6" s="147">
        <f>IF(OR('Données projet'!B9="",'Données projet'!C9="",'Données projet'!C9=0%),0,Calculateur!T3)</f>
        <v>182.52462557642343</v>
      </c>
      <c r="E6" s="147">
        <f ca="1">MIN(C6,D6)</f>
        <v>168.08890945052406</v>
      </c>
      <c r="F6" s="147">
        <f ca="1">E6*B6</f>
        <v>304.87482692308686</v>
      </c>
      <c r="G6" s="147">
        <f ca="1">F6*(100%-'Données projet'!$C$24)*(100%-'Données projet'!$C$25)*(100%-'Données projet'!$C$26)*(100%-'Données projet'!$C$27)</f>
        <v>274.38734423077818</v>
      </c>
      <c r="H6" s="148">
        <f>IF(OR('Données projet'!B9="",'Données projet'!C9="",'Données projet'!C9=0%),0,AVERAGE(Calculateur!$AC$3:$AC$33)*B6)</f>
        <v>13.2062306537926</v>
      </c>
      <c r="I6" s="149">
        <f>H6*(100%-'Données projet'!$C$24)*(100%-'Données projet'!$C$25)*(100%-'Données projet'!$C$26)*(100%-'Données projet'!$C$27)</f>
        <v>11.88560758841334</v>
      </c>
      <c r="J6" s="150">
        <f>IF(OR('Données projet'!B9="",'Données projet'!C9="",'Données projet'!C9=0%),0,SUM(Calculateur!$V$3:$V$33)*VLOOKUP('Données projet'!$B$9,Paramètres!$A$1:$I$89,9,0)*B6)</f>
        <v>110.22287724205485</v>
      </c>
      <c r="K6" s="151">
        <f>J6*(100%-'Données projet'!$C$24)*(100%-'Données projet'!$C$25)*(100%-'Données projet'!$C$26)*(100%-'Données projet'!$C$27)</f>
        <v>99.200589517849366</v>
      </c>
      <c r="L6" s="152">
        <f ca="1">G6+I6+K6</f>
        <v>385.4735413370409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Pin laricio</v>
      </c>
      <c r="B7" s="154">
        <f>'Données projet'!D10</f>
        <v>1.7658554636482369</v>
      </c>
      <c r="C7" s="147">
        <f ca="1">IF(OR('Données projet'!B10="",'Données projet'!C10="",'Données projet'!C10=0%),0,Calculateur!AN3)</f>
        <v>216.94426559495264</v>
      </c>
      <c r="D7" s="147">
        <f>IF(OR('Données projet'!B10="",'Données projet'!C10="",'Données projet'!C10=0%),0,Calculateur!AO3)</f>
        <v>225.33715877618704</v>
      </c>
      <c r="E7" s="147">
        <f t="shared" ref="E7:E15" ca="1" si="0">MIN(C7,D7)</f>
        <v>216.94426559495264</v>
      </c>
      <c r="F7" s="147">
        <f t="shared" ref="F7:F15" ca="1" si="1">E7*B7</f>
        <v>383.09221670800133</v>
      </c>
      <c r="G7" s="147">
        <f ca="1">F7*(100%-'Données projet'!$C$24)*(100%-'Données projet'!$C$25)*(100%-'Données projet'!$C$26)*(100%-'Données projet'!$C$27)</f>
        <v>344.7829950372012</v>
      </c>
      <c r="H7" s="155">
        <f>IF(OR('Données projet'!B10="",'Données projet'!C10="",'Données projet'!C10=0%),0,AVERAGE(Calculateur!$AX$3:$AX$33)*B7)</f>
        <v>2.5440111986209497</v>
      </c>
      <c r="I7" s="149">
        <f>H7*(100%-'Données projet'!$C$24)*(100%-'Données projet'!$C$25)*(100%-'Données projet'!$C$26)*(100%-'Données projet'!$C$27)</f>
        <v>2.2896100787588547</v>
      </c>
      <c r="J7" s="150">
        <f>IF(OR('Données projet'!B10="",'Données projet'!C10="",'Données projet'!C10=0%),0,SUM(Calculateur!$AQ$3:$AQ$33)*VLOOKUP('Données projet'!$B$10,Paramètres!$A$1:$I$89,9,0)*B7)</f>
        <v>55.430203003918159</v>
      </c>
      <c r="K7" s="151">
        <f>J7*(100%-'Données projet'!$C$24)*(100%-'Données projet'!$C$25)*(100%-'Données projet'!$C$26)*(100%-'Données projet'!$C$27)</f>
        <v>49.887182703526342</v>
      </c>
      <c r="L7" s="152">
        <f t="shared" ref="L7:L15" ca="1" si="2">G7+I7+K7</f>
        <v>396.95978781948639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Chêne sessile</v>
      </c>
      <c r="B8" s="154">
        <f>'Données projet'!D11</f>
        <v>1.7498835437527207</v>
      </c>
      <c r="C8" s="147">
        <f ca="1">IF(OR('Données projet'!B11="",'Données projet'!C11="",'Données projet'!C11=0%),0,Calculateur!BI3)</f>
        <v>237.22177246688199</v>
      </c>
      <c r="D8" s="147">
        <f>IF(OR('Données projet'!B11="",'Données projet'!C11="",'Données projet'!C11=0%),0,Calculateur!BJ3)</f>
        <v>149.27472147904302</v>
      </c>
      <c r="E8" s="147">
        <f t="shared" ca="1" si="0"/>
        <v>149.27472147904302</v>
      </c>
      <c r="F8" s="147">
        <f t="shared" ca="1" si="1"/>
        <v>261.21337861444817</v>
      </c>
      <c r="G8" s="147">
        <f ca="1">F8*(100%-'Données projet'!$C$24)*(100%-'Données projet'!$C$25)*(100%-'Données projet'!$C$26)*(100%-'Données projet'!$C$27)</f>
        <v>235.09204075300337</v>
      </c>
      <c r="H8" s="155">
        <f>IF(OR('Données projet'!B11="",'Données projet'!C11="",'Données projet'!C11=0%),0,AVERAGE(Calculateur!$BS$3:$BS$33)*B8)</f>
        <v>0.52469896945093553</v>
      </c>
      <c r="I8" s="149">
        <f>H8*(100%-'Données projet'!$C$24)*(100%-'Données projet'!$C$25)*(100%-'Données projet'!$C$26)*(100%-'Données projet'!$C$27)</f>
        <v>0.47222907250584201</v>
      </c>
      <c r="J8" s="150">
        <f>IF(OR('Données projet'!B11="",'Données projet'!C11="",'Données projet'!C11=0%),0,SUM(Calculateur!$BL$3:$BL$33)*VLOOKUP('Données projet'!$B$11,Paramètres!$A$1:$I$89,9,0)*B8)</f>
        <v>12.686655692207225</v>
      </c>
      <c r="K8" s="151">
        <f>J8*(100%-'Données projet'!$C$24)*(100%-'Données projet'!$C$25)*(100%-'Données projet'!$C$26)*(100%-'Données projet'!$C$27)</f>
        <v>11.417990122986502</v>
      </c>
      <c r="L8" s="152">
        <f t="shared" ca="1" si="2"/>
        <v>246.98225994849574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Chêne rouge d'Amérique</v>
      </c>
      <c r="B9" s="154">
        <f>'Données projet'!D12</f>
        <v>0.54048976926425774</v>
      </c>
      <c r="C9" s="147">
        <f ca="1">IF(OR('Données projet'!B12="",'Données projet'!C12="",'Données projet'!C12=0%),0,Calculateur!CD3)</f>
        <v>223.81948236065614</v>
      </c>
      <c r="D9" s="147">
        <f>IF(OR('Données projet'!B12="",'Données projet'!C12="",'Données projet'!C12=0%),0,Calculateur!CE3)</f>
        <v>320.1204011431372</v>
      </c>
      <c r="E9" s="147">
        <f t="shared" ca="1" si="0"/>
        <v>223.81948236065614</v>
      </c>
      <c r="F9" s="147">
        <f t="shared" ca="1" si="1"/>
        <v>120.97214037795663</v>
      </c>
      <c r="G9" s="147">
        <f ca="1">F9*(100%-'Données projet'!$C$24)*(100%-'Données projet'!$C$25)*(100%-'Données projet'!$C$26)*(100%-'Données projet'!$C$27)</f>
        <v>108.87492634016097</v>
      </c>
      <c r="H9" s="155">
        <f>IF(OR('Données projet'!B12="",'Données projet'!C12="",'Données projet'!C12=0%),0,AVERAGE(Calculateur!$CN$3:$CN$33)*B9)</f>
        <v>2.2386390705769199</v>
      </c>
      <c r="I9" s="149">
        <f>H9*(100%-'Données projet'!$C$24)*(100%-'Données projet'!$C$25)*(100%-'Données projet'!$C$26)*(100%-'Données projet'!$C$27)</f>
        <v>2.0147751635192281</v>
      </c>
      <c r="J9" s="150">
        <f>IF(OR('Données projet'!B12="",'Données projet'!C12="",'Données projet'!C12=0%),0,SUM(Calculateur!$CG$3:$CG$33)*VLOOKUP('Données projet'!$B$12,Paramètres!$A$1:$I$89,9,0)*B9)</f>
        <v>16.755182847191989</v>
      </c>
      <c r="K9" s="151">
        <f>J9*(100%-'Données projet'!$C$24)*(100%-'Données projet'!$C$25)*(100%-'Données projet'!$C$26)*(100%-'Données projet'!$C$27)</f>
        <v>15.079664562472791</v>
      </c>
      <c r="L9" s="152">
        <f t="shared" ca="1" si="2"/>
        <v>125.96936606615299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1070.1525626234929</v>
      </c>
      <c r="G16" s="166">
        <f t="shared" ca="1" si="3"/>
        <v>963.13730636114383</v>
      </c>
      <c r="H16" s="167">
        <f t="shared" si="3"/>
        <v>18.513579892441406</v>
      </c>
      <c r="I16" s="167">
        <f t="shared" si="3"/>
        <v>16.662221903197263</v>
      </c>
      <c r="J16" s="168">
        <f t="shared" si="3"/>
        <v>195.09491878537222</v>
      </c>
      <c r="K16" s="168">
        <f t="shared" si="3"/>
        <v>175.58542690683501</v>
      </c>
      <c r="L16" s="169">
        <f t="shared" ca="1" si="3"/>
        <v>1155.384955171176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Chêne rouge d'Amérique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1" zoomScale="80" zoomScaleNormal="80" workbookViewId="0">
      <selection activeCell="T23" sqref="T23:V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1168.3428469057021</v>
      </c>
      <c r="U10" s="178">
        <f>'Données projet'!D9</f>
        <v>1.8137712233347845</v>
      </c>
      <c r="V10" s="177">
        <f>U10*T10</f>
        <v>2119.1066347066003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334.1889318289102</v>
      </c>
      <c r="U11" s="178">
        <f>'Données projet'!D10</f>
        <v>1.7658554636482369</v>
      </c>
      <c r="V11" s="177">
        <f t="shared" ref="V11" si="0">U11*T11</f>
        <v>590.1293511608493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-1148.2631989261222</v>
      </c>
      <c r="U12" s="178">
        <f>'Données projet'!D11</f>
        <v>1.7498835437527207</v>
      </c>
      <c r="V12" s="177">
        <f t="shared" ref="V12:V19" si="1">U12*T12</f>
        <v>-2009.3268756976779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rouge d'Amérique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-620.56100258734114</v>
      </c>
      <c r="U13" s="178">
        <f>'Données projet'!D12</f>
        <v>0.54048976926425774</v>
      </c>
      <c r="V13" s="177">
        <f t="shared" si="1"/>
        <v>-335.40687310282846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62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62.000000000000064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>
        <f>302+695+152</f>
        <v>1149</v>
      </c>
      <c r="F18" s="230"/>
      <c r="G18" s="303"/>
      <c r="J18" s="202"/>
      <c r="K18" s="208"/>
      <c r="L18" s="260" t="s">
        <v>255</v>
      </c>
      <c r="M18" s="262"/>
      <c r="N18" s="192">
        <v>20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1240.0000000000014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980+560</f>
        <v>1540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f>700+60</f>
        <v>760</v>
      </c>
      <c r="J21" s="1" t="s">
        <v>324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f t="shared" ref="I22:I23" si="2">700+60</f>
        <v>760</v>
      </c>
      <c r="J22" s="1" t="s">
        <v>325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12</v>
      </c>
      <c r="B23" s="181">
        <f>'Données projet'!D36</f>
        <v>0</v>
      </c>
      <c r="C23" s="193">
        <v>0</v>
      </c>
      <c r="D23" s="182">
        <f>B23*C23</f>
        <v>0</v>
      </c>
      <c r="E23" s="193"/>
      <c r="F23" s="230"/>
      <c r="H23" s="190">
        <v>3</v>
      </c>
      <c r="I23" s="191">
        <f t="shared" si="2"/>
        <v>760</v>
      </c>
      <c r="J23" s="1" t="s">
        <v>326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-26969.926653666957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16</v>
      </c>
      <c r="B24" s="181">
        <f>'Données projet'!D37</f>
        <v>15</v>
      </c>
      <c r="C24" s="193">
        <v>8</v>
      </c>
      <c r="D24" s="182">
        <f t="shared" ref="D24:D42" si="3">B24*C24</f>
        <v>120</v>
      </c>
      <c r="E24" s="193"/>
      <c r="F24" s="233"/>
      <c r="H24" s="190">
        <v>4</v>
      </c>
      <c r="I24" s="191">
        <v>60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475.17083718216156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20</v>
      </c>
      <c r="B25" s="181">
        <f>'Données projet'!D38</f>
        <v>22</v>
      </c>
      <c r="C25" s="193">
        <v>8</v>
      </c>
      <c r="D25" s="182">
        <f t="shared" si="3"/>
        <v>176</v>
      </c>
      <c r="E25" s="193"/>
      <c r="F25" s="233"/>
      <c r="H25" s="190">
        <v>5</v>
      </c>
      <c r="I25" s="191">
        <v>60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-27445.097490849119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24</v>
      </c>
      <c r="B26" s="181">
        <f>'Données projet'!D39</f>
        <v>31</v>
      </c>
      <c r="C26" s="193">
        <v>15</v>
      </c>
      <c r="D26" s="182">
        <f t="shared" si="3"/>
        <v>465</v>
      </c>
      <c r="E26" s="193"/>
      <c r="F26" s="233"/>
      <c r="G26" s="229"/>
      <c r="H26" s="190">
        <v>6</v>
      </c>
      <c r="I26" s="191">
        <v>60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28</v>
      </c>
      <c r="B27" s="181">
        <f>'Données projet'!D40</f>
        <v>35</v>
      </c>
      <c r="C27" s="193">
        <v>15</v>
      </c>
      <c r="D27" s="182">
        <f t="shared" si="3"/>
        <v>525</v>
      </c>
      <c r="E27" s="193"/>
      <c r="F27" s="233"/>
      <c r="G27" s="229"/>
      <c r="H27" s="190">
        <v>7</v>
      </c>
      <c r="I27" s="191">
        <v>60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34</v>
      </c>
      <c r="B28" s="181">
        <f>'Données projet'!D41</f>
        <v>46</v>
      </c>
      <c r="C28" s="193">
        <v>20</v>
      </c>
      <c r="D28" s="182">
        <f t="shared" si="3"/>
        <v>920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40</v>
      </c>
      <c r="B29" s="181">
        <f>'Données projet'!D42</f>
        <v>41</v>
      </c>
      <c r="C29" s="193">
        <v>25</v>
      </c>
      <c r="D29" s="182">
        <f t="shared" si="3"/>
        <v>1025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46</v>
      </c>
      <c r="B30" s="181">
        <f>'Données projet'!D43</f>
        <v>29</v>
      </c>
      <c r="C30" s="193">
        <v>35</v>
      </c>
      <c r="D30" s="182">
        <f t="shared" si="3"/>
        <v>1015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54</v>
      </c>
      <c r="B31" s="181">
        <f>'Données projet'!D44</f>
        <v>16</v>
      </c>
      <c r="C31" s="193">
        <v>45</v>
      </c>
      <c r="D31" s="182">
        <f t="shared" si="3"/>
        <v>720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62</v>
      </c>
      <c r="B32" s="181">
        <f>'Données projet'!D45</f>
        <v>316</v>
      </c>
      <c r="C32" s="193">
        <v>60</v>
      </c>
      <c r="D32" s="182">
        <f t="shared" si="3"/>
        <v>18960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3"/>
        <v>0</v>
      </c>
      <c r="E33" s="193"/>
      <c r="F33" s="233"/>
      <c r="G33" s="203"/>
      <c r="H33" s="190">
        <v>13</v>
      </c>
      <c r="I33" s="191">
        <v>60</v>
      </c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3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3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3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3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3"/>
        <v>0</v>
      </c>
      <c r="E38" s="193"/>
      <c r="F38" s="233"/>
      <c r="G38" s="203"/>
      <c r="H38" s="190">
        <v>18</v>
      </c>
      <c r="I38" s="191">
        <v>60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3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3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3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3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60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f>465+152+695</f>
        <v>1312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3</v>
      </c>
      <c r="C54" s="191">
        <v>10</v>
      </c>
      <c r="D54" s="179">
        <f>B54*C54</f>
        <v>30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70</v>
      </c>
      <c r="C55" s="191">
        <v>15</v>
      </c>
      <c r="D55" s="179">
        <f t="shared" ref="D55:D73" si="5">B55*C55</f>
        <v>1050</v>
      </c>
      <c r="E55" s="193"/>
      <c r="F55" s="232"/>
      <c r="G55" s="205"/>
      <c r="H55" s="190">
        <v>35</v>
      </c>
      <c r="I55" s="191">
        <v>60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70</v>
      </c>
      <c r="C56" s="191">
        <v>25</v>
      </c>
      <c r="D56" s="179">
        <f t="shared" si="5"/>
        <v>1750</v>
      </c>
      <c r="E56" s="193"/>
      <c r="F56" s="232"/>
      <c r="G56" s="205"/>
      <c r="H56" s="190">
        <v>36</v>
      </c>
      <c r="I56" s="191">
        <v>60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70</v>
      </c>
      <c r="C57" s="191">
        <v>35</v>
      </c>
      <c r="D57" s="179">
        <f t="shared" si="5"/>
        <v>2450</v>
      </c>
      <c r="E57" s="193"/>
      <c r="F57" s="232"/>
      <c r="G57" s="205"/>
      <c r="H57" s="190">
        <v>37</v>
      </c>
      <c r="I57" s="191">
        <v>60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57</v>
      </c>
      <c r="C58" s="191">
        <v>40</v>
      </c>
      <c r="D58" s="179">
        <f t="shared" si="5"/>
        <v>2280</v>
      </c>
      <c r="E58" s="193"/>
      <c r="F58" s="232"/>
      <c r="G58" s="205"/>
      <c r="H58" s="190">
        <v>38</v>
      </c>
      <c r="I58" s="191">
        <v>60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44</v>
      </c>
      <c r="C59" s="191">
        <v>50</v>
      </c>
      <c r="D59" s="179">
        <f t="shared" si="5"/>
        <v>2200</v>
      </c>
      <c r="E59" s="193"/>
      <c r="F59" s="232"/>
      <c r="G59" s="205"/>
      <c r="H59" s="190">
        <v>39</v>
      </c>
      <c r="I59" s="191">
        <v>60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450</v>
      </c>
      <c r="C60" s="191">
        <v>60</v>
      </c>
      <c r="D60" s="179">
        <f t="shared" si="5"/>
        <v>27000</v>
      </c>
      <c r="E60" s="193"/>
      <c r="F60" s="232"/>
      <c r="G60" s="206"/>
      <c r="H60" s="190">
        <v>40</v>
      </c>
      <c r="I60" s="191">
        <v>60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5"/>
        <v>0</v>
      </c>
      <c r="E61" s="193"/>
      <c r="F61" s="232"/>
      <c r="G61" s="206"/>
      <c r="H61" s="190">
        <v>41</v>
      </c>
      <c r="I61" s="191">
        <v>60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5"/>
        <v>0</v>
      </c>
      <c r="E62" s="193"/>
      <c r="F62" s="232"/>
      <c r="G62" s="206"/>
      <c r="H62" s="190">
        <v>42</v>
      </c>
      <c r="I62" s="191">
        <v>60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5"/>
        <v>0</v>
      </c>
      <c r="E63" s="193"/>
      <c r="F63" s="232"/>
      <c r="G63" s="206"/>
      <c r="H63" s="190">
        <v>43</v>
      </c>
      <c r="I63" s="191">
        <v>60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5"/>
        <v>0</v>
      </c>
      <c r="E64" s="193"/>
      <c r="F64" s="232"/>
      <c r="G64" s="206"/>
      <c r="H64" s="190">
        <v>44</v>
      </c>
      <c r="I64" s="191">
        <v>60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5"/>
        <v>0</v>
      </c>
      <c r="E65" s="193"/>
      <c r="F65" s="232"/>
      <c r="G65" s="206"/>
      <c r="H65" s="190">
        <v>45</v>
      </c>
      <c r="I65" s="191">
        <v>60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6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5"/>
        <v>0</v>
      </c>
      <c r="E66" s="193"/>
      <c r="F66" s="232"/>
      <c r="G66" s="206"/>
      <c r="H66" s="190">
        <v>46</v>
      </c>
      <c r="I66" s="191">
        <v>60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6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5"/>
        <v>0</v>
      </c>
      <c r="E67" s="193"/>
      <c r="F67" s="232"/>
      <c r="G67" s="206"/>
      <c r="H67" s="190">
        <v>47</v>
      </c>
      <c r="I67" s="191">
        <v>60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6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/>
      <c r="F68" s="232"/>
      <c r="G68" s="206"/>
      <c r="H68" s="190">
        <v>48</v>
      </c>
      <c r="I68" s="191">
        <v>60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6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>
        <v>49</v>
      </c>
      <c r="I69" s="191">
        <v>60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6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>
        <v>50</v>
      </c>
      <c r="I70" s="191">
        <v>60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6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>
        <v>51</v>
      </c>
      <c r="I71" s="191">
        <v>60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6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>
        <v>52</v>
      </c>
      <c r="I72" s="191">
        <v>60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6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>
        <v>53</v>
      </c>
      <c r="I73" s="191">
        <v>60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6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>
        <v>54</v>
      </c>
      <c r="I74" s="191">
        <v>60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6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>
        <v>55</v>
      </c>
      <c r="I75" s="191">
        <v>60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6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>
        <v>56</v>
      </c>
      <c r="I76" s="191">
        <v>60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6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>
        <v>57</v>
      </c>
      <c r="I77" s="191">
        <v>60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6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58</v>
      </c>
      <c r="I78" s="191">
        <v>60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6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1125+152+695</f>
        <v>1972</v>
      </c>
      <c r="F79" s="231"/>
      <c r="G79" s="206"/>
      <c r="H79" s="190">
        <v>59</v>
      </c>
      <c r="I79" s="191">
        <v>60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6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>
        <v>60</v>
      </c>
      <c r="I80" s="191">
        <v>60</v>
      </c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6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>
        <v>61</v>
      </c>
      <c r="I81" s="191">
        <v>60</v>
      </c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6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>
        <v>62</v>
      </c>
      <c r="I82" s="191">
        <v>60</v>
      </c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6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>
        <v>63</v>
      </c>
      <c r="I83" s="191">
        <v>60</v>
      </c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6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>
        <v>64</v>
      </c>
      <c r="I84" s="191">
        <v>60</v>
      </c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6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0</v>
      </c>
      <c r="C85" s="191">
        <v>8</v>
      </c>
      <c r="D85" s="179">
        <f>B85*C85</f>
        <v>0</v>
      </c>
      <c r="E85" s="193"/>
      <c r="F85" s="232"/>
      <c r="G85" s="205"/>
      <c r="H85" s="190">
        <v>65</v>
      </c>
      <c r="I85" s="191">
        <v>60</v>
      </c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6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29</v>
      </c>
      <c r="C86" s="191">
        <v>12</v>
      </c>
      <c r="D86" s="179">
        <f t="shared" ref="D86:D104" si="7">B86*C86</f>
        <v>348</v>
      </c>
      <c r="E86" s="193"/>
      <c r="F86" s="232"/>
      <c r="G86" s="205"/>
      <c r="H86" s="190">
        <v>66</v>
      </c>
      <c r="I86" s="191">
        <v>60</v>
      </c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6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42</v>
      </c>
      <c r="C87" s="191">
        <v>15</v>
      </c>
      <c r="D87" s="179">
        <f t="shared" si="7"/>
        <v>630</v>
      </c>
      <c r="E87" s="193"/>
      <c r="F87" s="232"/>
      <c r="G87" s="205"/>
      <c r="H87" s="190">
        <v>67</v>
      </c>
      <c r="I87" s="191">
        <v>60</v>
      </c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6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42</v>
      </c>
      <c r="C88" s="191">
        <v>20</v>
      </c>
      <c r="D88" s="179">
        <f t="shared" si="7"/>
        <v>840</v>
      </c>
      <c r="E88" s="193"/>
      <c r="F88" s="232"/>
      <c r="G88" s="205"/>
      <c r="H88" s="190">
        <v>68</v>
      </c>
      <c r="I88" s="191">
        <v>60</v>
      </c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6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42</v>
      </c>
      <c r="C89" s="191">
        <v>25</v>
      </c>
      <c r="D89" s="179">
        <f t="shared" si="7"/>
        <v>1050</v>
      </c>
      <c r="E89" s="193"/>
      <c r="F89" s="232"/>
      <c r="G89" s="205"/>
      <c r="H89" s="190">
        <v>69</v>
      </c>
      <c r="I89" s="191">
        <v>60</v>
      </c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6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42</v>
      </c>
      <c r="C90" s="191">
        <v>30</v>
      </c>
      <c r="D90" s="179">
        <f t="shared" si="7"/>
        <v>1260</v>
      </c>
      <c r="E90" s="193"/>
      <c r="F90" s="232"/>
      <c r="G90" s="205"/>
      <c r="H90" s="190">
        <v>70</v>
      </c>
      <c r="I90" s="191">
        <v>60</v>
      </c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6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42</v>
      </c>
      <c r="C91" s="191">
        <v>35</v>
      </c>
      <c r="D91" s="179">
        <f t="shared" si="7"/>
        <v>1470</v>
      </c>
      <c r="E91" s="193"/>
      <c r="F91" s="232"/>
      <c r="G91" s="206"/>
      <c r="H91" s="190">
        <v>71</v>
      </c>
      <c r="I91" s="191">
        <v>60</v>
      </c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6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90</v>
      </c>
      <c r="B92" s="181">
        <f>'Données projet'!D95</f>
        <v>42</v>
      </c>
      <c r="C92" s="191">
        <v>40</v>
      </c>
      <c r="D92" s="179">
        <f t="shared" si="7"/>
        <v>1680</v>
      </c>
      <c r="E92" s="193"/>
      <c r="F92" s="232"/>
      <c r="G92" s="206"/>
      <c r="H92" s="190">
        <v>72</v>
      </c>
      <c r="I92" s="191">
        <v>60</v>
      </c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6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100</v>
      </c>
      <c r="B93" s="181">
        <f>'Données projet'!D96</f>
        <v>42</v>
      </c>
      <c r="C93" s="191">
        <v>50</v>
      </c>
      <c r="D93" s="179">
        <f t="shared" si="7"/>
        <v>2100</v>
      </c>
      <c r="E93" s="193"/>
      <c r="F93" s="232"/>
      <c r="G93" s="206"/>
      <c r="H93" s="190">
        <v>73</v>
      </c>
      <c r="I93" s="191">
        <v>60</v>
      </c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6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110</v>
      </c>
      <c r="B94" s="181">
        <f>'Données projet'!D97</f>
        <v>39</v>
      </c>
      <c r="C94" s="191">
        <v>60</v>
      </c>
      <c r="D94" s="179">
        <f t="shared" si="7"/>
        <v>2340</v>
      </c>
      <c r="E94" s="193"/>
      <c r="F94" s="232"/>
      <c r="G94" s="206"/>
      <c r="H94" s="190">
        <v>74</v>
      </c>
      <c r="I94" s="191">
        <v>60</v>
      </c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6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120</v>
      </c>
      <c r="B95" s="181">
        <f>'Données projet'!D98</f>
        <v>303</v>
      </c>
      <c r="C95" s="191">
        <v>180</v>
      </c>
      <c r="D95" s="179">
        <f t="shared" si="7"/>
        <v>54540</v>
      </c>
      <c r="E95" s="193"/>
      <c r="F95" s="232"/>
      <c r="G95" s="206"/>
      <c r="H95" s="190">
        <v>75</v>
      </c>
      <c r="I95" s="191">
        <v>60</v>
      </c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6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7"/>
        <v>0</v>
      </c>
      <c r="E96" s="193"/>
      <c r="F96" s="232"/>
      <c r="G96" s="206"/>
      <c r="H96" s="190">
        <v>76</v>
      </c>
      <c r="I96" s="191">
        <v>60</v>
      </c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6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7"/>
        <v>0</v>
      </c>
      <c r="E97" s="193"/>
      <c r="F97" s="232"/>
      <c r="G97" s="206"/>
      <c r="H97" s="190">
        <v>77</v>
      </c>
      <c r="I97" s="191">
        <v>60</v>
      </c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8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7"/>
        <v>0</v>
      </c>
      <c r="E98" s="193"/>
      <c r="F98" s="232"/>
      <c r="G98" s="206"/>
      <c r="H98" s="190">
        <v>78</v>
      </c>
      <c r="I98" s="191">
        <v>60</v>
      </c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8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7"/>
        <v>0</v>
      </c>
      <c r="E99" s="193"/>
      <c r="F99" s="232"/>
      <c r="G99" s="206"/>
      <c r="H99" s="190">
        <v>79</v>
      </c>
      <c r="I99" s="191">
        <v>60</v>
      </c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8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7"/>
        <v>0</v>
      </c>
      <c r="E100" s="193"/>
      <c r="F100" s="232"/>
      <c r="G100" s="206"/>
      <c r="H100" s="190">
        <v>80</v>
      </c>
      <c r="I100" s="191">
        <v>60</v>
      </c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8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7"/>
        <v>0</v>
      </c>
      <c r="E101" s="193"/>
      <c r="F101" s="232"/>
      <c r="G101" s="206"/>
      <c r="H101" s="190">
        <v>81</v>
      </c>
      <c r="I101" s="191">
        <v>60</v>
      </c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8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7"/>
        <v>0</v>
      </c>
      <c r="E102" s="193"/>
      <c r="F102" s="232"/>
      <c r="G102" s="206"/>
      <c r="H102" s="190">
        <v>82</v>
      </c>
      <c r="I102" s="191">
        <v>60</v>
      </c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8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7"/>
        <v>0</v>
      </c>
      <c r="E103" s="193"/>
      <c r="F103" s="232"/>
      <c r="G103" s="206"/>
      <c r="H103" s="190">
        <v>83</v>
      </c>
      <c r="I103" s="191">
        <v>60</v>
      </c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8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7"/>
        <v>0</v>
      </c>
      <c r="E104" s="193"/>
      <c r="F104" s="232"/>
      <c r="G104" s="206"/>
      <c r="H104" s="190">
        <v>84</v>
      </c>
      <c r="I104" s="191">
        <v>60</v>
      </c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8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>
        <v>85</v>
      </c>
      <c r="I105" s="191">
        <v>60</v>
      </c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8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>
        <v>86</v>
      </c>
      <c r="I106" s="191">
        <v>60</v>
      </c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8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Chêne rouge d'Amérique</v>
      </c>
      <c r="C107" s="4"/>
      <c r="D107" s="4"/>
      <c r="E107" s="4"/>
      <c r="F107" s="230"/>
      <c r="G107" s="206"/>
      <c r="H107" s="190">
        <v>87</v>
      </c>
      <c r="I107" s="191">
        <v>60</v>
      </c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8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>
        <v>88</v>
      </c>
      <c r="I108" s="191">
        <v>60</v>
      </c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8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>
        <v>89</v>
      </c>
      <c r="I109" s="191">
        <v>60</v>
      </c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8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711+695+152</f>
        <v>1558</v>
      </c>
      <c r="F110" s="231"/>
      <c r="G110" s="206"/>
      <c r="H110" s="190">
        <v>90</v>
      </c>
      <c r="I110" s="191">
        <v>60</v>
      </c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8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>
        <v>91</v>
      </c>
      <c r="I111" s="191">
        <v>60</v>
      </c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8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>
        <v>92</v>
      </c>
      <c r="I112" s="191">
        <v>60</v>
      </c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8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>
        <v>93</v>
      </c>
      <c r="I113" s="191">
        <v>60</v>
      </c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8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>
        <v>94</v>
      </c>
      <c r="I114" s="191">
        <v>60</v>
      </c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8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>
        <v>95</v>
      </c>
      <c r="I115" s="191">
        <v>60</v>
      </c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8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50</v>
      </c>
      <c r="C116" s="191">
        <v>8</v>
      </c>
      <c r="D116" s="179">
        <f>B116*C116</f>
        <v>400</v>
      </c>
      <c r="E116" s="193"/>
      <c r="F116" s="232"/>
      <c r="G116" s="205"/>
      <c r="H116" s="190">
        <v>96</v>
      </c>
      <c r="I116" s="191">
        <v>60</v>
      </c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8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74</v>
      </c>
      <c r="C117" s="191">
        <v>8</v>
      </c>
      <c r="D117" s="179">
        <f t="shared" ref="D117:D135" si="9">B117*C117</f>
        <v>592</v>
      </c>
      <c r="E117" s="193"/>
      <c r="F117" s="232"/>
      <c r="G117" s="205"/>
      <c r="H117" s="190">
        <v>97</v>
      </c>
      <c r="I117" s="191">
        <v>60</v>
      </c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8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69</v>
      </c>
      <c r="C118" s="191">
        <v>8</v>
      </c>
      <c r="D118" s="179">
        <f t="shared" si="9"/>
        <v>552</v>
      </c>
      <c r="E118" s="193"/>
      <c r="F118" s="232"/>
      <c r="G118" s="205"/>
      <c r="H118" s="190">
        <v>98</v>
      </c>
      <c r="I118" s="191">
        <v>60</v>
      </c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8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59</v>
      </c>
      <c r="C119" s="191">
        <v>12</v>
      </c>
      <c r="D119" s="179">
        <f t="shared" si="9"/>
        <v>708</v>
      </c>
      <c r="E119" s="193"/>
      <c r="F119" s="232"/>
      <c r="G119" s="205"/>
      <c r="H119" s="190">
        <v>99</v>
      </c>
      <c r="I119" s="191">
        <v>60</v>
      </c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8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47</v>
      </c>
      <c r="C120" s="191">
        <v>18</v>
      </c>
      <c r="D120" s="179">
        <f t="shared" si="9"/>
        <v>846</v>
      </c>
      <c r="E120" s="193"/>
      <c r="F120" s="232"/>
      <c r="G120" s="205"/>
      <c r="H120" s="190">
        <v>100</v>
      </c>
      <c r="I120" s="191">
        <v>60</v>
      </c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8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37</v>
      </c>
      <c r="C121" s="191">
        <v>35</v>
      </c>
      <c r="D121" s="179">
        <f t="shared" si="9"/>
        <v>1295</v>
      </c>
      <c r="E121" s="193"/>
      <c r="F121" s="232"/>
      <c r="G121" s="205"/>
      <c r="H121" s="190">
        <v>101</v>
      </c>
      <c r="I121" s="191">
        <v>60</v>
      </c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8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28</v>
      </c>
      <c r="C122" s="191">
        <v>45</v>
      </c>
      <c r="D122" s="179">
        <f t="shared" si="9"/>
        <v>1260</v>
      </c>
      <c r="E122" s="193"/>
      <c r="F122" s="232"/>
      <c r="G122" s="206"/>
      <c r="H122" s="190">
        <v>102</v>
      </c>
      <c r="I122" s="191">
        <v>60</v>
      </c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8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90</v>
      </c>
      <c r="B123" s="181">
        <f>'Données projet'!D121</f>
        <v>248</v>
      </c>
      <c r="C123" s="191">
        <v>60</v>
      </c>
      <c r="D123" s="179">
        <f t="shared" si="9"/>
        <v>14880</v>
      </c>
      <c r="E123" s="193"/>
      <c r="F123" s="232"/>
      <c r="G123" s="206"/>
      <c r="H123" s="190">
        <v>103</v>
      </c>
      <c r="I123" s="191">
        <v>60</v>
      </c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8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9"/>
        <v>0</v>
      </c>
      <c r="E124" s="193"/>
      <c r="F124" s="232"/>
      <c r="G124" s="206"/>
      <c r="H124" s="190">
        <v>104</v>
      </c>
      <c r="I124" s="191">
        <v>60</v>
      </c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8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9"/>
        <v>0</v>
      </c>
      <c r="E125" s="193"/>
      <c r="F125" s="232"/>
      <c r="G125" s="206"/>
      <c r="H125" s="190">
        <v>105</v>
      </c>
      <c r="I125" s="191">
        <v>60</v>
      </c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8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9"/>
        <v>0</v>
      </c>
      <c r="E126" s="193"/>
      <c r="F126" s="232"/>
      <c r="G126" s="206"/>
      <c r="H126" s="190">
        <v>106</v>
      </c>
      <c r="I126" s="191">
        <v>60</v>
      </c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8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9"/>
        <v>0</v>
      </c>
      <c r="E127" s="193"/>
      <c r="F127" s="232"/>
      <c r="G127" s="206"/>
      <c r="H127" s="190">
        <v>107</v>
      </c>
      <c r="I127" s="191">
        <v>60</v>
      </c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8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9"/>
        <v>0</v>
      </c>
      <c r="E128" s="193"/>
      <c r="F128" s="232"/>
      <c r="G128" s="206"/>
      <c r="H128" s="190">
        <v>108</v>
      </c>
      <c r="I128" s="191">
        <v>60</v>
      </c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8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9"/>
        <v>0</v>
      </c>
      <c r="E129" s="193"/>
      <c r="F129" s="232"/>
      <c r="G129" s="206"/>
      <c r="H129" s="190">
        <v>109</v>
      </c>
      <c r="I129" s="191">
        <v>60</v>
      </c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9"/>
        <v>0</v>
      </c>
      <c r="E130" s="193"/>
      <c r="F130" s="232"/>
      <c r="G130" s="206"/>
      <c r="H130" s="190">
        <v>110</v>
      </c>
      <c r="I130" s="191">
        <v>60</v>
      </c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9"/>
        <v>0</v>
      </c>
      <c r="E131" s="193"/>
      <c r="F131" s="232"/>
      <c r="G131" s="206"/>
      <c r="H131" s="190">
        <v>111</v>
      </c>
      <c r="I131" s="191">
        <v>60</v>
      </c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9"/>
        <v>0</v>
      </c>
      <c r="E132" s="193"/>
      <c r="F132" s="232"/>
      <c r="G132" s="206"/>
      <c r="H132" s="190">
        <v>112</v>
      </c>
      <c r="I132" s="191">
        <v>60</v>
      </c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>
        <v>113</v>
      </c>
      <c r="I133" s="191">
        <v>60</v>
      </c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>
        <v>114</v>
      </c>
      <c r="I134" s="191">
        <v>60</v>
      </c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>
        <v>115</v>
      </c>
      <c r="I135" s="191">
        <v>60</v>
      </c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>
        <v>116</v>
      </c>
      <c r="I136" s="191">
        <v>60</v>
      </c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>
        <v>117</v>
      </c>
      <c r="I137" s="191">
        <v>60</v>
      </c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>
        <v>118</v>
      </c>
      <c r="I138" s="191">
        <v>60</v>
      </c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>
        <v>119</v>
      </c>
      <c r="I139" s="191">
        <v>60</v>
      </c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30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>
        <v>120</v>
      </c>
      <c r="I140" s="191">
        <v>60</v>
      </c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20</v>
      </c>
      <c r="B148" s="175">
        <f>'Données projet'!D141</f>
        <v>81</v>
      </c>
      <c r="C148" s="191"/>
      <c r="D148" s="182">
        <f t="shared" ref="D148:D166" si="11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30</v>
      </c>
      <c r="B149" s="175">
        <f>'Données projet'!D142</f>
        <v>84</v>
      </c>
      <c r="C149" s="191"/>
      <c r="D149" s="182">
        <f t="shared" si="11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40</v>
      </c>
      <c r="B150" s="175">
        <f>'Données projet'!D143</f>
        <v>80</v>
      </c>
      <c r="C150" s="191"/>
      <c r="D150" s="182">
        <f t="shared" si="11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50</v>
      </c>
      <c r="B151" s="175">
        <f>'Données projet'!D144</f>
        <v>65</v>
      </c>
      <c r="C151" s="191"/>
      <c r="D151" s="182">
        <f t="shared" si="11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60</v>
      </c>
      <c r="B152" s="175">
        <f>'Données projet'!D145</f>
        <v>56</v>
      </c>
      <c r="C152" s="191"/>
      <c r="D152" s="182">
        <f t="shared" si="11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70</v>
      </c>
      <c r="B153" s="175">
        <f>'Données projet'!D146</f>
        <v>52</v>
      </c>
      <c r="C153" s="191"/>
      <c r="D153" s="182">
        <f t="shared" si="11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80</v>
      </c>
      <c r="B154" s="175">
        <f>'Données projet'!D147</f>
        <v>433</v>
      </c>
      <c r="C154" s="191"/>
      <c r="D154" s="182">
        <f t="shared" si="11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1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1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1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30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10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20</v>
      </c>
      <c r="B179" s="181">
        <f>'Données projet'!D167</f>
        <v>67</v>
      </c>
      <c r="C179" s="193"/>
      <c r="D179" s="179">
        <f t="shared" ref="D179:D197" si="12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30</v>
      </c>
      <c r="B180" s="181">
        <f>'Données projet'!D168</f>
        <v>70</v>
      </c>
      <c r="C180" s="193"/>
      <c r="D180" s="179">
        <f t="shared" si="12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40</v>
      </c>
      <c r="B181" s="181">
        <f>'Données projet'!D169</f>
        <v>70</v>
      </c>
      <c r="C181" s="193"/>
      <c r="D181" s="179">
        <f t="shared" si="12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50</v>
      </c>
      <c r="B182" s="181">
        <f>'Données projet'!D170</f>
        <v>43</v>
      </c>
      <c r="C182" s="193"/>
      <c r="D182" s="179">
        <f t="shared" si="12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60</v>
      </c>
      <c r="B183" s="181">
        <f>'Données projet'!D171</f>
        <v>30</v>
      </c>
      <c r="C183" s="193"/>
      <c r="D183" s="179">
        <f t="shared" si="12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70</v>
      </c>
      <c r="B184" s="181">
        <f>'Données projet'!D172</f>
        <v>26</v>
      </c>
      <c r="C184" s="193"/>
      <c r="D184" s="179">
        <f t="shared" si="12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80</v>
      </c>
      <c r="B185" s="181">
        <f>'Données projet'!D173</f>
        <v>342</v>
      </c>
      <c r="C185" s="193"/>
      <c r="D185" s="179">
        <f t="shared" si="12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2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2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2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2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2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2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3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3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3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3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3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3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3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3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3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3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3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3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4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4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4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4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4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4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4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4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4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4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4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4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4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4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5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5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5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5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5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5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5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5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5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5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6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6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6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6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6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6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6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6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6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6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Kevin Brice</cp:lastModifiedBy>
  <dcterms:created xsi:type="dcterms:W3CDTF">2021-02-01T08:22:39Z</dcterms:created>
  <dcterms:modified xsi:type="dcterms:W3CDTF">2022-12-12T16:25:10Z</dcterms:modified>
</cp:coreProperties>
</file>