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Auxerre\PRENET\"/>
    </mc:Choice>
  </mc:AlternateContent>
  <xr:revisionPtr revIDLastSave="0" documentId="13_ncr:1_{CF4F1BDB-5006-478C-9E6E-9228F6A820EC}" xr6:coauthVersionLast="47" xr6:coauthVersionMax="47" xr10:uidLastSave="{00000000-0000-0000-0000-000000000000}"/>
  <bookViews>
    <workbookView xWindow="4965" yWindow="120" windowWidth="21600" windowHeight="113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D68" i="1"/>
  <c r="D67" i="1"/>
  <c r="D66" i="1"/>
  <c r="D65" i="1"/>
  <c r="D64" i="1"/>
  <c r="D63" i="1"/>
  <c r="D42" i="1"/>
  <c r="D41" i="1"/>
  <c r="D40" i="1"/>
  <c r="D39" i="1"/>
  <c r="D38" i="1"/>
  <c r="D37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FS4" i="2" s="1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HI4" i="2"/>
  <c r="BQ4" i="2"/>
  <c r="FR4" i="2"/>
  <c r="EA4" i="2"/>
  <c r="EX4" i="2"/>
  <c r="FQ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HI6" i="2"/>
  <c r="EA6" i="2"/>
  <c r="FR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B7" i="2"/>
  <c r="EW7" i="2"/>
  <c r="HI7" i="2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C8" i="2" l="1"/>
  <c r="HG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I10" i="2"/>
  <c r="EA10" i="2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C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FS12" i="2" l="1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X16" i="2" l="1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X17" i="2" l="1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EA18" i="2"/>
  <c r="EX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HI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EC23" i="2" s="1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C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EC25" i="2" s="1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FS25" i="2" l="1"/>
  <c r="HI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X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FS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EV30" i="2"/>
  <c r="EB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HG31" i="2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C32" i="2" l="1"/>
  <c r="FS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EW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EB35" i="2"/>
  <c r="EA35" i="2"/>
  <c r="FQ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Q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FS39" i="2" l="1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FS40" i="2" l="1"/>
  <c r="HI40" i="2"/>
  <c r="HH40" i="2"/>
  <c r="EX40" i="2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C45" i="2"/>
  <c r="HI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W46" i="2"/>
  <c r="HG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C47" i="2" l="1"/>
  <c r="EA47" i="2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FS49" i="2" l="1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FS51" i="2" l="1"/>
  <c r="EA51" i="2"/>
  <c r="EX51" i="2"/>
  <c r="EB51" i="2"/>
  <c r="HI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B52" i="2"/>
  <c r="EC52" i="2"/>
  <c r="EV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EC56" i="2" s="1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HH57" i="2"/>
  <c r="EB57" i="2"/>
  <c r="HG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HI58" i="2" l="1"/>
  <c r="EA58" i="2"/>
  <c r="EX58" i="2"/>
  <c r="FS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I59" i="2" s="1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X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FS60" i="2"/>
  <c r="EW60" i="2"/>
  <c r="HH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HI68" i="2" l="1"/>
  <c r="EX68" i="2"/>
  <c r="FS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FS71" i="2" l="1"/>
  <c r="EW71" i="2"/>
  <c r="HI71" i="2"/>
  <c r="EA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FS74" i="2"/>
  <c r="FR74" i="2"/>
  <c r="EW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EX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A77" i="2"/>
  <c r="EW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EX79" i="2"/>
  <c r="HI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HG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X82" i="2" s="1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I84" i="2" l="1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A86" i="2"/>
  <c r="HI86" i="2"/>
  <c r="EX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FS87" i="2" l="1"/>
  <c r="EA87" i="2"/>
  <c r="EB87" i="2"/>
  <c r="HG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C88" i="2" l="1"/>
  <c r="HG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HG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HG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FQ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I99" i="2" l="1"/>
  <c r="HH99" i="2"/>
  <c r="FS99" i="2"/>
  <c r="EB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FS106" i="2"/>
  <c r="HI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EC109" i="2" s="1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B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FS112" i="2"/>
  <c r="HI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EW114" i="2"/>
  <c r="EV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C115" i="2" l="1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EX116" i="2" s="1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V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A117" i="2"/>
  <c r="EC117" i="2"/>
  <c r="HG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HG119" i="2"/>
  <c r="FR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EC123" i="2"/>
  <c r="HH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EC124" i="2"/>
  <c r="HG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A125" i="2" l="1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A126" i="2"/>
  <c r="HG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FS128" i="2"/>
  <c r="EV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C129" i="2"/>
  <c r="EX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EC131" i="2" s="1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C132" i="2"/>
  <c r="HG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FS135" i="2" l="1"/>
  <c r="EW135" i="2"/>
  <c r="EA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X140" i="2"/>
  <c r="EB140" i="2"/>
  <c r="FR140" i="2"/>
  <c r="HH140" i="2"/>
  <c r="EC140" i="2"/>
  <c r="HG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EX141" i="2" s="1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I142" i="2"/>
  <c r="EW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A143" i="2"/>
  <c r="FS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X145" i="2"/>
  <c r="FR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EA146" i="2"/>
  <c r="EX146" i="2"/>
  <c r="HH146" i="2"/>
  <c r="FR146" i="2"/>
  <c r="HG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C147" i="2" l="1"/>
  <c r="EW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FS152" i="2" l="1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C157" i="2"/>
  <c r="EB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X159" i="2" l="1"/>
  <c r="HH159" i="2"/>
  <c r="FS159" i="2"/>
  <c r="EC159" i="2"/>
  <c r="HI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X160" i="2"/>
  <c r="FS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B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EC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A163" i="2"/>
  <c r="EV163" i="2"/>
  <c r="FS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EA164" i="2"/>
  <c r="HI164" i="2"/>
  <c r="EX164" i="2"/>
  <c r="FS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X166" i="2" l="1"/>
  <c r="HI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HI169" i="2"/>
  <c r="EA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EC173" i="2" s="1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EC175" i="2" s="1"/>
  <c r="DY175" i="2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B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S176" i="2" s="1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EB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HI177" i="2" s="1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X177" i="2" l="1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A178" i="2"/>
  <c r="FQ178" i="2"/>
  <c r="EB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A179" i="2"/>
  <c r="HG179" i="2"/>
  <c r="FS179" i="2"/>
  <c r="HI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C184" i="2" l="1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X187" i="2" l="1"/>
  <c r="HG187" i="2"/>
  <c r="HI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EB189" i="2"/>
  <c r="EV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X191" i="2" s="1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HG191" i="2"/>
  <c r="EW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HG199" i="2"/>
  <c r="EB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FS200" i="2" l="1"/>
  <c r="EC200" i="2"/>
  <c r="EX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EX203" i="2" s="1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57" i="2" a="1"/>
  <c r="EI57" i="2" s="1"/>
  <c r="EI113" i="2" a="1"/>
  <c r="EI113" i="2" s="1"/>
  <c r="EI170" i="2" a="1"/>
  <c r="EI170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26" i="2" l="1" a="1"/>
  <c r="BC126" i="2" s="1"/>
  <c r="BC47" i="2" a="1"/>
  <c r="BC47" i="2" s="1"/>
  <c r="BC58" i="2" a="1"/>
  <c r="BC58" i="2" s="1"/>
  <c r="EI106" i="2" a="1"/>
  <c r="EI106" i="2" s="1"/>
  <c r="EI16" i="2" a="1"/>
  <c r="EI16" i="2" s="1"/>
  <c r="EI36" i="2" a="1"/>
  <c r="EI36" i="2" s="1"/>
  <c r="EI153" i="2" a="1"/>
  <c r="EI153" i="2" s="1"/>
  <c r="HG203" i="2"/>
  <c r="EI128" i="2" a="1"/>
  <c r="EI128" i="2" s="1"/>
  <c r="EI109" i="2" a="1"/>
  <c r="EI109" i="2" s="1"/>
  <c r="EI178" i="2" a="1"/>
  <c r="EI178" i="2" s="1"/>
  <c r="EI198" i="2" a="1"/>
  <c r="EI198" i="2" s="1"/>
  <c r="EI37" i="2" a="1"/>
  <c r="EI37" i="2" s="1"/>
  <c r="EI20" i="2" a="1"/>
  <c r="EI20" i="2" s="1"/>
  <c r="EI38" i="2" a="1"/>
  <c r="EI38" i="2" s="1"/>
  <c r="EI145" i="2" a="1"/>
  <c r="EI145" i="2" s="1"/>
  <c r="EC203" i="2"/>
  <c r="FR203" i="2"/>
  <c r="EI35" i="2" a="1"/>
  <c r="EI35" i="2" s="1"/>
  <c r="EI162" i="2" a="1"/>
  <c r="EI162" i="2" s="1"/>
  <c r="EI34" i="2" a="1"/>
  <c r="EI34" i="2" s="1"/>
  <c r="EI139" i="2" a="1"/>
  <c r="EI139" i="2" s="1"/>
  <c r="EI165" i="2" a="1"/>
  <c r="EI165" i="2" s="1"/>
  <c r="EI150" i="2" a="1"/>
  <c r="EI150" i="2" s="1"/>
  <c r="EI67" i="2" a="1"/>
  <c r="EI67" i="2" s="1"/>
  <c r="EI71" i="2" a="1"/>
  <c r="EI71" i="2" s="1"/>
  <c r="EI195" i="2" a="1"/>
  <c r="EI195" i="2" s="1"/>
  <c r="EI29" i="2" a="1"/>
  <c r="EI29" i="2" s="1"/>
  <c r="BP203" i="2"/>
  <c r="HH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<sst xmlns="http://schemas.openxmlformats.org/spreadsheetml/2006/main" count="1167" uniqueCount="321">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</sst>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52.068435898662358</c:v>
                </c:pt>
                <c:pt idx="12">
                  <c:v>77.537879374758845</c:v>
                </c:pt>
                <c:pt idx="13">
                  <c:v>102.79157663512255</c:v>
                </c:pt>
                <c:pt idx="14">
                  <c:v>127.89076379214985</c:v>
                </c:pt>
                <c:pt idx="15">
                  <c:v>152.87023657612599</c:v>
                </c:pt>
                <c:pt idx="16">
                  <c:v>177.75237446118763</c:v>
                </c:pt>
                <c:pt idx="17">
                  <c:v>202.55274144362511</c:v>
                </c:pt>
                <c:pt idx="18">
                  <c:v>227.28276448985946</c:v>
                </c:pt>
                <c:pt idx="19">
                  <c:v>251.95117490315215</c:v>
                </c:pt>
                <c:pt idx="20">
                  <c:v>276.56485213094948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182.10072116599244</c:v>
                </c:pt>
                <c:pt idx="22">
                  <c:v>204.40159586063615</c:v>
                </c:pt>
                <c:pt idx="23">
                  <c:v>226.64617327952342</c:v>
                </c:pt>
                <c:pt idx="24">
                  <c:v>248.84075611692765</c:v>
                </c:pt>
                <c:pt idx="25">
                  <c:v>270.99042974399362</c:v>
                </c:pt>
                <c:pt idx="26">
                  <c:v>293.09937981445825</c:v>
                </c:pt>
                <c:pt idx="27">
                  <c:v>315.17110877697831</c:v>
                </c:pt>
                <c:pt idx="28">
                  <c:v>337.20858844808726</c:v>
                </c:pt>
                <c:pt idx="29">
                  <c:v>359.21437055941556</c:v>
                </c:pt>
                <c:pt idx="30">
                  <c:v>381.1906687730571</c:v>
                </c:pt>
                <c:pt idx="31">
                  <c:v>261.79785034899129</c:v>
                </c:pt>
                <c:pt idx="32">
                  <c:v>280.73815459645317</c:v>
                </c:pt>
                <c:pt idx="33">
                  <c:v>299.64981878720499</c:v>
                </c:pt>
                <c:pt idx="34">
                  <c:v>318.53490425391584</c:v>
                </c:pt>
                <c:pt idx="35">
                  <c:v>337.39520795625043</c:v>
                </c:pt>
                <c:pt idx="36">
                  <c:v>356.23230957994474</c:v>
                </c:pt>
                <c:pt idx="37">
                  <c:v>375.04760814704065</c:v>
                </c:pt>
                <c:pt idx="38">
                  <c:v>393.84235089269197</c:v>
                </c:pt>
                <c:pt idx="39">
                  <c:v>412.61765634058537</c:v>
                </c:pt>
                <c:pt idx="40">
                  <c:v>431.37453295867743</c:v>
                </c:pt>
                <c:pt idx="41">
                  <c:v>318.16118821698825</c:v>
                </c:pt>
                <c:pt idx="42">
                  <c:v>333.47571872180367</c:v>
                </c:pt>
                <c:pt idx="43">
                  <c:v>348.77475306916625</c:v>
                </c:pt>
                <c:pt idx="44">
                  <c:v>364.05906664989811</c:v>
                </c:pt>
                <c:pt idx="45">
                  <c:v>379.32936443758246</c:v>
                </c:pt>
                <c:pt idx="46">
                  <c:v>394.58629002009144</c:v>
                </c:pt>
                <c:pt idx="47">
                  <c:v>409.83043316117727</c:v>
                </c:pt>
                <c:pt idx="48">
                  <c:v>425.06233617824199</c:v>
                </c:pt>
                <c:pt idx="49">
                  <c:v>440.28249935825096</c:v>
                </c:pt>
                <c:pt idx="50">
                  <c:v>455.49138558575515</c:v>
                </c:pt>
                <c:pt idx="51">
                  <c:v>357.72340809979374</c:v>
                </c:pt>
                <c:pt idx="52">
                  <c:v>369.64735159591163</c:v>
                </c:pt>
                <c:pt idx="53">
                  <c:v>381.56290588111841</c:v>
                </c:pt>
                <c:pt idx="54">
                  <c:v>393.47036990588686</c:v>
                </c:pt>
                <c:pt idx="55">
                  <c:v>405.37002304691237</c:v>
                </c:pt>
                <c:pt idx="56">
                  <c:v>417.26212693788676</c:v>
                </c:pt>
                <c:pt idx="57">
                  <c:v>429.14692708065195</c:v>
                </c:pt>
                <c:pt idx="58">
                  <c:v>441.02465426855321</c:v>
                </c:pt>
                <c:pt idx="59">
                  <c:v>452.89552584845791</c:v>
                </c:pt>
                <c:pt idx="60">
                  <c:v>464.75974684355998</c:v>
                </c:pt>
                <c:pt idx="61">
                  <c:v>386.58733728708853</c:v>
                </c:pt>
                <c:pt idx="62">
                  <c:v>395.70214171866638</c:v>
                </c:pt>
                <c:pt idx="63">
                  <c:v>404.81239742338335</c:v>
                </c:pt>
                <c:pt idx="64">
                  <c:v>413.91822125259881</c:v>
                </c:pt>
                <c:pt idx="65">
                  <c:v>423.01972449465944</c:v>
                </c:pt>
                <c:pt idx="66">
                  <c:v>432.11701325632816</c:v>
                </c:pt>
                <c:pt idx="67">
                  <c:v>441.21018881041033</c:v>
                </c:pt>
                <c:pt idx="68">
                  <c:v>450.29934791321972</c:v>
                </c:pt>
                <c:pt idx="69">
                  <c:v>459.38458309507399</c:v>
                </c:pt>
                <c:pt idx="70">
                  <c:v>468.46598292660593</c:v>
                </c:pt>
                <c:pt idx="71">
                  <c:v>406.67108505050049</c:v>
                </c:pt>
                <c:pt idx="72">
                  <c:v>413.54664028818587</c:v>
                </c:pt>
                <c:pt idx="73">
                  <c:v>420.41972959273056</c:v>
                </c:pt>
                <c:pt idx="74">
                  <c:v>427.29039899318792</c:v>
                </c:pt>
                <c:pt idx="75">
                  <c:v>434.1586929165548</c:v>
                </c:pt>
                <c:pt idx="76">
                  <c:v>441.02465426855321</c:v>
                </c:pt>
                <c:pt idx="77">
                  <c:v>447.88832450911667</c:v>
                </c:pt>
                <c:pt idx="78">
                  <c:v>454.74974372300727</c:v>
                </c:pt>
                <c:pt idx="79">
                  <c:v>461.60895068594567</c:v>
                </c:pt>
                <c:pt idx="80">
                  <c:v>468.4659829266057</c:v>
                </c:pt>
                <c:pt idx="81">
                  <c:v>421.90548322992339</c:v>
                </c:pt>
                <c:pt idx="82">
                  <c:v>427.29039899318786</c:v>
                </c:pt>
                <c:pt idx="83">
                  <c:v>432.67385549047032</c:v>
                </c:pt>
                <c:pt idx="84">
                  <c:v>438.05587345614805</c:v>
                </c:pt>
                <c:pt idx="85">
                  <c:v>443.43647307310084</c:v>
                </c:pt>
                <c:pt idx="86">
                  <c:v>448.81567399404236</c:v>
                </c:pt>
                <c:pt idx="87">
                  <c:v>454.19349536177742</c:v>
                </c:pt>
                <c:pt idx="88">
                  <c:v>459.56995582844655</c:v>
                </c:pt>
                <c:pt idx="89">
                  <c:v>464.94507357382491</c:v>
                </c:pt>
                <c:pt idx="90">
                  <c:v>470.31886632272813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61" zoomScale="115" zoomScaleNormal="115" workbookViewId="0">
      <selection activeCell="C35" sqref="C35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7" t="s">
        <v>292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</row>
    <row r="13" spans="2:13" ht="15" customHeight="1" x14ac:dyDescent="0.3"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</row>
    <row r="14" spans="2:13" ht="15" customHeight="1" x14ac:dyDescent="0.3"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</row>
    <row r="15" spans="2:13" ht="18.75" customHeight="1" x14ac:dyDescent="0.3"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</row>
    <row r="16" spans="2:13" ht="18.75" customHeight="1" x14ac:dyDescent="0.3"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8" spans="2:13" ht="12" customHeight="1" x14ac:dyDescent="0.3">
      <c r="B18" s="287" t="s">
        <v>293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  <row r="19" spans="2:13" ht="12" customHeight="1" x14ac:dyDescent="0.3"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</row>
    <row r="20" spans="2:13" ht="12" customHeight="1" x14ac:dyDescent="0.3"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</row>
    <row r="21" spans="2:13" ht="12" customHeight="1" x14ac:dyDescent="0.3"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</row>
    <row r="22" spans="2:13" ht="12" customHeight="1" x14ac:dyDescent="0.3"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</row>
    <row r="23" spans="2:13" ht="12" customHeight="1" x14ac:dyDescent="0.3"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</row>
    <row r="24" spans="2:13" ht="12" customHeight="1" x14ac:dyDescent="0.3"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</row>
    <row r="25" spans="2:13" ht="12" customHeight="1" x14ac:dyDescent="0.3"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</row>
    <row r="26" spans="2:13" ht="12" customHeight="1" x14ac:dyDescent="0.3"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</row>
    <row r="27" spans="2:13" ht="12" customHeight="1" x14ac:dyDescent="0.3"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</row>
    <row r="28" spans="2:13" ht="12" customHeight="1" x14ac:dyDescent="0.3"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</row>
    <row r="29" spans="2:13" ht="12" customHeight="1" x14ac:dyDescent="0.3">
      <c r="B29" s="287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</row>
    <row r="30" spans="2:13" ht="12" customHeight="1" x14ac:dyDescent="0.3"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</row>
    <row r="31" spans="2:13" ht="12" customHeight="1" x14ac:dyDescent="0.3"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26" sqref="C2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3" t="s">
        <v>192</v>
      </c>
      <c r="C3" s="294"/>
      <c r="D3" s="294"/>
      <c r="E3" s="294"/>
      <c r="F3" s="295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9" t="s">
        <v>231</v>
      </c>
      <c r="B5" s="299"/>
      <c r="C5" s="26">
        <v>11.89</v>
      </c>
      <c r="D5" s="300" t="s">
        <v>229</v>
      </c>
      <c r="E5" s="301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297" t="s">
        <v>226</v>
      </c>
      <c r="B7" s="297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0.53</v>
      </c>
      <c r="D9" s="36">
        <f t="shared" ref="D9:D18" si="0">C9*$C$5</f>
        <v>6.3017000000000003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81</v>
      </c>
      <c r="C10" s="35">
        <v>0.34</v>
      </c>
      <c r="D10" s="36">
        <f t="shared" si="0"/>
        <v>4.0426000000000002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13</v>
      </c>
      <c r="C11" s="35">
        <v>0.13</v>
      </c>
      <c r="D11" s="36">
        <f t="shared" si="0"/>
        <v>1.5457000000000001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11.89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6" t="s">
        <v>232</v>
      </c>
      <c r="B22" s="296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8" t="s">
        <v>227</v>
      </c>
      <c r="B30" s="298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88" t="s">
        <v>186</v>
      </c>
      <c r="D34" s="288"/>
      <c r="E34" s="289" t="s">
        <v>187</v>
      </c>
      <c r="F34" s="290"/>
      <c r="G34" s="290"/>
      <c r="H34" s="291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63">
        <v>10</v>
      </c>
      <c r="B36" s="63">
        <v>20</v>
      </c>
      <c r="C36" s="63">
        <v>1</v>
      </c>
      <c r="D36" s="63">
        <v>0</v>
      </c>
      <c r="E36" s="286"/>
      <c r="F36" s="286">
        <v>0</v>
      </c>
      <c r="G36" s="286">
        <v>1</v>
      </c>
      <c r="H36" s="286"/>
      <c r="I36" s="52">
        <f>IFERROR(B36/A36,"")</f>
        <v>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63">
        <v>20</v>
      </c>
      <c r="B37" s="63">
        <v>225</v>
      </c>
      <c r="C37" s="63">
        <v>2</v>
      </c>
      <c r="D37" s="63">
        <f>51+63</f>
        <v>114</v>
      </c>
      <c r="E37" s="286"/>
      <c r="F37" s="286">
        <v>0.5</v>
      </c>
      <c r="G37" s="286">
        <v>0.5</v>
      </c>
      <c r="H37" s="286"/>
      <c r="I37" s="56">
        <f t="shared" ref="I37:I55" si="1">IF(A37&lt;&gt;0,(B37-(B36-D36))/(A37-A36),"")</f>
        <v>20.5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63">
        <v>30</v>
      </c>
      <c r="B38" s="63">
        <v>360</v>
      </c>
      <c r="C38" s="63">
        <v>3</v>
      </c>
      <c r="D38" s="63">
        <f>63+63</f>
        <v>126</v>
      </c>
      <c r="E38" s="286">
        <v>0.4</v>
      </c>
      <c r="F38" s="286">
        <v>0.3</v>
      </c>
      <c r="G38" s="286">
        <v>0.3</v>
      </c>
      <c r="H38" s="286"/>
      <c r="I38" s="56">
        <f t="shared" si="1"/>
        <v>24.9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63">
        <v>40</v>
      </c>
      <c r="B39" s="63">
        <v>477</v>
      </c>
      <c r="C39" s="63">
        <v>4</v>
      </c>
      <c r="D39" s="63">
        <f>63+63</f>
        <v>126</v>
      </c>
      <c r="E39" s="286"/>
      <c r="F39" s="286"/>
      <c r="G39" s="286"/>
      <c r="H39" s="286"/>
      <c r="I39" s="52">
        <f t="shared" si="1"/>
        <v>24.3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63">
        <v>50</v>
      </c>
      <c r="B40" s="63">
        <v>561</v>
      </c>
      <c r="C40" s="63">
        <v>5</v>
      </c>
      <c r="D40" s="63">
        <f>63+56</f>
        <v>119</v>
      </c>
      <c r="E40" s="286"/>
      <c r="F40" s="286"/>
      <c r="G40" s="286"/>
      <c r="H40" s="286"/>
      <c r="I40" s="52">
        <f t="shared" si="1"/>
        <v>21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63">
        <v>60</v>
      </c>
      <c r="B41" s="63">
        <v>622</v>
      </c>
      <c r="C41" s="63">
        <v>6</v>
      </c>
      <c r="D41" s="63">
        <f>48+42</f>
        <v>90</v>
      </c>
      <c r="E41" s="286"/>
      <c r="F41" s="286"/>
      <c r="G41" s="286"/>
      <c r="H41" s="286"/>
      <c r="I41" s="56">
        <f t="shared" si="1"/>
        <v>18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3">
        <v>70</v>
      </c>
      <c r="B42" s="63">
        <v>677</v>
      </c>
      <c r="C42" s="63">
        <v>7</v>
      </c>
      <c r="D42" s="63">
        <f>39+36</f>
        <v>75</v>
      </c>
      <c r="E42" s="286"/>
      <c r="F42" s="286"/>
      <c r="G42" s="286"/>
      <c r="H42" s="286"/>
      <c r="I42" s="56">
        <f t="shared" si="1"/>
        <v>14.5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>
        <v>80</v>
      </c>
      <c r="B43" s="63">
        <v>719</v>
      </c>
      <c r="C43" s="63">
        <v>8</v>
      </c>
      <c r="D43" s="63">
        <v>719</v>
      </c>
      <c r="E43" s="286"/>
      <c r="F43" s="286"/>
      <c r="G43" s="286"/>
      <c r="H43" s="286"/>
      <c r="I43" s="52">
        <f t="shared" si="1"/>
        <v>11.7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Mélèze hybride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88" t="s">
        <v>186</v>
      </c>
      <c r="D60" s="288"/>
      <c r="E60" s="289" t="s">
        <v>187</v>
      </c>
      <c r="F60" s="290"/>
      <c r="G60" s="290"/>
      <c r="H60" s="291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10</v>
      </c>
      <c r="B62" s="63">
        <v>36</v>
      </c>
      <c r="C62" s="53">
        <v>1</v>
      </c>
      <c r="D62" s="63">
        <v>0</v>
      </c>
      <c r="E62" s="286"/>
      <c r="F62" s="286"/>
      <c r="G62" s="286">
        <v>1</v>
      </c>
      <c r="H62" s="54"/>
      <c r="I62" s="56">
        <f>IFERROR(B62/A62,"")</f>
        <v>3.6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v>177</v>
      </c>
      <c r="C63" s="53">
        <v>2</v>
      </c>
      <c r="D63" s="63">
        <f>39+42</f>
        <v>81</v>
      </c>
      <c r="E63" s="286"/>
      <c r="F63" s="286">
        <v>0.5</v>
      </c>
      <c r="G63" s="286">
        <v>0.5</v>
      </c>
      <c r="H63" s="54"/>
      <c r="I63" s="52">
        <f>IF(A63&lt;&gt;0,(B63-(B62-D62))/(A63-A62),"")</f>
        <v>14.1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260</v>
      </c>
      <c r="C64" s="53">
        <v>3</v>
      </c>
      <c r="D64" s="63">
        <f>42+42</f>
        <v>84</v>
      </c>
      <c r="E64" s="286">
        <v>0.2</v>
      </c>
      <c r="F64" s="286">
        <v>0.4</v>
      </c>
      <c r="G64" s="286">
        <v>0.4</v>
      </c>
      <c r="H64" s="54"/>
      <c r="I64" s="52">
        <f>IF(A64&lt;&gt;0,(B64-(B63-D63))/(A64-A63),"")</f>
        <v>16.399999999999999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314</v>
      </c>
      <c r="C65" s="53">
        <v>4</v>
      </c>
      <c r="D65" s="63">
        <f>42+38</f>
        <v>80</v>
      </c>
      <c r="E65" s="286"/>
      <c r="F65" s="286"/>
      <c r="G65" s="286"/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50</v>
      </c>
      <c r="B66" s="63">
        <v>349</v>
      </c>
      <c r="C66" s="53">
        <v>5</v>
      </c>
      <c r="D66" s="63">
        <f>34+31</f>
        <v>65</v>
      </c>
      <c r="E66" s="286"/>
      <c r="F66" s="286"/>
      <c r="G66" s="286"/>
      <c r="H66" s="54"/>
      <c r="I66" s="52">
        <f t="shared" ref="I66:I81" si="2">IF(A66&lt;&gt;0,(B66-(B65-D65))/(A66-A65),"")</f>
        <v>11.5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60</v>
      </c>
      <c r="B67" s="63">
        <v>382</v>
      </c>
      <c r="C67" s="53">
        <v>6</v>
      </c>
      <c r="D67" s="63">
        <f>29+27</f>
        <v>56</v>
      </c>
      <c r="E67" s="286"/>
      <c r="F67" s="286"/>
      <c r="G67" s="286"/>
      <c r="H67" s="54"/>
      <c r="I67" s="52">
        <f t="shared" si="2"/>
        <v>9.8000000000000007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70</v>
      </c>
      <c r="B68" s="63">
        <v>411</v>
      </c>
      <c r="C68" s="53">
        <v>7</v>
      </c>
      <c r="D68" s="63">
        <f>26+26</f>
        <v>52</v>
      </c>
      <c r="E68" s="286"/>
      <c r="F68" s="286"/>
      <c r="G68" s="286"/>
      <c r="H68" s="54"/>
      <c r="I68" s="52">
        <f t="shared" si="2"/>
        <v>8.5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80</v>
      </c>
      <c r="B69" s="63">
        <v>433</v>
      </c>
      <c r="C69" s="53">
        <v>8</v>
      </c>
      <c r="D69" s="63">
        <v>433</v>
      </c>
      <c r="E69" s="286"/>
      <c r="F69" s="286"/>
      <c r="G69" s="286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rouge d'Amérique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88" t="s">
        <v>186</v>
      </c>
      <c r="D86" s="288"/>
      <c r="E86" s="289" t="s">
        <v>187</v>
      </c>
      <c r="F86" s="290"/>
      <c r="G86" s="290"/>
      <c r="H86" s="291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132</v>
      </c>
      <c r="C88" s="53">
        <v>1</v>
      </c>
      <c r="D88" s="63">
        <v>50</v>
      </c>
      <c r="E88" s="286"/>
      <c r="F88" s="286">
        <v>0.25</v>
      </c>
      <c r="G88" s="286">
        <v>0.25</v>
      </c>
      <c r="H88" s="286">
        <v>0.5</v>
      </c>
      <c r="I88" s="56">
        <f>IFERROR(B88/A88,"")</f>
        <v>6.6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30</v>
      </c>
      <c r="B89" s="63">
        <v>200</v>
      </c>
      <c r="C89" s="53">
        <v>2</v>
      </c>
      <c r="D89" s="63">
        <v>74</v>
      </c>
      <c r="E89" s="286">
        <v>0.1</v>
      </c>
      <c r="F89" s="286">
        <v>0.45</v>
      </c>
      <c r="G89" s="286">
        <v>0.45</v>
      </c>
      <c r="H89" s="286"/>
      <c r="I89" s="56">
        <f t="shared" ref="I89:I107" si="3">IF(A89&lt;&gt;0,(B89-(B88-D88))/(A89-A88),"")</f>
        <v>11.8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40</v>
      </c>
      <c r="B90" s="63">
        <v>227</v>
      </c>
      <c r="C90" s="53">
        <v>3</v>
      </c>
      <c r="D90" s="63">
        <v>69</v>
      </c>
      <c r="E90" s="286"/>
      <c r="F90" s="286"/>
      <c r="G90" s="286"/>
      <c r="H90" s="286"/>
      <c r="I90" s="56">
        <f t="shared" si="3"/>
        <v>10.1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50</v>
      </c>
      <c r="B91" s="63">
        <v>240</v>
      </c>
      <c r="C91" s="53">
        <v>4</v>
      </c>
      <c r="D91" s="63">
        <v>59</v>
      </c>
      <c r="E91" s="286"/>
      <c r="F91" s="286"/>
      <c r="G91" s="286"/>
      <c r="H91" s="286"/>
      <c r="I91" s="56">
        <f t="shared" si="3"/>
        <v>8.1999999999999993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60</v>
      </c>
      <c r="B92" s="63">
        <v>245</v>
      </c>
      <c r="C92" s="53">
        <v>5</v>
      </c>
      <c r="D92" s="63">
        <v>47</v>
      </c>
      <c r="E92" s="286"/>
      <c r="F92" s="286"/>
      <c r="G92" s="286"/>
      <c r="H92" s="286"/>
      <c r="I92" s="56">
        <f t="shared" si="3"/>
        <v>6.4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70</v>
      </c>
      <c r="B93" s="63">
        <v>247</v>
      </c>
      <c r="C93" s="53">
        <v>6</v>
      </c>
      <c r="D93" s="63">
        <v>37</v>
      </c>
      <c r="E93" s="286"/>
      <c r="F93" s="286"/>
      <c r="G93" s="286"/>
      <c r="H93" s="286"/>
      <c r="I93" s="56">
        <f t="shared" si="3"/>
        <v>4.9000000000000004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80</v>
      </c>
      <c r="B94" s="63">
        <v>247</v>
      </c>
      <c r="C94" s="53">
        <v>7</v>
      </c>
      <c r="D94" s="63">
        <v>28</v>
      </c>
      <c r="E94" s="286"/>
      <c r="F94" s="286"/>
      <c r="G94" s="286"/>
      <c r="H94" s="286"/>
      <c r="I94" s="56">
        <f t="shared" si="3"/>
        <v>3.7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90</v>
      </c>
      <c r="B95" s="63">
        <v>248</v>
      </c>
      <c r="C95" s="53">
        <v>8</v>
      </c>
      <c r="D95" s="63">
        <v>248</v>
      </c>
      <c r="E95" s="286"/>
      <c r="F95" s="286"/>
      <c r="G95" s="286"/>
      <c r="H95" s="286"/>
      <c r="I95" s="56">
        <f t="shared" si="3"/>
        <v>2.9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/>
      <c r="B96" s="63"/>
      <c r="C96" s="53"/>
      <c r="D96" s="63"/>
      <c r="E96" s="286"/>
      <c r="F96" s="286"/>
      <c r="G96" s="286"/>
      <c r="H96" s="286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/>
      <c r="B97" s="63"/>
      <c r="C97" s="53"/>
      <c r="D97" s="63"/>
      <c r="E97" s="286"/>
      <c r="F97" s="286"/>
      <c r="G97" s="286"/>
      <c r="H97" s="286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/>
      <c r="B98" s="63"/>
      <c r="C98" s="53"/>
      <c r="D98" s="63"/>
      <c r="E98" s="286"/>
      <c r="F98" s="286"/>
      <c r="G98" s="286"/>
      <c r="H98" s="286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/>
      <c r="B99" s="63"/>
      <c r="C99" s="53"/>
      <c r="D99" s="63"/>
      <c r="E99" s="286"/>
      <c r="F99" s="286"/>
      <c r="G99" s="286"/>
      <c r="H99" s="286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88" t="s">
        <v>186</v>
      </c>
      <c r="D112" s="288"/>
      <c r="E112" s="289" t="s">
        <v>187</v>
      </c>
      <c r="F112" s="290"/>
      <c r="G112" s="290"/>
      <c r="H112" s="291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88" t="s">
        <v>186</v>
      </c>
      <c r="D138" s="288"/>
      <c r="E138" s="289" t="s">
        <v>187</v>
      </c>
      <c r="F138" s="290"/>
      <c r="G138" s="290"/>
      <c r="H138" s="291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88" t="s">
        <v>186</v>
      </c>
      <c r="D164" s="288"/>
      <c r="E164" s="289" t="s">
        <v>187</v>
      </c>
      <c r="F164" s="290"/>
      <c r="G164" s="290"/>
      <c r="H164" s="291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88" t="s">
        <v>186</v>
      </c>
      <c r="D190" s="288"/>
      <c r="E190" s="289" t="s">
        <v>187</v>
      </c>
      <c r="F190" s="290"/>
      <c r="G190" s="290"/>
      <c r="H190" s="291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88" t="s">
        <v>186</v>
      </c>
      <c r="D216" s="288"/>
      <c r="E216" s="289" t="s">
        <v>187</v>
      </c>
      <c r="F216" s="290"/>
      <c r="G216" s="290"/>
      <c r="H216" s="291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88" t="s">
        <v>186</v>
      </c>
      <c r="D242" s="288"/>
      <c r="E242" s="289" t="s">
        <v>187</v>
      </c>
      <c r="F242" s="290"/>
      <c r="G242" s="290"/>
      <c r="H242" s="291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88" t="s">
        <v>186</v>
      </c>
      <c r="D268" s="288"/>
      <c r="E268" s="289" t="s">
        <v>187</v>
      </c>
      <c r="F268" s="290"/>
      <c r="G268" s="290"/>
      <c r="H268" s="291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3" t="s">
        <v>191</v>
      </c>
      <c r="C2" s="304"/>
      <c r="D2" s="304"/>
      <c r="E2" s="304"/>
      <c r="F2" s="304"/>
      <c r="G2" s="305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2"/>
      <c r="C4" s="302"/>
      <c r="D4" s="302"/>
      <c r="E4" s="302"/>
      <c r="F4" s="302"/>
      <c r="G4" s="302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09" t="s">
        <v>176</v>
      </c>
      <c r="C1" s="310"/>
      <c r="D1" s="310"/>
      <c r="E1" s="310"/>
      <c r="F1" s="310"/>
      <c r="G1" s="310"/>
      <c r="H1" s="311"/>
      <c r="I1" s="306" t="str">
        <f>IF('Données projet'!$B$9="","",'Données projet'!$B$9)</f>
        <v>Douglas</v>
      </c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8"/>
      <c r="AD1" s="307" t="str">
        <f>IF('Données projet'!$B$10="","",'Données projet'!$B$10)</f>
        <v>Mélèze hybride</v>
      </c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8"/>
      <c r="AY1" s="306" t="str">
        <f>IF('Données projet'!$B$11="","",'Données projet'!$B$11)</f>
        <v>Chêne rouge d'Amérique</v>
      </c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8"/>
      <c r="BT1" s="306" t="str">
        <f>IF('Données projet'!$B$12="","",'Données projet'!$B$12)</f>
        <v/>
      </c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8"/>
      <c r="CO1" s="306" t="str">
        <f>IF('Données projet'!$B$13="","",'Données projet'!$B$13)</f>
        <v/>
      </c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8"/>
      <c r="DJ1" s="306" t="str">
        <f>IF('Données projet'!$B$14="","",'Données projet'!$B$14)</f>
        <v/>
      </c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8"/>
      <c r="EE1" s="306" t="str">
        <f>IF('Données projet'!$B$15="","",'Données projet'!$B$15)</f>
        <v/>
      </c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8"/>
      <c r="EZ1" s="306" t="str">
        <f>IF('Données projet'!$B$16="","",'Données projet'!$B$16)</f>
        <v/>
      </c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  <c r="FR1" s="307"/>
      <c r="FS1" s="307"/>
      <c r="FT1" s="308"/>
      <c r="FU1" s="306" t="str">
        <f>IF('Données projet'!$B$17="","",'Données projet'!$B$17)</f>
        <v/>
      </c>
      <c r="FV1" s="307"/>
      <c r="FW1" s="307"/>
      <c r="FX1" s="307"/>
      <c r="FY1" s="307"/>
      <c r="FZ1" s="307"/>
      <c r="GA1" s="307"/>
      <c r="GB1" s="307"/>
      <c r="GC1" s="307"/>
      <c r="GD1" s="307"/>
      <c r="GE1" s="307"/>
      <c r="GF1" s="307"/>
      <c r="GG1" s="307"/>
      <c r="GH1" s="307"/>
      <c r="GI1" s="307"/>
      <c r="GJ1" s="307"/>
      <c r="GK1" s="307"/>
      <c r="GL1" s="307"/>
      <c r="GM1" s="307"/>
      <c r="GN1" s="307"/>
      <c r="GO1" s="308"/>
      <c r="GP1" s="306" t="str">
        <f>IF('Données projet'!$B$18="","",'Données projet'!$B$18)</f>
        <v/>
      </c>
      <c r="GQ1" s="307"/>
      <c r="GR1" s="307"/>
      <c r="GS1" s="307"/>
      <c r="GT1" s="307"/>
      <c r="GU1" s="307"/>
      <c r="GV1" s="307"/>
      <c r="GW1" s="307"/>
      <c r="GX1" s="307"/>
      <c r="GY1" s="307"/>
      <c r="GZ1" s="307"/>
      <c r="HA1" s="307"/>
      <c r="HB1" s="307"/>
      <c r="HC1" s="307"/>
      <c r="HD1" s="307"/>
      <c r="HE1" s="307"/>
      <c r="HF1" s="307"/>
      <c r="HG1" s="307"/>
      <c r="HH1" s="307"/>
      <c r="HI1" s="307"/>
      <c r="HJ1" s="308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373.16487843768437</v>
      </c>
      <c r="T3" s="62">
        <f>IF('Données projet'!E9&gt;30,$R$33-$H$33,LOOKUP('Données projet'!$E$9,$A$3:$A$203,R3:R203)-LOOKUP('Données projet'!$E$9,$A$3:$A$203,$H$3:$H$203))</f>
        <v>376.53494965377718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210.04871822652808</v>
      </c>
      <c r="AO3" s="62">
        <f>IF('Données projet'!E10&gt;30,$AM$33-$H$33,LOOKUP('Données projet'!$E$10,$A$3:$A$203,AM3:AM203)-LOOKUP('Données projet'!$E$10,$A$3:$A$203,$H$3:$H$203))</f>
        <v>250.17540614049324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223.81948236065614</v>
      </c>
      <c r="BJ3" s="62">
        <f>IF('Données projet'!E11&gt;30,$BH$33-$H$33,LOOKUP('Données projet'!$E$11,$A$3:$A$203,BH3:BH203)-LOOKUP('Données projet'!$E$11,$A$3:$A$203,$H$3:$H$203))</f>
        <v>320.1204011431372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</v>
      </c>
      <c r="N4" s="14">
        <f>IF('Données projet'!$A$36&gt;35,N3+M4-V3,IF(A4&lt;'Données projet'!$A$36,$K$205^A4,IF(A4='Données projet'!$A$36,'Données projet'!$B$36,N3+M4-V3)))</f>
        <v>1.3492828476735632</v>
      </c>
      <c r="O4" s="14">
        <f>N4*VLOOKUP('Données projet'!$B$9,Paramètres!$A$1:$I$88,3,0)*VLOOKUP('Données projet'!$B$9,Paramètres!$A$1:$I$88,5,0)</f>
        <v>0.75424911184952181</v>
      </c>
      <c r="P4" s="14">
        <f>EXP(-1.0587+0.8836*LN(O4)+0.284)</f>
        <v>0.3591899268142314</v>
      </c>
      <c r="Q4" s="22">
        <f t="shared" ref="Q4:Q34" si="2">(O4+P4)*0.475*44/12</f>
        <v>1.9392396590060368</v>
      </c>
      <c r="R4" s="62">
        <f t="shared" si="0"/>
        <v>295.27257299233935</v>
      </c>
      <c r="S4" s="62">
        <f ca="1">AVERAGE(OFFSET($R$3,0,0,'Données projet'!$E$9+1,1))-AVERAGE(OFFSET($H$3,0,0,'Données projet'!$E$9+1,1))</f>
        <v>373.16487843768437</v>
      </c>
      <c r="T4" s="62">
        <f>$T$3</f>
        <v>376.53494965377718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</v>
      </c>
      <c r="AI4" s="14">
        <f>IF('Données projet'!$A$62&gt;35,AI3+AH4-AQ3,IF(A4&lt;'Données projet'!$A$62,$AF$205^A4,IF(A4='Données projet'!$A$62,'Données projet'!$B$62,AI3+AH4-AQ3)))</f>
        <v>1.4309690811052556</v>
      </c>
      <c r="AJ4" s="14">
        <f>AI4*VLOOKUP('Données projet'!$B$10,Paramètres!$A$1:$I$88,3,0)*VLOOKUP('Données projet'!$B$10,Paramètres!$A$1:$I$88,5,0)</f>
        <v>0.78130911828346949</v>
      </c>
      <c r="AK4" s="14">
        <f>EXP(-1.0587+0.8836*LN(AJ4)+0.284)</f>
        <v>0.37055303350010543</v>
      </c>
      <c r="AL4" s="22">
        <f t="shared" ref="AL4:AL67" si="4">(AJ4+AK4)*0.475*44/12</f>
        <v>2.0061599143563931</v>
      </c>
      <c r="AM4" s="62">
        <f t="shared" ref="AM4:AM67" si="5">AL4+(AD4+AE4)*44/12</f>
        <v>295.33949324768969</v>
      </c>
      <c r="AN4" s="62">
        <f ca="1">AVERAGE(OFFSET($AM$3,0,0,'Données projet'!$E$10+1,1))-AVERAGE(OFFSET($H$3,0,0,'Données projet'!$E$10+1,1))</f>
        <v>210.04871822652808</v>
      </c>
      <c r="AO4" s="62">
        <f>$AO$3</f>
        <v>250.17540614049324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6.6</v>
      </c>
      <c r="BD4" s="13">
        <f>IF('Données projet'!$A$88&gt;35,BD3+BC4-BL3,IF(A4&lt;'Données projet'!$A$88,$BA$205^A4,IF(A4='Données projet'!$A$88,'Données projet'!$B$88,BD3+BC4-BL3)))</f>
        <v>1.2765231539157764</v>
      </c>
      <c r="BE4" s="14">
        <f>BD4*VLOOKUP('Données projet'!$B$11,Paramètres!$A$1:$I$88,3,0)*VLOOKUP('Données projet'!$B$11,Paramètres!$A$1:$I$88,5,0)</f>
        <v>1.1151706272608224</v>
      </c>
      <c r="BF4" s="14">
        <f>EXP(-1.0587+0.8836*LN(BE4)+0.284)</f>
        <v>0.50743784838663863</v>
      </c>
      <c r="BG4" s="22">
        <f t="shared" ref="BG4:BG67" si="7">(BE4+BF4)*0.475*44/12</f>
        <v>2.8260430950859945</v>
      </c>
      <c r="BH4" s="62">
        <f t="shared" ref="BH4:BH67" si="8">BG4+(AY4+AZ4)*44/12</f>
        <v>296.15937642841931</v>
      </c>
      <c r="BI4" s="62">
        <f ca="1">AVERAGE(OFFSET($BH$3,0,0,'Données projet'!$E$11+1,1))-AVERAGE(OFFSET($H$3,0,0,'Données projet'!$E$11+1,1))</f>
        <v>223.81948236065614</v>
      </c>
      <c r="BJ4" s="62">
        <f>$BJ$3</f>
        <v>320.1204011431372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</v>
      </c>
      <c r="N5" s="14">
        <f>IF('Données projet'!$A$36&gt;35,N4+M5-V4,IF(A5&lt;'Données projet'!$A$36,$K$205^A5,IF(A5='Données projet'!$A$36,'Données projet'!$B$36,N4+M5-V4)))</f>
        <v>1.82056420302608</v>
      </c>
      <c r="O5" s="14">
        <f>N5*VLOOKUP('Données projet'!$B$9,Paramètres!$A$1:$I$88,3,0)*VLOOKUP('Données projet'!$B$9,Paramètres!$A$1:$I$88,5,0)</f>
        <v>1.0176953894915788</v>
      </c>
      <c r="P5" s="14">
        <f t="shared" ref="P5:P68" si="33">EXP(-1.0587+0.8836*LN(O5)+0.284)</f>
        <v>0.46804020312241645</v>
      </c>
      <c r="Q5" s="22">
        <f t="shared" si="2"/>
        <v>2.5876561571360415</v>
      </c>
      <c r="R5" s="62">
        <f t="shared" si="0"/>
        <v>295.92098949046937</v>
      </c>
      <c r="S5" s="62">
        <f ca="1">AVERAGE(OFFSET($R$3,0,0,'Données projet'!$E$9+1,1))-AVERAGE(OFFSET($H$3,0,0,'Données projet'!$E$9+1,1))</f>
        <v>373.16487843768437</v>
      </c>
      <c r="T5" s="62">
        <f t="shared" ref="T5:T68" si="34">$T$3</f>
        <v>376.53494965377718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</v>
      </c>
      <c r="AI5" s="14">
        <f>IF('Données projet'!$A$62&gt;35,AI4+AH5-AQ4,IF(A5&lt;'Données projet'!$A$62,$AF$205^A5,IF(A5='Données projet'!$A$62,'Données projet'!$B$62,AI4+AH5-AQ4)))</f>
        <v>2.0476725110792193</v>
      </c>
      <c r="AJ5" s="14">
        <f>AI5*VLOOKUP('Données projet'!$B$10,Paramètres!$A$1:$I$88,3,0)*VLOOKUP('Données projet'!$B$10,Paramètres!$A$1:$I$88,5,0)</f>
        <v>1.1180291910492537</v>
      </c>
      <c r="AK5" s="14">
        <f t="shared" ref="AK5:AK68" si="35">EXP(-1.0587+0.8836*LN(AJ5)+0.284)</f>
        <v>0.50858700810998547</v>
      </c>
      <c r="AL5" s="22">
        <f t="shared" si="4"/>
        <v>2.8330232135356752</v>
      </c>
      <c r="AM5" s="62">
        <f t="shared" si="5"/>
        <v>296.166356546869</v>
      </c>
      <c r="AN5" s="62">
        <f ca="1">AVERAGE(OFFSET($AM$3,0,0,'Données projet'!$E$10+1,1))-AVERAGE(OFFSET($H$3,0,0,'Données projet'!$E$10+1,1))</f>
        <v>210.04871822652808</v>
      </c>
      <c r="AO5" s="62">
        <f t="shared" ref="AO5:AO68" si="36">$AO$3</f>
        <v>250.17540614049324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6.6</v>
      </c>
      <c r="BD5" s="13">
        <f>IF('Données projet'!$A$88&gt;35,BD4+BC5-BL4,IF(A5&lt;'Données projet'!$A$88,$BA$205^A5,IF(A5='Données projet'!$A$88,'Données projet'!$B$88,BD4+BC5-BL4)))</f>
        <v>1.629511362483081</v>
      </c>
      <c r="BE5" s="14">
        <f>BD5*VLOOKUP('Données projet'!$B$11,Paramètres!$A$1:$I$88,3,0)*VLOOKUP('Données projet'!$B$11,Paramètres!$A$1:$I$88,5,0)</f>
        <v>1.4235411262652198</v>
      </c>
      <c r="BF5" s="14">
        <f t="shared" ref="BF5:BF68" si="37">EXP(-1.0587+0.8836*LN(BE5)+0.284)</f>
        <v>0.62960738463416654</v>
      </c>
      <c r="BG5" s="22">
        <f t="shared" si="7"/>
        <v>3.5759003231497637</v>
      </c>
      <c r="BH5" s="62">
        <f t="shared" si="8"/>
        <v>296.90923365648308</v>
      </c>
      <c r="BI5" s="62">
        <f ca="1">AVERAGE(OFFSET($BH$3,0,0,'Données projet'!$E$11+1,1))-AVERAGE(OFFSET($H$3,0,0,'Données projet'!$E$11+1,1))</f>
        <v>223.81948236065614</v>
      </c>
      <c r="BJ5" s="62">
        <f t="shared" ref="BJ5:BJ68" si="38">$BJ$3</f>
        <v>320.1204011431372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</v>
      </c>
      <c r="N6" s="14">
        <f>IF('Données projet'!$A$36&gt;35,N5+M6-V5,IF(A6&lt;'Données projet'!$A$36,$K$205^A6,IF(A6='Données projet'!$A$36,'Données projet'!$B$36,N5+M6-V5)))</f>
        <v>2.4564560522315801</v>
      </c>
      <c r="O6" s="14">
        <f>N6*VLOOKUP('Données projet'!$B$9,Paramètres!$A$1:$I$88,3,0)*VLOOKUP('Données projet'!$B$9,Paramètres!$A$1:$I$88,5,0)</f>
        <v>1.3731589331974534</v>
      </c>
      <c r="P6" s="14">
        <f t="shared" si="33"/>
        <v>0.60987687957120462</v>
      </c>
      <c r="Q6" s="22">
        <f t="shared" si="2"/>
        <v>3.453787373905413</v>
      </c>
      <c r="R6" s="62">
        <f t="shared" si="0"/>
        <v>296.78712070723873</v>
      </c>
      <c r="S6" s="62">
        <f ca="1">AVERAGE(OFFSET($R$3,0,0,'Données projet'!$E$9+1,1))-AVERAGE(OFFSET($H$3,0,0,'Données projet'!$E$9+1,1))</f>
        <v>373.16487843768437</v>
      </c>
      <c r="T6" s="62">
        <f t="shared" si="34"/>
        <v>376.53494965377718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</v>
      </c>
      <c r="AI6" s="14">
        <f>IF('Données projet'!$A$62&gt;35,AI5+AH6-AQ5,IF(A6&lt;'Données projet'!$A$62,$AF$205^A6,IF(A6='Données projet'!$A$62,'Données projet'!$B$62,AI5+AH6-AQ5)))</f>
        <v>2.9301560515835217</v>
      </c>
      <c r="AJ6" s="14">
        <f>AI6*VLOOKUP('Données projet'!$B$10,Paramètres!$A$1:$I$88,3,0)*VLOOKUP('Données projet'!$B$10,Paramètres!$A$1:$I$88,5,0)</f>
        <v>1.5998652041646029</v>
      </c>
      <c r="AK6" s="14">
        <f t="shared" si="35"/>
        <v>0.6980397444734262</v>
      </c>
      <c r="AL6" s="22">
        <f t="shared" si="4"/>
        <v>4.0021844522112344</v>
      </c>
      <c r="AM6" s="62">
        <f t="shared" si="5"/>
        <v>297.33551778554454</v>
      </c>
      <c r="AN6" s="62">
        <f ca="1">AVERAGE(OFFSET($AM$3,0,0,'Données projet'!$E$10+1,1))-AVERAGE(OFFSET($H$3,0,0,'Données projet'!$E$10+1,1))</f>
        <v>210.04871822652808</v>
      </c>
      <c r="AO6" s="62">
        <f t="shared" si="36"/>
        <v>250.17540614049324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6.6</v>
      </c>
      <c r="BD6" s="13">
        <f>IF('Données projet'!$A$88&gt;35,BD5+BC6-BL5,IF(A6&lt;'Données projet'!$A$88,$BA$205^A6,IF(A6='Données projet'!$A$88,'Données projet'!$B$88,BD5+BC6-BL5)))</f>
        <v>2.0801089837784965</v>
      </c>
      <c r="BE6" s="14">
        <f>BD6*VLOOKUP('Données projet'!$B$11,Paramètres!$A$1:$I$88,3,0)*VLOOKUP('Données projet'!$B$11,Paramètres!$A$1:$I$88,5,0)</f>
        <v>1.8171832082288948</v>
      </c>
      <c r="BF6" s="14">
        <f t="shared" si="37"/>
        <v>0.7811901694881791</v>
      </c>
      <c r="BG6" s="22">
        <f t="shared" si="7"/>
        <v>4.5255002995239044</v>
      </c>
      <c r="BH6" s="62">
        <f t="shared" si="8"/>
        <v>297.85883363285723</v>
      </c>
      <c r="BI6" s="62">
        <f ca="1">AVERAGE(OFFSET($BH$3,0,0,'Données projet'!$E$11+1,1))-AVERAGE(OFFSET($H$3,0,0,'Données projet'!$E$11+1,1))</f>
        <v>223.81948236065614</v>
      </c>
      <c r="BJ6" s="62">
        <f t="shared" si="38"/>
        <v>320.1204011431372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</v>
      </c>
      <c r="N7" s="14">
        <f>IF('Données projet'!$A$36&gt;35,N6+M7-V6,IF(A7&lt;'Données projet'!$A$36,$K$205^A7,IF(A7='Données projet'!$A$36,'Données projet'!$B$36,N6+M7-V6)))</f>
        <v>3.3144540173399859</v>
      </c>
      <c r="O7" s="14">
        <f>N7*VLOOKUP('Données projet'!$B$9,Paramètres!$A$1:$I$88,3,0)*VLOOKUP('Données projet'!$B$9,Paramètres!$A$1:$I$88,5,0)</f>
        <v>1.8527797956930523</v>
      </c>
      <c r="P7" s="14">
        <f t="shared" si="33"/>
        <v>0.79469627983693913</v>
      </c>
      <c r="Q7" s="22">
        <f t="shared" si="2"/>
        <v>4.6110208315480676</v>
      </c>
      <c r="R7" s="62">
        <f t="shared" si="0"/>
        <v>297.94435416488136</v>
      </c>
      <c r="S7" s="62">
        <f ca="1">AVERAGE(OFFSET($R$3,0,0,'Données projet'!$E$9+1,1))-AVERAGE(OFFSET($H$3,0,0,'Données projet'!$E$9+1,1))</f>
        <v>373.16487843768437</v>
      </c>
      <c r="T7" s="62">
        <f t="shared" si="34"/>
        <v>376.53494965377718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</v>
      </c>
      <c r="AI7" s="14">
        <f>IF('Données projet'!$A$62&gt;35,AI6+AH7-AQ6,IF(A7&lt;'Données projet'!$A$62,$AF$205^A7,IF(A7='Données projet'!$A$62,'Données projet'!$B$62,AI6+AH7-AQ6)))</f>
        <v>4.192962712629476</v>
      </c>
      <c r="AJ7" s="14">
        <f>AI7*VLOOKUP('Données projet'!$B$10,Paramètres!$A$1:$I$88,3,0)*VLOOKUP('Données projet'!$B$10,Paramètres!$A$1:$I$88,5,0)</f>
        <v>2.2893576410956937</v>
      </c>
      <c r="AK7" s="14">
        <f t="shared" si="35"/>
        <v>0.95806514341623272</v>
      </c>
      <c r="AL7" s="22">
        <f t="shared" si="4"/>
        <v>5.6559280163582706</v>
      </c>
      <c r="AM7" s="62">
        <f t="shared" si="5"/>
        <v>298.98926134969156</v>
      </c>
      <c r="AN7" s="62">
        <f ca="1">AVERAGE(OFFSET($AM$3,0,0,'Données projet'!$E$10+1,1))-AVERAGE(OFFSET($H$3,0,0,'Données projet'!$E$10+1,1))</f>
        <v>210.04871822652808</v>
      </c>
      <c r="AO7" s="62">
        <f t="shared" si="36"/>
        <v>250.17540614049324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6.6</v>
      </c>
      <c r="BD7" s="13">
        <f>IF('Données projet'!$A$88&gt;35,BD6+BC7-BL6,IF(A7&lt;'Données projet'!$A$88,$BA$205^A7,IF(A7='Données projet'!$A$88,'Données projet'!$B$88,BD6+BC7-BL6)))</f>
        <v>2.655307280461467</v>
      </c>
      <c r="BE7" s="14">
        <f>BD7*VLOOKUP('Données projet'!$B$11,Paramètres!$A$1:$I$88,3,0)*VLOOKUP('Données projet'!$B$11,Paramètres!$A$1:$I$88,5,0)</f>
        <v>2.3196764402111376</v>
      </c>
      <c r="BF7" s="14">
        <f t="shared" si="37"/>
        <v>0.96926766711854973</v>
      </c>
      <c r="BG7" s="22">
        <f t="shared" si="7"/>
        <v>5.7282443202658717</v>
      </c>
      <c r="BH7" s="62">
        <f t="shared" si="8"/>
        <v>299.06157765359916</v>
      </c>
      <c r="BI7" s="62">
        <f ca="1">AVERAGE(OFFSET($BH$3,0,0,'Données projet'!$E$11+1,1))-AVERAGE(OFFSET($H$3,0,0,'Données projet'!$E$11+1,1))</f>
        <v>223.81948236065614</v>
      </c>
      <c r="BJ7" s="62">
        <f t="shared" si="38"/>
        <v>320.1204011431372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</v>
      </c>
      <c r="N8" s="14">
        <f>IF('Données projet'!$A$36&gt;35,N7+M8-V7,IF(A8&lt;'Données projet'!$A$36,$K$205^A8,IF(A8='Données projet'!$A$36,'Données projet'!$B$36,N7+M8-V7)))</f>
        <v>4.4721359549995778</v>
      </c>
      <c r="O8" s="14">
        <f>N8*VLOOKUP('Données projet'!$B$9,Paramètres!$A$1:$I$88,3,0)*VLOOKUP('Données projet'!$B$9,Paramètres!$A$1:$I$88,5,0)</f>
        <v>2.4999239988447641</v>
      </c>
      <c r="P8" s="14">
        <f t="shared" si="33"/>
        <v>1.035524051396568</v>
      </c>
      <c r="Q8" s="22">
        <f t="shared" si="2"/>
        <v>6.1575720208369864</v>
      </c>
      <c r="R8" s="62">
        <f t="shared" si="0"/>
        <v>299.49090535417031</v>
      </c>
      <c r="S8" s="62">
        <f ca="1">AVERAGE(OFFSET($R$3,0,0,'Données projet'!$E$9+1,1))-AVERAGE(OFFSET($H$3,0,0,'Données projet'!$E$9+1,1))</f>
        <v>373.16487843768437</v>
      </c>
      <c r="T8" s="62">
        <f t="shared" si="34"/>
        <v>376.53494965377718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</v>
      </c>
      <c r="AI8" s="14">
        <f>IF('Données projet'!$A$62&gt;35,AI7+AH8-AQ7,IF(A8&lt;'Données projet'!$A$62,$AF$205^A8,IF(A8='Données projet'!$A$62,'Données projet'!$B$62,AI7+AH8-AQ7)))</f>
        <v>6.0000000000000009</v>
      </c>
      <c r="AJ8" s="14">
        <f>AI8*VLOOKUP('Données projet'!$B$10,Paramètres!$A$1:$I$88,3,0)*VLOOKUP('Données projet'!$B$10,Paramètres!$A$1:$I$88,5,0)</f>
        <v>3.2760000000000007</v>
      </c>
      <c r="AK8" s="14">
        <f t="shared" si="35"/>
        <v>1.3149520873221716</v>
      </c>
      <c r="AL8" s="22">
        <f t="shared" si="4"/>
        <v>7.9959082187527839</v>
      </c>
      <c r="AM8" s="62">
        <f t="shared" si="5"/>
        <v>301.3292415520861</v>
      </c>
      <c r="AN8" s="62">
        <f ca="1">AVERAGE(OFFSET($AM$3,0,0,'Données projet'!$E$10+1,1))-AVERAGE(OFFSET($H$3,0,0,'Données projet'!$E$10+1,1))</f>
        <v>210.04871822652808</v>
      </c>
      <c r="AO8" s="62">
        <f t="shared" si="36"/>
        <v>250.17540614049324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6.6</v>
      </c>
      <c r="BD8" s="13">
        <f>IF('Données projet'!$A$88&gt;35,BD7+BC8-BL7,IF(A8&lt;'Données projet'!$A$88,$BA$205^A8,IF(A8='Données projet'!$A$88,'Données projet'!$B$88,BD7+BC8-BL7)))</f>
        <v>3.3895612242701949</v>
      </c>
      <c r="BE8" s="14">
        <f>BD8*VLOOKUP('Données projet'!$B$11,Paramètres!$A$1:$I$88,3,0)*VLOOKUP('Données projet'!$B$11,Paramètres!$A$1:$I$88,5,0)</f>
        <v>2.9611206855224426</v>
      </c>
      <c r="BF8" s="14">
        <f t="shared" si="37"/>
        <v>1.2026262582604759</v>
      </c>
      <c r="BG8" s="22">
        <f t="shared" si="7"/>
        <v>7.2518592604219156</v>
      </c>
      <c r="BH8" s="62">
        <f t="shared" si="8"/>
        <v>300.58519259375521</v>
      </c>
      <c r="BI8" s="62">
        <f ca="1">AVERAGE(OFFSET($BH$3,0,0,'Données projet'!$E$11+1,1))-AVERAGE(OFFSET($H$3,0,0,'Données projet'!$E$11+1,1))</f>
        <v>223.81948236065614</v>
      </c>
      <c r="BJ8" s="62">
        <f t="shared" si="38"/>
        <v>320.1204011431372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</v>
      </c>
      <c r="N9" s="14">
        <f>IF('Données projet'!$A$36&gt;35,N8+M9-V8,IF(A9&lt;'Données projet'!$A$36,$K$205^A9,IF(A9='Données projet'!$A$36,'Données projet'!$B$36,N8+M9-V8)))</f>
        <v>6.0341763365451611</v>
      </c>
      <c r="O9" s="14">
        <f>N9*VLOOKUP('Données projet'!$B$9,Paramètres!$A$1:$I$88,3,0)*VLOOKUP('Données projet'!$B$9,Paramètres!$A$1:$I$88,5,0)</f>
        <v>3.3731045721287449</v>
      </c>
      <c r="P9" s="14">
        <f t="shared" si="33"/>
        <v>1.3493331832895774</v>
      </c>
      <c r="Q9" s="22">
        <f t="shared" si="2"/>
        <v>8.2249124240202445</v>
      </c>
      <c r="R9" s="62">
        <f t="shared" si="0"/>
        <v>301.55824575735357</v>
      </c>
      <c r="S9" s="62">
        <f ca="1">AVERAGE(OFFSET($R$3,0,0,'Données projet'!$E$9+1,1))-AVERAGE(OFFSET($H$3,0,0,'Données projet'!$E$9+1,1))</f>
        <v>373.16487843768437</v>
      </c>
      <c r="T9" s="62">
        <f t="shared" si="34"/>
        <v>376.53494965377718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</v>
      </c>
      <c r="AI9" s="14">
        <f>IF('Données projet'!$A$62&gt;35,AI8+AH9-AQ8,IF(A9&lt;'Données projet'!$A$62,$AF$205^A9,IF(A9='Données projet'!$A$62,'Données projet'!$B$62,AI8+AH9-AQ8)))</f>
        <v>8.5858144866315342</v>
      </c>
      <c r="AJ9" s="14">
        <f>AI9*VLOOKUP('Données projet'!$B$10,Paramètres!$A$1:$I$88,3,0)*VLOOKUP('Données projet'!$B$10,Paramètres!$A$1:$I$88,5,0)</f>
        <v>4.6878547097008179</v>
      </c>
      <c r="AK9" s="14">
        <f t="shared" si="35"/>
        <v>1.8047822779434171</v>
      </c>
      <c r="AL9" s="22">
        <f t="shared" si="4"/>
        <v>11.308009420147043</v>
      </c>
      <c r="AM9" s="62">
        <f t="shared" si="5"/>
        <v>304.64134275348033</v>
      </c>
      <c r="AN9" s="62">
        <f ca="1">AVERAGE(OFFSET($AM$3,0,0,'Données projet'!$E$10+1,1))-AVERAGE(OFFSET($H$3,0,0,'Données projet'!$E$10+1,1))</f>
        <v>210.04871822652808</v>
      </c>
      <c r="AO9" s="62">
        <f t="shared" si="36"/>
        <v>250.17540614049324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6.6</v>
      </c>
      <c r="BD9" s="13">
        <f>IF('Données projet'!$A$88&gt;35,BD8+BC9-BL8,IF(A9&lt;'Données projet'!$A$88,$BA$205^A9,IF(A9='Données projet'!$A$88,'Données projet'!$B$88,BD8+BC9-BL8)))</f>
        <v>4.32685338439601</v>
      </c>
      <c r="BE9" s="14">
        <f>BD9*VLOOKUP('Données projet'!$B$11,Paramètres!$A$1:$I$88,3,0)*VLOOKUP('Données projet'!$B$11,Paramètres!$A$1:$I$88,5,0)</f>
        <v>3.7799391166083551</v>
      </c>
      <c r="BF9" s="14">
        <f t="shared" si="37"/>
        <v>1.4921677118944865</v>
      </c>
      <c r="BG9" s="22">
        <f t="shared" si="7"/>
        <v>9.1822527263091143</v>
      </c>
      <c r="BH9" s="62">
        <f t="shared" si="8"/>
        <v>302.51558605964243</v>
      </c>
      <c r="BI9" s="62">
        <f ca="1">AVERAGE(OFFSET($BH$3,0,0,'Données projet'!$E$11+1,1))-AVERAGE(OFFSET($H$3,0,0,'Données projet'!$E$11+1,1))</f>
        <v>223.81948236065614</v>
      </c>
      <c r="BJ9" s="62">
        <f t="shared" si="38"/>
        <v>320.1204011431372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</v>
      </c>
      <c r="N10" s="14">
        <f>IF('Données projet'!$A$36&gt;35,N9+M10-V9,IF(A10&lt;'Données projet'!$A$36,$K$205^A10,IF(A10='Données projet'!$A$36,'Données projet'!$B$36,N9+M10-V9)))</f>
        <v>8.1418106307380835</v>
      </c>
      <c r="O10" s="14">
        <f>N10*VLOOKUP('Données projet'!$B$9,Paramètres!$A$1:$I$88,3,0)*VLOOKUP('Données projet'!$B$9,Paramètres!$A$1:$I$88,5,0)</f>
        <v>4.5512721425825893</v>
      </c>
      <c r="P10" s="14">
        <f t="shared" si="33"/>
        <v>1.7582402234606553</v>
      </c>
      <c r="Q10" s="22">
        <f t="shared" si="2"/>
        <v>10.989067370858649</v>
      </c>
      <c r="R10" s="62">
        <f t="shared" si="0"/>
        <v>304.32240070419198</v>
      </c>
      <c r="S10" s="62">
        <f ca="1">AVERAGE(OFFSET($R$3,0,0,'Données projet'!$E$9+1,1))-AVERAGE(OFFSET($H$3,0,0,'Données projet'!$E$9+1,1))</f>
        <v>373.16487843768437</v>
      </c>
      <c r="T10" s="62">
        <f t="shared" si="34"/>
        <v>376.53494965377718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</v>
      </c>
      <c r="AI10" s="14">
        <f>IF('Données projet'!$A$62&gt;35,AI9+AH10-AQ9,IF(A10&lt;'Données projet'!$A$62,$AF$205^A10,IF(A10='Données projet'!$A$62,'Données projet'!$B$62,AI9+AH10-AQ9)))</f>
        <v>12.286035066475318</v>
      </c>
      <c r="AJ10" s="14">
        <f>AI10*VLOOKUP('Données projet'!$B$10,Paramètres!$A$1:$I$88,3,0)*VLOOKUP('Données projet'!$B$10,Paramètres!$A$1:$I$88,5,0)</f>
        <v>6.708175146295523</v>
      </c>
      <c r="AK10" s="14">
        <f t="shared" si="35"/>
        <v>2.4770781400954469</v>
      </c>
      <c r="AL10" s="22">
        <f t="shared" si="4"/>
        <v>15.997649473797606</v>
      </c>
      <c r="AM10" s="62">
        <f t="shared" si="5"/>
        <v>309.33098280713091</v>
      </c>
      <c r="AN10" s="62">
        <f ca="1">AVERAGE(OFFSET($AM$3,0,0,'Données projet'!$E$10+1,1))-AVERAGE(OFFSET($H$3,0,0,'Données projet'!$E$10+1,1))</f>
        <v>210.04871822652808</v>
      </c>
      <c r="AO10" s="62">
        <f t="shared" si="36"/>
        <v>250.17540614049324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6.6</v>
      </c>
      <c r="BD10" s="13">
        <f>IF('Données projet'!$A$88&gt;35,BD9+BC10-BL9,IF(A10&lt;'Données projet'!$A$88,$BA$205^A10,IF(A10='Données projet'!$A$88,'Données projet'!$B$88,BD9+BC10-BL9)))</f>
        <v>5.5233285287803451</v>
      </c>
      <c r="BE10" s="14">
        <f>BD10*VLOOKUP('Données projet'!$B$11,Paramètres!$A$1:$I$88,3,0)*VLOOKUP('Données projet'!$B$11,Paramètres!$A$1:$I$88,5,0)</f>
        <v>4.8251798027425101</v>
      </c>
      <c r="BF10" s="14">
        <f t="shared" si="37"/>
        <v>1.8514184811173284</v>
      </c>
      <c r="BG10" s="22">
        <f t="shared" si="7"/>
        <v>11.628408677722552</v>
      </c>
      <c r="BH10" s="62">
        <f t="shared" si="8"/>
        <v>304.96174201105589</v>
      </c>
      <c r="BI10" s="62">
        <f ca="1">AVERAGE(OFFSET($BH$3,0,0,'Données projet'!$E$11+1,1))-AVERAGE(OFFSET($H$3,0,0,'Données projet'!$E$11+1,1))</f>
        <v>223.81948236065614</v>
      </c>
      <c r="BJ10" s="62">
        <f t="shared" si="38"/>
        <v>320.1204011431372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</v>
      </c>
      <c r="N11" s="14">
        <f>IF('Données projet'!$A$36&gt;35,N10+M11-V10,IF(A11&lt;'Données projet'!$A$36,$K$205^A11,IF(A11='Données projet'!$A$36,'Données projet'!$B$36,N10+M11-V10)))</f>
        <v>10.985605433061172</v>
      </c>
      <c r="O11" s="14">
        <f>N11*VLOOKUP('Données projet'!$B$9,Paramètres!$A$1:$I$88,3,0)*VLOOKUP('Données projet'!$B$9,Paramètres!$A$1:$I$88,5,0)</f>
        <v>6.1409534370811958</v>
      </c>
      <c r="P11" s="14">
        <f t="shared" si="33"/>
        <v>2.29106400233806</v>
      </c>
      <c r="Q11" s="22">
        <f t="shared" si="2"/>
        <v>14.685763706988537</v>
      </c>
      <c r="R11" s="62">
        <f t="shared" si="0"/>
        <v>308.01909704032187</v>
      </c>
      <c r="S11" s="62">
        <f ca="1">AVERAGE(OFFSET($R$3,0,0,'Données projet'!$E$9+1,1))-AVERAGE(OFFSET($H$3,0,0,'Données projet'!$E$9+1,1))</f>
        <v>373.16487843768437</v>
      </c>
      <c r="T11" s="62">
        <f t="shared" si="34"/>
        <v>376.53494965377718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</v>
      </c>
      <c r="AI11" s="14">
        <f>IF('Données projet'!$A$62&gt;35,AI10+AH11-AQ10,IF(A11&lt;'Données projet'!$A$62,$AF$205^A11,IF(A11='Données projet'!$A$62,'Données projet'!$B$62,AI10+AH11-AQ10)))</f>
        <v>17.580936309501134</v>
      </c>
      <c r="AJ11" s="14">
        <f>AI11*VLOOKUP('Données projet'!$B$10,Paramètres!$A$1:$I$88,3,0)*VLOOKUP('Données projet'!$B$10,Paramètres!$A$1:$I$88,5,0)</f>
        <v>9.599191224987619</v>
      </c>
      <c r="AK11" s="14">
        <f t="shared" si="35"/>
        <v>3.3998095987127641</v>
      </c>
      <c r="AL11" s="22">
        <f t="shared" si="4"/>
        <v>22.6399264346115</v>
      </c>
      <c r="AM11" s="62">
        <f t="shared" si="5"/>
        <v>315.9732597679448</v>
      </c>
      <c r="AN11" s="62">
        <f ca="1">AVERAGE(OFFSET($AM$3,0,0,'Données projet'!$E$10+1,1))-AVERAGE(OFFSET($H$3,0,0,'Données projet'!$E$10+1,1))</f>
        <v>210.04871822652808</v>
      </c>
      <c r="AO11" s="62">
        <f t="shared" si="36"/>
        <v>250.17540614049324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6.6</v>
      </c>
      <c r="BD11" s="13">
        <f>IF('Données projet'!$A$88&gt;35,BD10+BC11-BL10,IF(A11&lt;'Données projet'!$A$88,$BA$205^A11,IF(A11='Données projet'!$A$88,'Données projet'!$B$88,BD10+BC11-BL10)))</f>
        <v>7.0506567536716718</v>
      </c>
      <c r="BE11" s="14">
        <f>BD11*VLOOKUP('Données projet'!$B$11,Paramètres!$A$1:$I$88,3,0)*VLOOKUP('Données projet'!$B$11,Paramètres!$A$1:$I$88,5,0)</f>
        <v>6.1594537400075735</v>
      </c>
      <c r="BF11" s="14">
        <f t="shared" si="37"/>
        <v>2.2971616158822084</v>
      </c>
      <c r="BG11" s="22">
        <f t="shared" si="7"/>
        <v>14.728605078174702</v>
      </c>
      <c r="BH11" s="62">
        <f t="shared" si="8"/>
        <v>308.06193841150804</v>
      </c>
      <c r="BI11" s="62">
        <f ca="1">AVERAGE(OFFSET($BH$3,0,0,'Données projet'!$E$11+1,1))-AVERAGE(OFFSET($H$3,0,0,'Données projet'!$E$11+1,1))</f>
        <v>223.81948236065614</v>
      </c>
      <c r="BJ11" s="62">
        <f t="shared" si="38"/>
        <v>320.1204011431372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</v>
      </c>
      <c r="N12" s="14">
        <f>IF('Données projet'!$A$36&gt;35,N11+M12-V11,IF(A12&lt;'Données projet'!$A$36,$K$205^A12,IF(A12='Données projet'!$A$36,'Données projet'!$B$36,N11+M12-V11)))</f>
        <v>14.822688982138946</v>
      </c>
      <c r="O12" s="14">
        <f>N12*VLOOKUP('Données projet'!$B$9,Paramètres!$A$1:$I$88,3,0)*VLOOKUP('Données projet'!$B$9,Paramètres!$A$1:$I$88,5,0)</f>
        <v>8.2858831410156704</v>
      </c>
      <c r="P12" s="14">
        <f t="shared" si="33"/>
        <v>2.9853567179108209</v>
      </c>
      <c r="Q12" s="22">
        <f t="shared" si="2"/>
        <v>19.630742754296975</v>
      </c>
      <c r="R12" s="62">
        <f t="shared" si="0"/>
        <v>312.9640760876303</v>
      </c>
      <c r="S12" s="62">
        <f ca="1">AVERAGE(OFFSET($R$3,0,0,'Données projet'!$E$9+1,1))-AVERAGE(OFFSET($H$3,0,0,'Données projet'!$E$9+1,1))</f>
        <v>373.16487843768437</v>
      </c>
      <c r="T12" s="62">
        <f t="shared" si="34"/>
        <v>376.53494965377718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</v>
      </c>
      <c r="AI12" s="14">
        <f>IF('Données projet'!$A$62&gt;35,AI11+AH12-AQ11,IF(A12&lt;'Données projet'!$A$62,$AF$205^A12,IF(A12='Données projet'!$A$62,'Données projet'!$B$62,AI11+AH12-AQ11)))</f>
        <v>25.157776275776861</v>
      </c>
      <c r="AJ12" s="14">
        <f>AI12*VLOOKUP('Données projet'!$B$10,Paramètres!$A$1:$I$88,3,0)*VLOOKUP('Données projet'!$B$10,Paramètres!$A$1:$I$88,5,0)</f>
        <v>13.736145846574166</v>
      </c>
      <c r="AK12" s="14">
        <f t="shared" si="35"/>
        <v>4.6662659204824557</v>
      </c>
      <c r="AL12" s="22">
        <f t="shared" si="4"/>
        <v>32.050867160956948</v>
      </c>
      <c r="AM12" s="62">
        <f t="shared" si="5"/>
        <v>325.38420049429027</v>
      </c>
      <c r="AN12" s="62">
        <f ca="1">AVERAGE(OFFSET($AM$3,0,0,'Données projet'!$E$10+1,1))-AVERAGE(OFFSET($H$3,0,0,'Données projet'!$E$10+1,1))</f>
        <v>210.04871822652808</v>
      </c>
      <c r="AO12" s="62">
        <f t="shared" si="36"/>
        <v>250.17540614049324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6.6</v>
      </c>
      <c r="BD12" s="13">
        <f>IF('Données projet'!$A$88&gt;35,BD11+BC12-BL11,IF(A12&lt;'Données projet'!$A$88,$BA$205^A12,IF(A12='Données projet'!$A$88,'Données projet'!$B$88,BD11+BC12-BL11)))</f>
        <v>9.0003265963745314</v>
      </c>
      <c r="BE12" s="14">
        <f>BD12*VLOOKUP('Données projet'!$B$11,Paramètres!$A$1:$I$88,3,0)*VLOOKUP('Données projet'!$B$11,Paramètres!$A$1:$I$88,5,0)</f>
        <v>7.8626853145927917</v>
      </c>
      <c r="BF12" s="14">
        <f t="shared" si="37"/>
        <v>2.8502208135558442</v>
      </c>
      <c r="BG12" s="22">
        <f t="shared" si="7"/>
        <v>18.658311506525539</v>
      </c>
      <c r="BH12" s="62">
        <f t="shared" si="8"/>
        <v>311.99164483985885</v>
      </c>
      <c r="BI12" s="62">
        <f ca="1">AVERAGE(OFFSET($BH$3,0,0,'Données projet'!$E$11+1,1))-AVERAGE(OFFSET($H$3,0,0,'Données projet'!$E$11+1,1))</f>
        <v>223.81948236065614</v>
      </c>
      <c r="BJ12" s="62">
        <f t="shared" si="38"/>
        <v>320.1204011431372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20</v>
      </c>
      <c r="L13" s="13">
        <f>VLOOKUP(A13,'Données projet'!$A$35:$I$55,9,0)</f>
        <v>2</v>
      </c>
      <c r="M13" s="13">
        <f t="array" ref="M13">INDEX(L:L,MIN(IF(ISNUMBER(L13:L209),ROW(L13:L209),"")))</f>
        <v>2</v>
      </c>
      <c r="N13" s="14">
        <f>IF('Données projet'!$A$36&gt;35,N12+M13-V12,IF(A13&lt;'Données projet'!$A$36,$K$205^A13,IF(A13='Données projet'!$A$36,'Données projet'!$B$36,N12+M13-V12)))</f>
        <v>20</v>
      </c>
      <c r="O13" s="14">
        <f>N13*VLOOKUP('Données projet'!$B$9,Paramètres!$A$1:$I$88,3,0)*VLOOKUP('Données projet'!$B$9,Paramètres!$A$1:$I$88,5,0)</f>
        <v>11.18</v>
      </c>
      <c r="P13" s="14">
        <f t="shared" si="33"/>
        <v>3.8900505285230369</v>
      </c>
      <c r="Q13" s="22">
        <f t="shared" si="2"/>
        <v>26.247004670510957</v>
      </c>
      <c r="R13" s="62">
        <f t="shared" si="0"/>
        <v>319.58033800384425</v>
      </c>
      <c r="S13" s="62">
        <f ca="1">AVERAGE(OFFSET($R$3,0,0,'Données projet'!$E$9+1,1))-AVERAGE(OFFSET($H$3,0,0,'Données projet'!$E$9+1,1))</f>
        <v>373.16487843768437</v>
      </c>
      <c r="T13" s="62">
        <f t="shared" si="34"/>
        <v>376.53494965377718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1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36</v>
      </c>
      <c r="AG13" s="13">
        <f>VLOOKUP(A13,'Données projet'!$A$61:$I$81,9,0)</f>
        <v>3.6</v>
      </c>
      <c r="AH13" s="13">
        <f t="array" ref="AH13">INDEX(AG:AG,MIN(IF(ISNUMBER(AG13:AG209),ROW(AG13:AG209),"")))</f>
        <v>3.6</v>
      </c>
      <c r="AI13" s="14">
        <f>IF('Données projet'!$A$62&gt;35,AI12+AH13-AQ12,IF(A13&lt;'Données projet'!$A$62,$AF$205^A13,IF(A13='Données projet'!$A$62,'Données projet'!$B$62,AI12+AH13-AQ12)))</f>
        <v>36</v>
      </c>
      <c r="AJ13" s="14">
        <f>AI13*VLOOKUP('Données projet'!$B$10,Paramètres!$A$1:$I$88,3,0)*VLOOKUP('Données projet'!$B$10,Paramètres!$A$1:$I$88,5,0)</f>
        <v>19.655999999999999</v>
      </c>
      <c r="AK13" s="14">
        <f t="shared" si="35"/>
        <v>6.4044873715575275</v>
      </c>
      <c r="AL13" s="22">
        <f t="shared" si="4"/>
        <v>45.388682172129364</v>
      </c>
      <c r="AM13" s="62">
        <f t="shared" si="5"/>
        <v>338.72201550546265</v>
      </c>
      <c r="AN13" s="62">
        <f ca="1">AVERAGE(OFFSET($AM$3,0,0,'Données projet'!$E$10+1,1))-AVERAGE(OFFSET($H$3,0,0,'Données projet'!$E$10+1,1))</f>
        <v>210.04871822652808</v>
      </c>
      <c r="AO13" s="62">
        <f t="shared" si="36"/>
        <v>250.17540614049324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6.6</v>
      </c>
      <c r="BD13" s="13">
        <f>IF('Données projet'!$A$88&gt;35,BD12+BC13-BL12,IF(A13&lt;'Données projet'!$A$88,$BA$205^A13,IF(A13='Données projet'!$A$88,'Données projet'!$B$88,BD12+BC13-BL12)))</f>
        <v>11.489125293076063</v>
      </c>
      <c r="BE13" s="14">
        <f>BD13*VLOOKUP('Données projet'!$B$11,Paramètres!$A$1:$I$88,3,0)*VLOOKUP('Données projet'!$B$11,Paramètres!$A$1:$I$88,5,0)</f>
        <v>10.036899856031249</v>
      </c>
      <c r="BF13" s="14">
        <f t="shared" si="37"/>
        <v>3.5364332356333024</v>
      </c>
      <c r="BG13" s="22">
        <f t="shared" si="7"/>
        <v>23.640221801315761</v>
      </c>
      <c r="BH13" s="62">
        <f t="shared" si="8"/>
        <v>316.97355513464908</v>
      </c>
      <c r="BI13" s="62">
        <f ca="1">AVERAGE(OFFSET($BH$3,0,0,'Données projet'!$E$11+1,1))-AVERAGE(OFFSET($H$3,0,0,'Données projet'!$E$11+1,1))</f>
        <v>223.81948236065614</v>
      </c>
      <c r="BJ13" s="62">
        <f t="shared" si="38"/>
        <v>320.1204011431372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20.5</v>
      </c>
      <c r="N14" s="14">
        <f>IF('Données projet'!$A$36&gt;35,N13+M14-V13,IF(A14&lt;'Données projet'!$A$36,$K$205^A14,IF(A14='Données projet'!$A$36,'Données projet'!$B$36,N13+M14-V13)))</f>
        <v>40.5</v>
      </c>
      <c r="O14" s="14">
        <f>N14*VLOOKUP('Données projet'!$B$9,Paramètres!$A$1:$I$88,3,0)*VLOOKUP('Données projet'!$B$9,Paramètres!$A$1:$I$88,5,0)</f>
        <v>22.639499999999998</v>
      </c>
      <c r="P14" s="14">
        <f t="shared" si="33"/>
        <v>7.256252669088437</v>
      </c>
      <c r="Q14" s="22">
        <f t="shared" si="2"/>
        <v>52.068435898662358</v>
      </c>
      <c r="R14" s="62">
        <f t="shared" si="0"/>
        <v>345.40176923199567</v>
      </c>
      <c r="S14" s="62">
        <f ca="1">AVERAGE(OFFSET($R$3,0,0,'Données projet'!$E$9+1,1))-AVERAGE(OFFSET($H$3,0,0,'Données projet'!$E$9+1,1))</f>
        <v>373.16487843768437</v>
      </c>
      <c r="T14" s="62">
        <f t="shared" si="34"/>
        <v>376.53494965377718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14.1</v>
      </c>
      <c r="AI14" s="14">
        <f>IF('Données projet'!$A$62&gt;35,AI13+AH14-AQ13,IF(A14&lt;'Données projet'!$A$62,$AF$205^A14,IF(A14='Données projet'!$A$62,'Données projet'!$B$62,AI13+AH14-AQ13)))</f>
        <v>50.1</v>
      </c>
      <c r="AJ14" s="14">
        <f>AI14*VLOOKUP('Données projet'!$B$10,Paramètres!$A$1:$I$88,3,0)*VLOOKUP('Données projet'!$B$10,Paramètres!$A$1:$I$88,5,0)</f>
        <v>27.354600000000001</v>
      </c>
      <c r="AK14" s="14">
        <f t="shared" si="35"/>
        <v>8.5765396264451574</v>
      </c>
      <c r="AL14" s="22">
        <f t="shared" si="4"/>
        <v>62.580068182725313</v>
      </c>
      <c r="AM14" s="62">
        <f t="shared" si="5"/>
        <v>355.91340151605863</v>
      </c>
      <c r="AN14" s="62">
        <f ca="1">AVERAGE(OFFSET($AM$3,0,0,'Données projet'!$E$10+1,1))-AVERAGE(OFFSET($H$3,0,0,'Données projet'!$E$10+1,1))</f>
        <v>210.04871822652808</v>
      </c>
      <c r="AO14" s="62">
        <f t="shared" si="36"/>
        <v>250.17540614049324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6.6</v>
      </c>
      <c r="BD14" s="13">
        <f>IF('Données projet'!$A$88&gt;35,BD13+BC14-BL13,IF(A14&lt;'Données projet'!$A$88,$BA$205^A14,IF(A14='Données projet'!$A$88,'Données projet'!$B$88,BD13+BC14-BL13)))</f>
        <v>14.666134454850974</v>
      </c>
      <c r="BE14" s="14">
        <f>BD14*VLOOKUP('Données projet'!$B$11,Paramètres!$A$1:$I$88,3,0)*VLOOKUP('Données projet'!$B$11,Paramètres!$A$1:$I$88,5,0)</f>
        <v>12.812335059757812</v>
      </c>
      <c r="BF14" s="14">
        <f t="shared" si="37"/>
        <v>4.3878565375042955</v>
      </c>
      <c r="BG14" s="22">
        <f t="shared" si="7"/>
        <v>29.957000365231504</v>
      </c>
      <c r="BH14" s="62">
        <f t="shared" si="8"/>
        <v>323.29033369856484</v>
      </c>
      <c r="BI14" s="62">
        <f ca="1">AVERAGE(OFFSET($BH$3,0,0,'Données projet'!$E$11+1,1))-AVERAGE(OFFSET($H$3,0,0,'Données projet'!$E$11+1,1))</f>
        <v>223.81948236065614</v>
      </c>
      <c r="BJ14" s="62">
        <f t="shared" si="38"/>
        <v>320.1204011431372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20.5</v>
      </c>
      <c r="N15" s="14">
        <f>IF('Données projet'!$A$36&gt;35,N14+M15-V14,IF(A15&lt;'Données projet'!$A$36,$K$205^A15,IF(A15='Données projet'!$A$36,'Données projet'!$B$36,N14+M15-V14)))</f>
        <v>61</v>
      </c>
      <c r="O15" s="14">
        <f>N15*VLOOKUP('Données projet'!$B$9,Paramètres!$A$1:$I$88,3,0)*VLOOKUP('Données projet'!$B$9,Paramètres!$A$1:$I$88,5,0)</f>
        <v>34.099000000000004</v>
      </c>
      <c r="P15" s="14">
        <f t="shared" si="33"/>
        <v>10.420356578808908</v>
      </c>
      <c r="Q15" s="22">
        <f t="shared" si="2"/>
        <v>77.537879374758845</v>
      </c>
      <c r="R15" s="62">
        <f t="shared" si="0"/>
        <v>370.87121270809217</v>
      </c>
      <c r="S15" s="62">
        <f ca="1">AVERAGE(OFFSET($R$3,0,0,'Données projet'!$E$9+1,1))-AVERAGE(OFFSET($H$3,0,0,'Données projet'!$E$9+1,1))</f>
        <v>373.16487843768437</v>
      </c>
      <c r="T15" s="62">
        <f t="shared" si="34"/>
        <v>376.53494965377718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14.1</v>
      </c>
      <c r="AI15" s="14">
        <f>IF('Données projet'!$A$62&gt;35,AI14+AH15-AQ14,IF(A15&lt;'Données projet'!$A$62,$AF$205^A15,IF(A15='Données projet'!$A$62,'Données projet'!$B$62,AI14+AH15-AQ14)))</f>
        <v>64.2</v>
      </c>
      <c r="AJ15" s="14">
        <f>AI15*VLOOKUP('Données projet'!$B$10,Paramètres!$A$1:$I$88,3,0)*VLOOKUP('Données projet'!$B$10,Paramètres!$A$1:$I$88,5,0)</f>
        <v>35.053199999999997</v>
      </c>
      <c r="AK15" s="14">
        <f t="shared" si="35"/>
        <v>10.677594770675379</v>
      </c>
      <c r="AL15" s="22">
        <f t="shared" si="4"/>
        <v>79.64780089225961</v>
      </c>
      <c r="AM15" s="62">
        <f t="shared" si="5"/>
        <v>372.98113422559294</v>
      </c>
      <c r="AN15" s="62">
        <f ca="1">AVERAGE(OFFSET($AM$3,0,0,'Données projet'!$E$10+1,1))-AVERAGE(OFFSET($H$3,0,0,'Données projet'!$E$10+1,1))</f>
        <v>210.04871822652808</v>
      </c>
      <c r="AO15" s="62">
        <f t="shared" si="36"/>
        <v>250.17540614049324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6.6</v>
      </c>
      <c r="BD15" s="13">
        <f>IF('Données projet'!$A$88&gt;35,BD14+BC15-BL14,IF(A15&lt;'Données projet'!$A$88,$BA$205^A15,IF(A15='Données projet'!$A$88,'Données projet'!$B$88,BD14+BC15-BL14)))</f>
        <v>18.721660210059202</v>
      </c>
      <c r="BE15" s="14">
        <f>BD15*VLOOKUP('Données projet'!$B$11,Paramètres!$A$1:$I$88,3,0)*VLOOKUP('Données projet'!$B$11,Paramètres!$A$1:$I$88,5,0)</f>
        <v>16.35524235950772</v>
      </c>
      <c r="BF15" s="14">
        <f t="shared" si="37"/>
        <v>5.4442664998513175</v>
      </c>
      <c r="BG15" s="22">
        <f t="shared" si="7"/>
        <v>37.967477930050322</v>
      </c>
      <c r="BH15" s="62">
        <f t="shared" si="8"/>
        <v>331.30081126338365</v>
      </c>
      <c r="BI15" s="62">
        <f ca="1">AVERAGE(OFFSET($BH$3,0,0,'Données projet'!$E$11+1,1))-AVERAGE(OFFSET($H$3,0,0,'Données projet'!$E$11+1,1))</f>
        <v>223.81948236065614</v>
      </c>
      <c r="BJ15" s="62">
        <f t="shared" si="38"/>
        <v>320.1204011431372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20.5</v>
      </c>
      <c r="N16" s="14">
        <f>IF('Données projet'!$A$36&gt;35,N15+M16-V15,IF(A16&lt;'Données projet'!$A$36,$K$205^A16,IF(A16='Données projet'!$A$36,'Données projet'!$B$36,N15+M16-V15)))</f>
        <v>81.5</v>
      </c>
      <c r="O16" s="14">
        <f>N16*VLOOKUP('Données projet'!$B$9,Paramètres!$A$1:$I$88,3,0)*VLOOKUP('Données projet'!$B$9,Paramètres!$A$1:$I$88,5,0)</f>
        <v>45.558500000000002</v>
      </c>
      <c r="P16" s="14">
        <f t="shared" si="33"/>
        <v>13.460587063228258</v>
      </c>
      <c r="Q16" s="22">
        <f t="shared" si="2"/>
        <v>102.79157663512255</v>
      </c>
      <c r="R16" s="62">
        <f t="shared" si="0"/>
        <v>396.12490996845588</v>
      </c>
      <c r="S16" s="62">
        <f ca="1">AVERAGE(OFFSET($R$3,0,0,'Données projet'!$E$9+1,1))-AVERAGE(OFFSET($H$3,0,0,'Données projet'!$E$9+1,1))</f>
        <v>373.16487843768437</v>
      </c>
      <c r="T16" s="62">
        <f t="shared" si="34"/>
        <v>376.53494965377718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14.1</v>
      </c>
      <c r="AI16" s="14">
        <f>IF('Données projet'!$A$62&gt;35,AI15+AH16-AQ15,IF(A16&lt;'Données projet'!$A$62,$AF$205^A16,IF(A16='Données projet'!$A$62,'Données projet'!$B$62,AI15+AH16-AQ15)))</f>
        <v>78.3</v>
      </c>
      <c r="AJ16" s="14">
        <f>AI16*VLOOKUP('Données projet'!$B$10,Paramètres!$A$1:$I$88,3,0)*VLOOKUP('Données projet'!$B$10,Paramètres!$A$1:$I$88,5,0)</f>
        <v>42.751799999999996</v>
      </c>
      <c r="AK16" s="14">
        <f t="shared" si="35"/>
        <v>12.725163670396148</v>
      </c>
      <c r="AL16" s="22">
        <f t="shared" si="4"/>
        <v>96.622378392606606</v>
      </c>
      <c r="AM16" s="62">
        <f t="shared" si="5"/>
        <v>389.95571172593992</v>
      </c>
      <c r="AN16" s="62">
        <f ca="1">AVERAGE(OFFSET($AM$3,0,0,'Données projet'!$E$10+1,1))-AVERAGE(OFFSET($H$3,0,0,'Données projet'!$E$10+1,1))</f>
        <v>210.04871822652808</v>
      </c>
      <c r="AO16" s="62">
        <f t="shared" si="36"/>
        <v>250.17540614049324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6.6</v>
      </c>
      <c r="BD16" s="13">
        <f>IF('Données projet'!$A$88&gt;35,BD15+BC16-BL15,IF(A16&lt;'Données projet'!$A$88,$BA$205^A16,IF(A16='Données projet'!$A$88,'Données projet'!$B$88,BD15+BC16-BL15)))</f>
        <v>23.89863273788427</v>
      </c>
      <c r="BE16" s="14">
        <f>BD16*VLOOKUP('Données projet'!$B$11,Paramètres!$A$1:$I$88,3,0)*VLOOKUP('Données projet'!$B$11,Paramètres!$A$1:$I$88,5,0)</f>
        <v>20.8778455598157</v>
      </c>
      <c r="BF16" s="14">
        <f t="shared" si="37"/>
        <v>6.7550152262411558</v>
      </c>
      <c r="BG16" s="22">
        <f t="shared" si="7"/>
        <v>48.127232535715684</v>
      </c>
      <c r="BH16" s="62">
        <f t="shared" si="8"/>
        <v>341.46056586904899</v>
      </c>
      <c r="BI16" s="62">
        <f ca="1">AVERAGE(OFFSET($BH$3,0,0,'Données projet'!$E$11+1,1))-AVERAGE(OFFSET($H$3,0,0,'Données projet'!$E$11+1,1))</f>
        <v>223.81948236065614</v>
      </c>
      <c r="BJ16" s="62">
        <f t="shared" si="38"/>
        <v>320.1204011431372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20.5</v>
      </c>
      <c r="N17" s="14">
        <f>IF('Données projet'!$A$36&gt;35,N16+M17-V16,IF(A17&lt;'Données projet'!$A$36,$K$205^A17,IF(A17='Données projet'!$A$36,'Données projet'!$B$36,N16+M17-V16)))</f>
        <v>102</v>
      </c>
      <c r="O17" s="14">
        <f>N17*VLOOKUP('Données projet'!$B$9,Paramètres!$A$1:$I$88,3,0)*VLOOKUP('Données projet'!$B$9,Paramètres!$A$1:$I$88,5,0)</f>
        <v>57.018000000000001</v>
      </c>
      <c r="P17" s="14">
        <f t="shared" si="33"/>
        <v>16.412103612717626</v>
      </c>
      <c r="Q17" s="22">
        <f t="shared" si="2"/>
        <v>127.89076379214985</v>
      </c>
      <c r="R17" s="62">
        <f t="shared" si="0"/>
        <v>421.22409712548318</v>
      </c>
      <c r="S17" s="62">
        <f ca="1">AVERAGE(OFFSET($R$3,0,0,'Données projet'!$E$9+1,1))-AVERAGE(OFFSET($H$3,0,0,'Données projet'!$E$9+1,1))</f>
        <v>373.16487843768437</v>
      </c>
      <c r="T17" s="62">
        <f t="shared" si="34"/>
        <v>376.53494965377718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14.1</v>
      </c>
      <c r="AI17" s="14">
        <f>IF('Données projet'!$A$62&gt;35,AI16+AH17-AQ16,IF(A17&lt;'Données projet'!$A$62,$AF$205^A17,IF(A17='Données projet'!$A$62,'Données projet'!$B$62,AI16+AH17-AQ16)))</f>
        <v>92.399999999999991</v>
      </c>
      <c r="AJ17" s="14">
        <f>AI17*VLOOKUP('Données projet'!$B$10,Paramètres!$A$1:$I$88,3,0)*VLOOKUP('Données projet'!$B$10,Paramètres!$A$1:$I$88,5,0)</f>
        <v>50.450399999999995</v>
      </c>
      <c r="AK17" s="14">
        <f t="shared" si="35"/>
        <v>14.730016649594965</v>
      </c>
      <c r="AL17" s="22">
        <f t="shared" si="4"/>
        <v>113.52255899804454</v>
      </c>
      <c r="AM17" s="62">
        <f t="shared" si="5"/>
        <v>406.85589233137785</v>
      </c>
      <c r="AN17" s="62">
        <f ca="1">AVERAGE(OFFSET($AM$3,0,0,'Données projet'!$E$10+1,1))-AVERAGE(OFFSET($H$3,0,0,'Données projet'!$E$10+1,1))</f>
        <v>210.04871822652808</v>
      </c>
      <c r="AO17" s="62">
        <f t="shared" si="36"/>
        <v>250.17540614049324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6.6</v>
      </c>
      <c r="BD17" s="13">
        <f>IF('Données projet'!$A$88&gt;35,BD16+BC17-BL16,IF(A17&lt;'Données projet'!$A$88,$BA$205^A17,IF(A17='Données projet'!$A$88,'Données projet'!$B$88,BD16+BC17-BL16)))</f>
        <v>30.50715803683886</v>
      </c>
      <c r="BE17" s="14">
        <f>BD17*VLOOKUP('Données projet'!$B$11,Paramètres!$A$1:$I$88,3,0)*VLOOKUP('Données projet'!$B$11,Paramètres!$A$1:$I$88,5,0)</f>
        <v>26.651053260982433</v>
      </c>
      <c r="BF17" s="14">
        <f t="shared" si="37"/>
        <v>8.3813367159737684</v>
      </c>
      <c r="BG17" s="22">
        <f t="shared" si="7"/>
        <v>61.014745876532061</v>
      </c>
      <c r="BH17" s="62">
        <f t="shared" si="8"/>
        <v>354.34807920986538</v>
      </c>
      <c r="BI17" s="62">
        <f ca="1">AVERAGE(OFFSET($BH$3,0,0,'Données projet'!$E$11+1,1))-AVERAGE(OFFSET($H$3,0,0,'Données projet'!$E$11+1,1))</f>
        <v>223.81948236065614</v>
      </c>
      <c r="BJ17" s="62">
        <f t="shared" si="38"/>
        <v>320.1204011431372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20.5</v>
      </c>
      <c r="N18" s="14">
        <f>IF('Données projet'!$A$36&gt;35,N17+M18-V17,IF(A18&lt;'Données projet'!$A$36,$K$205^A18,IF(A18='Données projet'!$A$36,'Données projet'!$B$36,N17+M18-V17)))</f>
        <v>122.5</v>
      </c>
      <c r="O18" s="14">
        <f>N18*VLOOKUP('Données projet'!$B$9,Paramètres!$A$1:$I$88,3,0)*VLOOKUP('Données projet'!$B$9,Paramètres!$A$1:$I$88,5,0)</f>
        <v>68.477499999999992</v>
      </c>
      <c r="P18" s="14">
        <f t="shared" si="33"/>
        <v>19.294884637010156</v>
      </c>
      <c r="Q18" s="22">
        <f t="shared" si="2"/>
        <v>152.87023657612599</v>
      </c>
      <c r="R18" s="62">
        <f t="shared" si="0"/>
        <v>446.2035699094593</v>
      </c>
      <c r="S18" s="62">
        <f ca="1">AVERAGE(OFFSET($R$3,0,0,'Données projet'!$E$9+1,1))-AVERAGE(OFFSET($H$3,0,0,'Données projet'!$E$9+1,1))</f>
        <v>373.16487843768437</v>
      </c>
      <c r="T18" s="62">
        <f t="shared" si="34"/>
        <v>376.53494965377718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14.1</v>
      </c>
      <c r="AI18" s="14">
        <f>IF('Données projet'!$A$62&gt;35,AI17+AH18-AQ17,IF(A18&lt;'Données projet'!$A$62,$AF$205^A18,IF(A18='Données projet'!$A$62,'Données projet'!$B$62,AI17+AH18-AQ17)))</f>
        <v>106.49999999999999</v>
      </c>
      <c r="AJ18" s="14">
        <f>AI18*VLOOKUP('Données projet'!$B$10,Paramètres!$A$1:$I$88,3,0)*VLOOKUP('Données projet'!$B$10,Paramètres!$A$1:$I$88,5,0)</f>
        <v>58.148999999999987</v>
      </c>
      <c r="AK18" s="14">
        <f t="shared" si="35"/>
        <v>16.699428066773574</v>
      </c>
      <c r="AL18" s="22">
        <f t="shared" si="4"/>
        <v>130.36101221629727</v>
      </c>
      <c r="AM18" s="62">
        <f t="shared" si="5"/>
        <v>423.69434554963061</v>
      </c>
      <c r="AN18" s="62">
        <f ca="1">AVERAGE(OFFSET($AM$3,0,0,'Données projet'!$E$10+1,1))-AVERAGE(OFFSET($H$3,0,0,'Données projet'!$E$10+1,1))</f>
        <v>210.04871822652808</v>
      </c>
      <c r="AO18" s="62">
        <f t="shared" si="36"/>
        <v>250.17540614049324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6.6</v>
      </c>
      <c r="BD18" s="13">
        <f>IF('Données projet'!$A$88&gt;35,BD17+BC18-BL17,IF(A18&lt;'Données projet'!$A$88,$BA$205^A18,IF(A18='Données projet'!$A$88,'Données projet'!$B$88,BD17+BC18-BL17)))</f>
        <v>38.943093594192561</v>
      </c>
      <c r="BE18" s="14">
        <f>BD18*VLOOKUP('Données projet'!$B$11,Paramètres!$A$1:$I$88,3,0)*VLOOKUP('Données projet'!$B$11,Paramètres!$A$1:$I$88,5,0)</f>
        <v>34.02068656388662</v>
      </c>
      <c r="BF18" s="14">
        <f t="shared" si="37"/>
        <v>10.399207521197393</v>
      </c>
      <c r="BG18" s="22">
        <f t="shared" si="7"/>
        <v>77.364648864854644</v>
      </c>
      <c r="BH18" s="62">
        <f t="shared" si="8"/>
        <v>370.69798219818796</v>
      </c>
      <c r="BI18" s="62">
        <f ca="1">AVERAGE(OFFSET($BH$3,0,0,'Données projet'!$E$11+1,1))-AVERAGE(OFFSET($H$3,0,0,'Données projet'!$E$11+1,1))</f>
        <v>223.81948236065614</v>
      </c>
      <c r="BJ18" s="62">
        <f t="shared" si="38"/>
        <v>320.1204011431372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20.5</v>
      </c>
      <c r="N19" s="14">
        <f>IF('Données projet'!$A$36&gt;35,N18+M19-V18,IF(A19&lt;'Données projet'!$A$36,$K$205^A19,IF(A19='Données projet'!$A$36,'Données projet'!$B$36,N18+M19-V18)))</f>
        <v>143</v>
      </c>
      <c r="O19" s="14">
        <f>N19*VLOOKUP('Données projet'!$B$9,Paramètres!$A$1:$I$88,3,0)*VLOOKUP('Données projet'!$B$9,Paramètres!$A$1:$I$88,5,0)</f>
        <v>79.937000000000012</v>
      </c>
      <c r="P19" s="14">
        <f t="shared" si="33"/>
        <v>22.121779594940268</v>
      </c>
      <c r="Q19" s="22">
        <f t="shared" si="2"/>
        <v>177.75237446118763</v>
      </c>
      <c r="R19" s="62">
        <f t="shared" si="0"/>
        <v>471.08570779452094</v>
      </c>
      <c r="S19" s="62">
        <f ca="1">AVERAGE(OFFSET($R$3,0,0,'Données projet'!$E$9+1,1))-AVERAGE(OFFSET($H$3,0,0,'Données projet'!$E$9+1,1))</f>
        <v>373.16487843768437</v>
      </c>
      <c r="T19" s="62">
        <f t="shared" si="34"/>
        <v>376.53494965377718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14.1</v>
      </c>
      <c r="AI19" s="14">
        <f>IF('Données projet'!$A$62&gt;35,AI18+AH19-AQ18,IF(A19&lt;'Données projet'!$A$62,$AF$205^A19,IF(A19='Données projet'!$A$62,'Données projet'!$B$62,AI18+AH19-AQ18)))</f>
        <v>120.59999999999998</v>
      </c>
      <c r="AJ19" s="14">
        <f>AI19*VLOOKUP('Données projet'!$B$10,Paramètres!$A$1:$I$88,3,0)*VLOOKUP('Données projet'!$B$10,Paramètres!$A$1:$I$88,5,0)</f>
        <v>65.847599999999986</v>
      </c>
      <c r="AK19" s="14">
        <f t="shared" si="35"/>
        <v>18.63862905611526</v>
      </c>
      <c r="AL19" s="22">
        <f t="shared" si="4"/>
        <v>147.14684893940071</v>
      </c>
      <c r="AM19" s="62">
        <f t="shared" si="5"/>
        <v>440.48018227273406</v>
      </c>
      <c r="AN19" s="62">
        <f ca="1">AVERAGE(OFFSET($AM$3,0,0,'Données projet'!$E$10+1,1))-AVERAGE(OFFSET($H$3,0,0,'Données projet'!$E$10+1,1))</f>
        <v>210.04871822652808</v>
      </c>
      <c r="AO19" s="62">
        <f t="shared" si="36"/>
        <v>250.17540614049324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6.6</v>
      </c>
      <c r="BD19" s="13">
        <f>IF('Données projet'!$A$88&gt;35,BD18+BC19-BL18,IF(A19&lt;'Données projet'!$A$88,$BA$205^A19,IF(A19='Données projet'!$A$88,'Données projet'!$B$88,BD18+BC19-BL18)))</f>
        <v>49.711760658095955</v>
      </c>
      <c r="BE19" s="14">
        <f>BD19*VLOOKUP('Données projet'!$B$11,Paramètres!$A$1:$I$88,3,0)*VLOOKUP('Données projet'!$B$11,Paramètres!$A$1:$I$88,5,0)</f>
        <v>43.428194110912635</v>
      </c>
      <c r="BF19" s="14">
        <f t="shared" si="37"/>
        <v>12.902896129065022</v>
      </c>
      <c r="BG19" s="22">
        <f t="shared" si="7"/>
        <v>98.109982167961064</v>
      </c>
      <c r="BH19" s="62">
        <f t="shared" si="8"/>
        <v>391.44331550129436</v>
      </c>
      <c r="BI19" s="62">
        <f ca="1">AVERAGE(OFFSET($BH$3,0,0,'Données projet'!$E$11+1,1))-AVERAGE(OFFSET($H$3,0,0,'Données projet'!$E$11+1,1))</f>
        <v>223.81948236065614</v>
      </c>
      <c r="BJ19" s="62">
        <f t="shared" si="38"/>
        <v>320.1204011431372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20.5</v>
      </c>
      <c r="N20" s="14">
        <f>IF('Données projet'!$A$36&gt;35,N19+M20-V19,IF(A20&lt;'Données projet'!$A$36,$K$205^A20,IF(A20='Données projet'!$A$36,'Données projet'!$B$36,N19+M20-V19)))</f>
        <v>163.5</v>
      </c>
      <c r="O20" s="14">
        <f>N20*VLOOKUP('Données projet'!$B$9,Paramètres!$A$1:$I$88,3,0)*VLOOKUP('Données projet'!$B$9,Paramètres!$A$1:$I$88,5,0)</f>
        <v>91.396499999999989</v>
      </c>
      <c r="P20" s="14">
        <f t="shared" si="33"/>
        <v>24.901724752320654</v>
      </c>
      <c r="Q20" s="22">
        <f t="shared" si="2"/>
        <v>202.55274144362511</v>
      </c>
      <c r="R20" s="62">
        <f t="shared" si="0"/>
        <v>495.88607477695842</v>
      </c>
      <c r="S20" s="62">
        <f ca="1">AVERAGE(OFFSET($R$3,0,0,'Données projet'!$E$9+1,1))-AVERAGE(OFFSET($H$3,0,0,'Données projet'!$E$9+1,1))</f>
        <v>373.16487843768437</v>
      </c>
      <c r="T20" s="62">
        <f t="shared" si="34"/>
        <v>376.53494965377718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14.1</v>
      </c>
      <c r="AI20" s="14">
        <f>IF('Données projet'!$A$62&gt;35,AI19+AH20-AQ19,IF(A20&lt;'Données projet'!$A$62,$AF$205^A20,IF(A20='Données projet'!$A$62,'Données projet'!$B$62,AI19+AH20-AQ19)))</f>
        <v>134.69999999999999</v>
      </c>
      <c r="AJ20" s="14">
        <f>AI20*VLOOKUP('Données projet'!$B$10,Paramètres!$A$1:$I$88,3,0)*VLOOKUP('Données projet'!$B$10,Paramètres!$A$1:$I$88,5,0)</f>
        <v>73.546199999999985</v>
      </c>
      <c r="AK20" s="14">
        <f t="shared" si="35"/>
        <v>20.551555184696866</v>
      </c>
      <c r="AL20" s="22">
        <f t="shared" si="4"/>
        <v>163.88692361334699</v>
      </c>
      <c r="AM20" s="62">
        <f t="shared" si="5"/>
        <v>457.22025694668031</v>
      </c>
      <c r="AN20" s="62">
        <f ca="1">AVERAGE(OFFSET($AM$3,0,0,'Données projet'!$E$10+1,1))-AVERAGE(OFFSET($H$3,0,0,'Données projet'!$E$10+1,1))</f>
        <v>210.04871822652808</v>
      </c>
      <c r="AO20" s="62">
        <f t="shared" si="36"/>
        <v>250.17540614049324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6.6</v>
      </c>
      <c r="BD20" s="13">
        <f>IF('Données projet'!$A$88&gt;35,BD19+BC20-BL19,IF(A20&lt;'Données projet'!$A$88,$BA$205^A20,IF(A20='Données projet'!$A$88,'Données projet'!$B$88,BD19+BC20-BL19)))</f>
        <v>63.458213501978861</v>
      </c>
      <c r="BE20" s="14">
        <f>BD20*VLOOKUP('Données projet'!$B$11,Paramètres!$A$1:$I$88,3,0)*VLOOKUP('Données projet'!$B$11,Paramètres!$A$1:$I$88,5,0)</f>
        <v>55.437095315328747</v>
      </c>
      <c r="BF20" s="14">
        <f t="shared" si="37"/>
        <v>16.009366884744278</v>
      </c>
      <c r="BG20" s="22">
        <f t="shared" si="7"/>
        <v>124.4359216651272</v>
      </c>
      <c r="BH20" s="62">
        <f t="shared" si="8"/>
        <v>417.7692549984605</v>
      </c>
      <c r="BI20" s="62">
        <f ca="1">AVERAGE(OFFSET($BH$3,0,0,'Données projet'!$E$11+1,1))-AVERAGE(OFFSET($H$3,0,0,'Données projet'!$E$11+1,1))</f>
        <v>223.81948236065614</v>
      </c>
      <c r="BJ20" s="62">
        <f t="shared" si="38"/>
        <v>320.1204011431372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20.5</v>
      </c>
      <c r="N21" s="14">
        <f>IF('Données projet'!$A$36&gt;35,N20+M21-V20,IF(A21&lt;'Données projet'!$A$36,$K$205^A21,IF(A21='Données projet'!$A$36,'Données projet'!$B$36,N20+M21-V20)))</f>
        <v>184</v>
      </c>
      <c r="O21" s="14">
        <f>N21*VLOOKUP('Données projet'!$B$9,Paramètres!$A$1:$I$88,3,0)*VLOOKUP('Données projet'!$B$9,Paramètres!$A$1:$I$88,5,0)</f>
        <v>102.85600000000001</v>
      </c>
      <c r="P21" s="14">
        <f t="shared" si="33"/>
        <v>27.641281046809258</v>
      </c>
      <c r="Q21" s="22">
        <f t="shared" si="2"/>
        <v>227.28276448985946</v>
      </c>
      <c r="R21" s="62">
        <f t="shared" si="0"/>
        <v>520.61609782319283</v>
      </c>
      <c r="S21" s="62">
        <f ca="1">AVERAGE(OFFSET($R$3,0,0,'Données projet'!$E$9+1,1))-AVERAGE(OFFSET($H$3,0,0,'Données projet'!$E$9+1,1))</f>
        <v>373.16487843768437</v>
      </c>
      <c r="T21" s="62">
        <f t="shared" si="34"/>
        <v>376.53494965377718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14.1</v>
      </c>
      <c r="AI21" s="14">
        <f>IF('Données projet'!$A$62&gt;35,AI20+AH21-AQ20,IF(A21&lt;'Données projet'!$A$62,$AF$205^A21,IF(A21='Données projet'!$A$62,'Données projet'!$B$62,AI20+AH21-AQ20)))</f>
        <v>148.79999999999998</v>
      </c>
      <c r="AJ21" s="14">
        <f>AI21*VLOOKUP('Données projet'!$B$10,Paramètres!$A$1:$I$88,3,0)*VLOOKUP('Données projet'!$B$10,Paramètres!$A$1:$I$88,5,0)</f>
        <v>81.244799999999984</v>
      </c>
      <c r="AK21" s="14">
        <f t="shared" si="35"/>
        <v>22.441270156928962</v>
      </c>
      <c r="AL21" s="22">
        <f t="shared" si="4"/>
        <v>180.58657218998459</v>
      </c>
      <c r="AM21" s="62">
        <f t="shared" si="5"/>
        <v>473.91990552331788</v>
      </c>
      <c r="AN21" s="62">
        <f ca="1">AVERAGE(OFFSET($AM$3,0,0,'Données projet'!$E$10+1,1))-AVERAGE(OFFSET($H$3,0,0,'Données projet'!$E$10+1,1))</f>
        <v>210.04871822652808</v>
      </c>
      <c r="AO21" s="62">
        <f t="shared" si="36"/>
        <v>250.17540614049324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6.6</v>
      </c>
      <c r="BD21" s="13">
        <f>IF('Données projet'!$A$88&gt;35,BD20+BC21-BL20,IF(A21&lt;'Données projet'!$A$88,$BA$205^A21,IF(A21='Données projet'!$A$88,'Données projet'!$B$88,BD20+BC21-BL20)))</f>
        <v>81.005878841406769</v>
      </c>
      <c r="BE21" s="14">
        <f>BD21*VLOOKUP('Données projet'!$B$11,Paramètres!$A$1:$I$88,3,0)*VLOOKUP('Données projet'!$B$11,Paramètres!$A$1:$I$88,5,0)</f>
        <v>70.766735755852963</v>
      </c>
      <c r="BF21" s="14">
        <f t="shared" si="37"/>
        <v>19.863744192515547</v>
      </c>
      <c r="BG21" s="22">
        <f t="shared" si="7"/>
        <v>157.84808591007513</v>
      </c>
      <c r="BH21" s="62">
        <f t="shared" si="8"/>
        <v>451.18141924340841</v>
      </c>
      <c r="BI21" s="62">
        <f ca="1">AVERAGE(OFFSET($BH$3,0,0,'Données projet'!$E$11+1,1))-AVERAGE(OFFSET($H$3,0,0,'Données projet'!$E$11+1,1))</f>
        <v>223.81948236065614</v>
      </c>
      <c r="BJ21" s="62">
        <f t="shared" si="38"/>
        <v>320.1204011431372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20.5</v>
      </c>
      <c r="N22" s="14">
        <f>IF('Données projet'!$A$36&gt;35,N21+M22-V21,IF(A22&lt;'Données projet'!$A$36,$K$205^A22,IF(A22='Données projet'!$A$36,'Données projet'!$B$36,N21+M22-V21)))</f>
        <v>204.5</v>
      </c>
      <c r="O22" s="14">
        <f>N22*VLOOKUP('Données projet'!$B$9,Paramètres!$A$1:$I$88,3,0)*VLOOKUP('Données projet'!$B$9,Paramètres!$A$1:$I$88,5,0)</f>
        <v>114.3155</v>
      </c>
      <c r="P22" s="14">
        <f t="shared" si="33"/>
        <v>30.345461666881647</v>
      </c>
      <c r="Q22" s="22">
        <f t="shared" si="2"/>
        <v>251.95117490315215</v>
      </c>
      <c r="R22" s="62">
        <f t="shared" si="0"/>
        <v>545.28450823648541</v>
      </c>
      <c r="S22" s="62">
        <f ca="1">AVERAGE(OFFSET($R$3,0,0,'Données projet'!$E$9+1,1))-AVERAGE(OFFSET($H$3,0,0,'Données projet'!$E$9+1,1))</f>
        <v>373.16487843768437</v>
      </c>
      <c r="T22" s="62">
        <f t="shared" si="34"/>
        <v>376.53494965377718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14.1</v>
      </c>
      <c r="AI22" s="14">
        <f>IF('Données projet'!$A$62&gt;35,AI21+AH22-AQ21,IF(A22&lt;'Données projet'!$A$62,$AF$205^A22,IF(A22='Données projet'!$A$62,'Données projet'!$B$62,AI21+AH22-AQ21)))</f>
        <v>162.89999999999998</v>
      </c>
      <c r="AJ22" s="14">
        <f>AI22*VLOOKUP('Données projet'!$B$10,Paramètres!$A$1:$I$88,3,0)*VLOOKUP('Données projet'!$B$10,Paramètres!$A$1:$I$88,5,0)</f>
        <v>88.943399999999997</v>
      </c>
      <c r="AK22" s="14">
        <f t="shared" si="35"/>
        <v>24.310223636565393</v>
      </c>
      <c r="AL22" s="22">
        <f t="shared" si="4"/>
        <v>197.25006116701806</v>
      </c>
      <c r="AM22" s="62">
        <f t="shared" si="5"/>
        <v>490.58339450035135</v>
      </c>
      <c r="AN22" s="62">
        <f ca="1">AVERAGE(OFFSET($AM$3,0,0,'Données projet'!$E$10+1,1))-AVERAGE(OFFSET($H$3,0,0,'Données projet'!$E$10+1,1))</f>
        <v>210.04871822652808</v>
      </c>
      <c r="AO22" s="62">
        <f t="shared" si="36"/>
        <v>250.17540614049324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6.6</v>
      </c>
      <c r="BD22" s="13">
        <f>IF('Données projet'!$A$88&gt;35,BD21+BC22-BL21,IF(A22&lt;'Données projet'!$A$88,$BA$205^A22,IF(A22='Données projet'!$A$88,'Données projet'!$B$88,BD21+BC22-BL21)))</f>
        <v>103.40587994435182</v>
      </c>
      <c r="BE22" s="14">
        <f>BD22*VLOOKUP('Données projet'!$B$11,Paramètres!$A$1:$I$88,3,0)*VLOOKUP('Données projet'!$B$11,Paramètres!$A$1:$I$88,5,0)</f>
        <v>90.335376719385764</v>
      </c>
      <c r="BF22" s="14">
        <f t="shared" si="37"/>
        <v>24.646092265003244</v>
      </c>
      <c r="BG22" s="22">
        <f t="shared" si="7"/>
        <v>200.25939181447754</v>
      </c>
      <c r="BH22" s="62">
        <f t="shared" si="8"/>
        <v>493.59272514781082</v>
      </c>
      <c r="BI22" s="62">
        <f ca="1">AVERAGE(OFFSET($BH$3,0,0,'Données projet'!$E$11+1,1))-AVERAGE(OFFSET($H$3,0,0,'Données projet'!$E$11+1,1))</f>
        <v>223.81948236065614</v>
      </c>
      <c r="BJ22" s="62">
        <f t="shared" si="38"/>
        <v>320.1204011431372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225</v>
      </c>
      <c r="L23" s="13">
        <f>VLOOKUP(A23,'Données projet'!$A$35:$I$55,9,0)</f>
        <v>20.5</v>
      </c>
      <c r="M23" s="13">
        <f t="array" ref="M23">INDEX(L:L,MIN(IF(ISNUMBER(L23:L219),ROW(L23:L219),"")))</f>
        <v>20.5</v>
      </c>
      <c r="N23" s="14">
        <f>IF('Données projet'!$A$36&gt;35,N22+M23-V22,IF(A23&lt;'Données projet'!$A$36,$K$205^A23,IF(A23='Données projet'!$A$36,'Données projet'!$B$36,N22+M23-V22)))</f>
        <v>225</v>
      </c>
      <c r="O23" s="14">
        <f>N23*VLOOKUP('Données projet'!$B$9,Paramètres!$A$1:$I$88,3,0)*VLOOKUP('Données projet'!$B$9,Paramètres!$A$1:$I$88,5,0)</f>
        <v>125.77500000000001</v>
      </c>
      <c r="P23" s="14">
        <f t="shared" si="33"/>
        <v>33.018216534516455</v>
      </c>
      <c r="Q23" s="22">
        <f t="shared" si="2"/>
        <v>276.56485213094948</v>
      </c>
      <c r="R23" s="62">
        <f t="shared" si="0"/>
        <v>569.89818546428273</v>
      </c>
      <c r="S23" s="62">
        <f ca="1">AVERAGE(OFFSET($R$3,0,0,'Données projet'!$E$9+1,1))-AVERAGE(OFFSET($H$3,0,0,'Données projet'!$E$9+1,1))</f>
        <v>373.16487843768437</v>
      </c>
      <c r="T23" s="62">
        <f t="shared" si="34"/>
        <v>376.53494965377718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114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0.27500000000000002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23.156043212261267</v>
      </c>
      <c r="AB23" s="23">
        <f>EXP(-LN(2)/2)*AB22+(1-EXP(-LN(2)/2))/(LN(2)/2)*V23*Y23*VLOOKUP('Données projet'!$B$9,Paramètres!$A$1:$I$88,3,0)*0.475*44/12</f>
        <v>36.076317696085781</v>
      </c>
      <c r="AC23" s="24">
        <f t="shared" si="3"/>
        <v>59.232360908347047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177</v>
      </c>
      <c r="AG23" s="13">
        <f>VLOOKUP(A23,'Données projet'!$A$61:$I$81,9,0)</f>
        <v>14.1</v>
      </c>
      <c r="AH23" s="13">
        <f t="array" ref="AH23">INDEX(AG:AG,MIN(IF(ISNUMBER(AG23:AG219),ROW(AG23:AG219),"")))</f>
        <v>14.1</v>
      </c>
      <c r="AI23" s="14">
        <f>IF('Données projet'!$A$62&gt;35,AI22+AH23-AQ22,IF(A23&lt;'Données projet'!$A$62,$AF$205^A23,IF(A23='Données projet'!$A$62,'Données projet'!$B$62,AI22+AH23-AQ22)))</f>
        <v>176.99999999999997</v>
      </c>
      <c r="AJ23" s="14">
        <f>AI23*VLOOKUP('Données projet'!$B$10,Paramètres!$A$1:$I$88,3,0)*VLOOKUP('Données projet'!$B$10,Paramètres!$A$1:$I$88,5,0)</f>
        <v>96.641999999999996</v>
      </c>
      <c r="AK23" s="14">
        <f t="shared" si="35"/>
        <v>26.160416982548217</v>
      </c>
      <c r="AL23" s="22">
        <f t="shared" si="4"/>
        <v>213.88087624460479</v>
      </c>
      <c r="AM23" s="62">
        <f t="shared" si="5"/>
        <v>507.21420957793811</v>
      </c>
      <c r="AN23" s="62">
        <f ca="1">AVERAGE(OFFSET($AM$3,0,0,'Données projet'!$E$10+1,1))-AVERAGE(OFFSET($H$3,0,0,'Données projet'!$E$10+1,1))</f>
        <v>210.04871822652808</v>
      </c>
      <c r="AO23" s="62">
        <f t="shared" si="36"/>
        <v>250.17540614049324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81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0.3</v>
      </c>
      <c r="AT23" s="17">
        <f>IF(ISNA(VLOOKUP(A23,'Données projet'!$A$61:$I$81,7,0)),0%,VLOOKUP(A23,'Données projet'!$A$61:$I$81,7,0))</f>
        <v>0.5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17.531291645290491</v>
      </c>
      <c r="AW23" s="23">
        <f>EXP(-LN(2)/2)*AW22+(1-EXP(-LN(2)/2))/(LN(2)/2)*AQ23*AT23*VLOOKUP('Données projet'!$B$10,Paramètres!$A$1:$I$88,3,0)*0.475*44/12</f>
        <v>25.037052795202737</v>
      </c>
      <c r="AX23" s="23">
        <f t="shared" si="6"/>
        <v>42.568344440493227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132</v>
      </c>
      <c r="BB23" s="13">
        <f>VLOOKUP(A23,'Données projet'!$A$87:$I$107,9,0)</f>
        <v>6.6</v>
      </c>
      <c r="BC23" s="13">
        <f t="array" ref="BC23">INDEX(BB:BB,MIN(IF(ISNUMBER(BB23:BB219),ROW(BB23:BB219),"")))</f>
        <v>6.6</v>
      </c>
      <c r="BD23" s="13">
        <f>IF('Données projet'!$A$88&gt;35,BD22+BC23-BL22,IF(A23&lt;'Données projet'!$A$88,$BA$205^A23,IF(A23='Données projet'!$A$88,'Données projet'!$B$88,BD22+BC23-BL22)))</f>
        <v>132</v>
      </c>
      <c r="BE23" s="14">
        <f>BD23*VLOOKUP('Données projet'!$B$11,Paramètres!$A$1:$I$88,3,0)*VLOOKUP('Données projet'!$B$11,Paramètres!$A$1:$I$88,5,0)</f>
        <v>115.3152</v>
      </c>
      <c r="BF23" s="14">
        <f t="shared" si="37"/>
        <v>30.579827148797317</v>
      </c>
      <c r="BG23" s="22">
        <f t="shared" si="7"/>
        <v>254.10050561748861</v>
      </c>
      <c r="BH23" s="62">
        <f t="shared" si="8"/>
        <v>547.43383895082195</v>
      </c>
      <c r="BI23" s="62">
        <f ca="1">AVERAGE(OFFSET($BH$3,0,0,'Données projet'!$E$11+1,1))-AVERAGE(OFFSET($H$3,0,0,'Données projet'!$E$11+1,1))</f>
        <v>223.81948236065614</v>
      </c>
      <c r="BJ23" s="62">
        <f t="shared" si="38"/>
        <v>320.1204011431372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50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0.1075</v>
      </c>
      <c r="BO23" s="17">
        <f>IF(ISNA(VLOOKUP(A23,'Données projet'!$A$87:$I$107,7,0)),0%,VLOOKUP(A23,'Données projet'!$A$87:$I$107,7,0))</f>
        <v>0.25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5.1704083727537116</v>
      </c>
      <c r="BR23" s="23">
        <f>EXP(-LN(2)/2)*BR22+(1-EXP(-LN(2)/2))/(LN(2)/2)*BL23*BO23*VLOOKUP('Données projet'!$B$11,Paramètres!$A$1:$I$88,3,0)*0.475*44/12</f>
        <v>10.303313907490841</v>
      </c>
      <c r="BS23" s="24">
        <f t="shared" si="9"/>
        <v>15.473722280244552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24.9</v>
      </c>
      <c r="N24" s="14">
        <f>IF('Données projet'!$A$36&gt;35,N23+M24-V23,IF(A24&lt;'Données projet'!$A$36,$K$205^A24,IF(A24='Données projet'!$A$36,'Données projet'!$B$36,N23+M24-V23)))</f>
        <v>135.9</v>
      </c>
      <c r="O24" s="14">
        <f>N24*VLOOKUP('Données projet'!$B$9,Paramètres!$A$1:$I$88,3,0)*VLOOKUP('Données projet'!$B$9,Paramètres!$A$1:$I$88,5,0)</f>
        <v>75.968100000000007</v>
      </c>
      <c r="P24" s="14">
        <f t="shared" si="33"/>
        <v>21.148416276516436</v>
      </c>
      <c r="Q24" s="22">
        <f t="shared" si="2"/>
        <v>169.14459918159946</v>
      </c>
      <c r="R24" s="62">
        <f t="shared" si="0"/>
        <v>462.47793251493277</v>
      </c>
      <c r="S24" s="62">
        <f ca="1">AVERAGE(OFFSET($R$3,0,0,'Données projet'!$E$9+1,1))-AVERAGE(OFFSET($H$3,0,0,'Données projet'!$E$9+1,1))</f>
        <v>373.16487843768437</v>
      </c>
      <c r="T24" s="62">
        <f t="shared" si="34"/>
        <v>376.53494965377718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22.522839992898593</v>
      </c>
      <c r="AB24" s="23">
        <f>EXP(-LN(2)/2)*AB23+(1-EXP(-LN(2)/2))/(LN(2)/2)*V24*Y24*VLOOKUP('Données projet'!$B$9,Paramètres!$A$1:$I$88,3,0)*0.475*44/12</f>
        <v>25.509808883142501</v>
      </c>
      <c r="AC24" s="24">
        <f t="shared" si="3"/>
        <v>48.032648876041094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16.399999999999999</v>
      </c>
      <c r="AI24" s="14">
        <f>IF('Données projet'!$A$62&gt;35,AI23+AH24-AQ23,IF(A24&lt;'Données projet'!$A$62,$AF$205^A24,IF(A24='Données projet'!$A$62,'Données projet'!$B$62,AI23+AH24-AQ23)))</f>
        <v>112.39999999999998</v>
      </c>
      <c r="AJ24" s="14">
        <f>AI24*VLOOKUP('Données projet'!$B$10,Paramètres!$A$1:$I$88,3,0)*VLOOKUP('Données projet'!$B$10,Paramètres!$A$1:$I$88,5,0)</f>
        <v>61.370399999999989</v>
      </c>
      <c r="AK24" s="14">
        <f t="shared" si="35"/>
        <v>17.514292424921972</v>
      </c>
      <c r="AL24" s="22">
        <f t="shared" si="4"/>
        <v>137.39083930673908</v>
      </c>
      <c r="AM24" s="62">
        <f t="shared" si="5"/>
        <v>430.72417264007242</v>
      </c>
      <c r="AN24" s="62">
        <f ca="1">AVERAGE(OFFSET($AM$3,0,0,'Données projet'!$E$10+1,1))-AVERAGE(OFFSET($H$3,0,0,'Données projet'!$E$10+1,1))</f>
        <v>210.04871822652808</v>
      </c>
      <c r="AO24" s="62">
        <f t="shared" si="36"/>
        <v>250.17540614049324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17.051897553319463</v>
      </c>
      <c r="AW24" s="23">
        <f>EXP(-LN(2)/2)*AW23+(1-EXP(-LN(2)/2))/(LN(2)/2)*AQ24*AT24*VLOOKUP('Données projet'!$B$10,Paramètres!$A$1:$I$88,3,0)*0.475*44/12</f>
        <v>17.703869812413462</v>
      </c>
      <c r="AX24" s="23">
        <f t="shared" si="6"/>
        <v>34.755767365732922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11.8</v>
      </c>
      <c r="BD24" s="13">
        <f>IF('Données projet'!$A$88&gt;35,BD23+BC24-BL23,IF(A24&lt;'Données projet'!$A$88,$BA$205^A24,IF(A24='Données projet'!$A$88,'Données projet'!$B$88,BD23+BC24-BL23)))</f>
        <v>93.800000000000011</v>
      </c>
      <c r="BE24" s="14">
        <f>BD24*VLOOKUP('Données projet'!$B$11,Paramètres!$A$1:$I$88,3,0)*VLOOKUP('Données projet'!$B$11,Paramètres!$A$1:$I$88,5,0)</f>
        <v>81.943680000000029</v>
      </c>
      <c r="BF24" s="14">
        <f t="shared" si="37"/>
        <v>22.611757990043472</v>
      </c>
      <c r="BG24" s="22">
        <f t="shared" si="7"/>
        <v>182.10072116599244</v>
      </c>
      <c r="BH24" s="62">
        <f t="shared" si="8"/>
        <v>475.43405449932573</v>
      </c>
      <c r="BI24" s="62">
        <f ca="1">AVERAGE(OFFSET($BH$3,0,0,'Données projet'!$E$11+1,1))-AVERAGE(OFFSET($H$3,0,0,'Données projet'!$E$11+1,1))</f>
        <v>223.81948236065614</v>
      </c>
      <c r="BJ24" s="62">
        <f t="shared" si="38"/>
        <v>320.1204011431372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5.029023283900802</v>
      </c>
      <c r="BR24" s="23">
        <f>EXP(-LN(2)/2)*BR23+(1-EXP(-LN(2)/2))/(LN(2)/2)*BL24*BO24*VLOOKUP('Données projet'!$B$11,Paramètres!$A$1:$I$88,3,0)*0.475*44/12</f>
        <v>7.2855431326804387</v>
      </c>
      <c r="BS24" s="24">
        <f t="shared" si="9"/>
        <v>12.31456641658124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24.9</v>
      </c>
      <c r="N25" s="14">
        <f>IF('Données projet'!$A$36&gt;35,N24+M25-V24,IF(A25&lt;'Données projet'!$A$36,$K$205^A25,IF(A25='Données projet'!$A$36,'Données projet'!$B$36,N24+M25-V24)))</f>
        <v>160.80000000000001</v>
      </c>
      <c r="O25" s="14">
        <f>N25*VLOOKUP('Données projet'!$B$9,Paramètres!$A$1:$I$88,3,0)*VLOOKUP('Données projet'!$B$9,Paramètres!$A$1:$I$88,5,0)</f>
        <v>89.887200000000007</v>
      </c>
      <c r="P25" s="14">
        <f t="shared" si="33"/>
        <v>24.538018364785955</v>
      </c>
      <c r="Q25" s="22">
        <f t="shared" si="2"/>
        <v>199.29058865200219</v>
      </c>
      <c r="R25" s="62">
        <f t="shared" si="0"/>
        <v>492.62392198533553</v>
      </c>
      <c r="S25" s="62">
        <f ca="1">AVERAGE(OFFSET($R$3,0,0,'Données projet'!$E$9+1,1))-AVERAGE(OFFSET($H$3,0,0,'Données projet'!$E$9+1,1))</f>
        <v>373.16487843768437</v>
      </c>
      <c r="T25" s="62">
        <f t="shared" si="34"/>
        <v>376.53494965377718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21.906951748868103</v>
      </c>
      <c r="AB25" s="23">
        <f>EXP(-LN(2)/2)*AB24+(1-EXP(-LN(2)/2))/(LN(2)/2)*V25*Y25*VLOOKUP('Données projet'!$B$9,Paramètres!$A$1:$I$88,3,0)*0.475*44/12</f>
        <v>18.03815884804289</v>
      </c>
      <c r="AC25" s="24">
        <f t="shared" si="3"/>
        <v>39.945110596910993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16.399999999999999</v>
      </c>
      <c r="AI25" s="14">
        <f>IF('Données projet'!$A$62&gt;35,AI24+AH25-AQ24,IF(A25&lt;'Données projet'!$A$62,$AF$205^A25,IF(A25='Données projet'!$A$62,'Données projet'!$B$62,AI24+AH25-AQ24)))</f>
        <v>128.79999999999998</v>
      </c>
      <c r="AJ25" s="14">
        <f>AI25*VLOOKUP('Données projet'!$B$10,Paramètres!$A$1:$I$88,3,0)*VLOOKUP('Données projet'!$B$10,Paramètres!$A$1:$I$88,5,0)</f>
        <v>70.324799999999982</v>
      </c>
      <c r="AK25" s="14">
        <f t="shared" si="35"/>
        <v>19.754095114409182</v>
      </c>
      <c r="AL25" s="22">
        <f t="shared" si="4"/>
        <v>156.88740899092929</v>
      </c>
      <c r="AM25" s="62">
        <f t="shared" si="5"/>
        <v>450.22074232426257</v>
      </c>
      <c r="AN25" s="62">
        <f ca="1">AVERAGE(OFFSET($AM$3,0,0,'Données projet'!$E$10+1,1))-AVERAGE(OFFSET($H$3,0,0,'Données projet'!$E$10+1,1))</f>
        <v>210.04871822652808</v>
      </c>
      <c r="AO25" s="62">
        <f t="shared" si="36"/>
        <v>250.17540614049324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16.585612518003622</v>
      </c>
      <c r="AW25" s="23">
        <f>EXP(-LN(2)/2)*AW24+(1-EXP(-LN(2)/2))/(LN(2)/2)*AQ25*AT25*VLOOKUP('Données projet'!$B$10,Paramètres!$A$1:$I$88,3,0)*0.475*44/12</f>
        <v>12.51852639760137</v>
      </c>
      <c r="AX25" s="23">
        <f t="shared" si="6"/>
        <v>29.104138915604992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11.8</v>
      </c>
      <c r="BD25" s="13">
        <f>IF('Données projet'!$A$88&gt;35,BD24+BC25-BL24,IF(A25&lt;'Données projet'!$A$88,$BA$205^A25,IF(A25='Données projet'!$A$88,'Données projet'!$B$88,BD24+BC25-BL24)))</f>
        <v>105.60000000000001</v>
      </c>
      <c r="BE25" s="14">
        <f>BD25*VLOOKUP('Données projet'!$B$11,Paramètres!$A$1:$I$88,3,0)*VLOOKUP('Données projet'!$B$11,Paramètres!$A$1:$I$88,5,0)</f>
        <v>92.252160000000018</v>
      </c>
      <c r="BF25" s="14">
        <f t="shared" si="37"/>
        <v>25.107607958259987</v>
      </c>
      <c r="BG25" s="22">
        <f t="shared" si="7"/>
        <v>204.40159586063615</v>
      </c>
      <c r="BH25" s="62">
        <f t="shared" si="8"/>
        <v>497.73492919396949</v>
      </c>
      <c r="BI25" s="62">
        <f ca="1">AVERAGE(OFFSET($BH$3,0,0,'Données projet'!$E$11+1,1))-AVERAGE(OFFSET($H$3,0,0,'Données projet'!$E$11+1,1))</f>
        <v>223.81948236065614</v>
      </c>
      <c r="BJ25" s="62">
        <f t="shared" si="38"/>
        <v>320.1204011431372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4.8915043777376939</v>
      </c>
      <c r="BR25" s="23">
        <f>EXP(-LN(2)/2)*BR24+(1-EXP(-LN(2)/2))/(LN(2)/2)*BL25*BO25*VLOOKUP('Données projet'!$B$11,Paramètres!$A$1:$I$88,3,0)*0.475*44/12</f>
        <v>5.1516569537454213</v>
      </c>
      <c r="BS25" s="24">
        <f t="shared" si="9"/>
        <v>10.043161331483116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24.9</v>
      </c>
      <c r="N26" s="14">
        <f>IF('Données projet'!$A$36&gt;35,N25+M26-V25,IF(A26&lt;'Données projet'!$A$36,$K$205^A26,IF(A26='Données projet'!$A$36,'Données projet'!$B$36,N25+M26-V25)))</f>
        <v>185.70000000000002</v>
      </c>
      <c r="O26" s="14">
        <f>N26*VLOOKUP('Données projet'!$B$9,Paramètres!$A$1:$I$88,3,0)*VLOOKUP('Données projet'!$B$9,Paramètres!$A$1:$I$88,5,0)</f>
        <v>103.80630000000001</v>
      </c>
      <c r="P26" s="14">
        <f t="shared" si="33"/>
        <v>27.86681512924784</v>
      </c>
      <c r="Q26" s="22">
        <f t="shared" si="2"/>
        <v>229.33067551677331</v>
      </c>
      <c r="R26" s="62">
        <f t="shared" si="0"/>
        <v>522.6640088501066</v>
      </c>
      <c r="S26" s="62">
        <f ca="1">AVERAGE(OFFSET($R$3,0,0,'Données projet'!$E$9+1,1))-AVERAGE(OFFSET($H$3,0,0,'Données projet'!$E$9+1,1))</f>
        <v>373.16487843768437</v>
      </c>
      <c r="T26" s="62">
        <f t="shared" si="34"/>
        <v>376.53494965377718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21.307905001258781</v>
      </c>
      <c r="AB26" s="23">
        <f>EXP(-LN(2)/2)*AB25+(1-EXP(-LN(2)/2))/(LN(2)/2)*V26*Y26*VLOOKUP('Données projet'!$B$9,Paramètres!$A$1:$I$88,3,0)*0.475*44/12</f>
        <v>12.75490444157125</v>
      </c>
      <c r="AC26" s="24">
        <f t="shared" si="3"/>
        <v>34.06280944283003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16.399999999999999</v>
      </c>
      <c r="AI26" s="14">
        <f>IF('Données projet'!$A$62&gt;35,AI25+AH26-AQ25,IF(A26&lt;'Données projet'!$A$62,$AF$205^A26,IF(A26='Données projet'!$A$62,'Données projet'!$B$62,AI25+AH26-AQ25)))</f>
        <v>145.19999999999999</v>
      </c>
      <c r="AJ26" s="14">
        <f>AI26*VLOOKUP('Données projet'!$B$10,Paramètres!$A$1:$I$88,3,0)*VLOOKUP('Données projet'!$B$10,Paramètres!$A$1:$I$88,5,0)</f>
        <v>79.279199999999989</v>
      </c>
      <c r="AK26" s="14">
        <f t="shared" si="35"/>
        <v>21.960852053344638</v>
      </c>
      <c r="AL26" s="22">
        <f t="shared" si="4"/>
        <v>176.32642399290856</v>
      </c>
      <c r="AM26" s="62">
        <f t="shared" si="5"/>
        <v>469.6597573262419</v>
      </c>
      <c r="AN26" s="62">
        <f ca="1">AVERAGE(OFFSET($AM$3,0,0,'Données projet'!$E$10+1,1))-AVERAGE(OFFSET($H$3,0,0,'Données projet'!$E$10+1,1))</f>
        <v>210.04871822652808</v>
      </c>
      <c r="AO26" s="62">
        <f t="shared" si="36"/>
        <v>250.17540614049324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16.132078071499357</v>
      </c>
      <c r="AW26" s="23">
        <f>EXP(-LN(2)/2)*AW25+(1-EXP(-LN(2)/2))/(LN(2)/2)*AQ26*AT26*VLOOKUP('Données projet'!$B$10,Paramètres!$A$1:$I$88,3,0)*0.475*44/12</f>
        <v>8.851934906206731</v>
      </c>
      <c r="AX26" s="23">
        <f t="shared" si="6"/>
        <v>24.984012977706087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11.8</v>
      </c>
      <c r="BD26" s="13">
        <f>IF('Données projet'!$A$88&gt;35,BD25+BC26-BL25,IF(A26&lt;'Données projet'!$A$88,$BA$205^A26,IF(A26='Données projet'!$A$88,'Données projet'!$B$88,BD25+BC26-BL25)))</f>
        <v>117.4</v>
      </c>
      <c r="BE26" s="14">
        <f>BD26*VLOOKUP('Données projet'!$B$11,Paramètres!$A$1:$I$88,3,0)*VLOOKUP('Données projet'!$B$11,Paramètres!$A$1:$I$88,5,0)</f>
        <v>102.56064000000002</v>
      </c>
      <c r="BF26" s="14">
        <f t="shared" si="37"/>
        <v>27.571134131783779</v>
      </c>
      <c r="BG26" s="22">
        <f t="shared" si="7"/>
        <v>226.64617327952342</v>
      </c>
      <c r="BH26" s="62">
        <f t="shared" si="8"/>
        <v>519.97950661285677</v>
      </c>
      <c r="BI26" s="62">
        <f ca="1">AVERAGE(OFFSET($BH$3,0,0,'Données projet'!$E$11+1,1))-AVERAGE(OFFSET($H$3,0,0,'Données projet'!$E$11+1,1))</f>
        <v>223.81948236065614</v>
      </c>
      <c r="BJ26" s="62">
        <f t="shared" si="38"/>
        <v>320.1204011431372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4.7577459332954213</v>
      </c>
      <c r="BR26" s="23">
        <f>EXP(-LN(2)/2)*BR25+(1-EXP(-LN(2)/2))/(LN(2)/2)*BL26*BO26*VLOOKUP('Données projet'!$B$11,Paramètres!$A$1:$I$88,3,0)*0.475*44/12</f>
        <v>3.6427715663402198</v>
      </c>
      <c r="BS26" s="24">
        <f t="shared" si="9"/>
        <v>8.4005174996356402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24.9</v>
      </c>
      <c r="N27" s="14">
        <f>IF('Données projet'!$A$36&gt;35,N26+M27-V26,IF(A27&lt;'Données projet'!$A$36,$K$205^A27,IF(A27='Données projet'!$A$36,'Données projet'!$B$36,N26+M27-V26)))</f>
        <v>210.60000000000002</v>
      </c>
      <c r="O27" s="14">
        <f>N27*VLOOKUP('Données projet'!$B$9,Paramètres!$A$1:$I$88,3,0)*VLOOKUP('Données projet'!$B$9,Paramètres!$A$1:$I$88,5,0)</f>
        <v>117.72540000000001</v>
      </c>
      <c r="P27" s="14">
        <f t="shared" si="33"/>
        <v>31.143896775185823</v>
      </c>
      <c r="Q27" s="22">
        <f t="shared" si="2"/>
        <v>259.28069188344864</v>
      </c>
      <c r="R27" s="62">
        <f t="shared" si="0"/>
        <v>552.61402521678201</v>
      </c>
      <c r="S27" s="62">
        <f ca="1">AVERAGE(OFFSET($R$3,0,0,'Données projet'!$E$9+1,1))-AVERAGE(OFFSET($H$3,0,0,'Données projet'!$E$9+1,1))</f>
        <v>373.16487843768437</v>
      </c>
      <c r="T27" s="62">
        <f t="shared" si="34"/>
        <v>376.53494965377718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20.725239218465337</v>
      </c>
      <c r="AB27" s="23">
        <f>EXP(-LN(2)/2)*AB26+(1-EXP(-LN(2)/2))/(LN(2)/2)*V27*Y27*VLOOKUP('Données projet'!$B$9,Paramètres!$A$1:$I$88,3,0)*0.475*44/12</f>
        <v>9.0190794240214451</v>
      </c>
      <c r="AC27" s="24">
        <f t="shared" si="3"/>
        <v>29.744318642486782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16.399999999999999</v>
      </c>
      <c r="AI27" s="14">
        <f>IF('Données projet'!$A$62&gt;35,AI26+AH27-AQ26,IF(A27&lt;'Données projet'!$A$62,$AF$205^A27,IF(A27='Données projet'!$A$62,'Données projet'!$B$62,AI26+AH27-AQ26)))</f>
        <v>161.6</v>
      </c>
      <c r="AJ27" s="14">
        <f>AI27*VLOOKUP('Données projet'!$B$10,Paramètres!$A$1:$I$88,3,0)*VLOOKUP('Données projet'!$B$10,Paramètres!$A$1:$I$88,5,0)</f>
        <v>88.23360000000001</v>
      </c>
      <c r="AK27" s="14">
        <f t="shared" si="35"/>
        <v>24.138721634312098</v>
      </c>
      <c r="AL27" s="22">
        <f t="shared" si="4"/>
        <v>195.7151268464269</v>
      </c>
      <c r="AM27" s="62">
        <f t="shared" si="5"/>
        <v>489.04846017976024</v>
      </c>
      <c r="AN27" s="62">
        <f ca="1">AVERAGE(OFFSET($AM$3,0,0,'Données projet'!$E$10+1,1))-AVERAGE(OFFSET($H$3,0,0,'Données projet'!$E$10+1,1))</f>
        <v>210.04871822652808</v>
      </c>
      <c r="AO27" s="62">
        <f t="shared" si="36"/>
        <v>250.17540614049324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15.690945548285091</v>
      </c>
      <c r="AW27" s="23">
        <f>EXP(-LN(2)/2)*AW26+(1-EXP(-LN(2)/2))/(LN(2)/2)*AQ27*AT27*VLOOKUP('Données projet'!$B$10,Paramètres!$A$1:$I$88,3,0)*0.475*44/12</f>
        <v>6.259263198800685</v>
      </c>
      <c r="AX27" s="23">
        <f t="shared" si="6"/>
        <v>21.950208747085775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11.8</v>
      </c>
      <c r="BD27" s="13">
        <f>IF('Données projet'!$A$88&gt;35,BD26+BC27-BL26,IF(A27&lt;'Données projet'!$A$88,$BA$205^A27,IF(A27='Données projet'!$A$88,'Données projet'!$B$88,BD26+BC27-BL26)))</f>
        <v>129.20000000000002</v>
      </c>
      <c r="BE27" s="14">
        <f>BD27*VLOOKUP('Données projet'!$B$11,Paramètres!$A$1:$I$88,3,0)*VLOOKUP('Données projet'!$B$11,Paramètres!$A$1:$I$88,5,0)</f>
        <v>112.86912000000004</v>
      </c>
      <c r="BF27" s="14">
        <f t="shared" si="37"/>
        <v>30.00595528244644</v>
      </c>
      <c r="BG27" s="22">
        <f t="shared" si="7"/>
        <v>248.84075611692765</v>
      </c>
      <c r="BH27" s="62">
        <f t="shared" si="8"/>
        <v>542.17408945026091</v>
      </c>
      <c r="BI27" s="62">
        <f ca="1">AVERAGE(OFFSET($BH$3,0,0,'Données projet'!$E$11+1,1))-AVERAGE(OFFSET($H$3,0,0,'Données projet'!$E$11+1,1))</f>
        <v>223.81948236065614</v>
      </c>
      <c r="BJ27" s="62">
        <f t="shared" si="38"/>
        <v>320.1204011431372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4.6276451205504729</v>
      </c>
      <c r="BR27" s="23">
        <f>EXP(-LN(2)/2)*BR26+(1-EXP(-LN(2)/2))/(LN(2)/2)*BL27*BO27*VLOOKUP('Données projet'!$B$11,Paramètres!$A$1:$I$88,3,0)*0.475*44/12</f>
        <v>2.5758284768727111</v>
      </c>
      <c r="BS27" s="24">
        <f t="shared" si="9"/>
        <v>7.2034735974231836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24.9</v>
      </c>
      <c r="N28" s="14">
        <f>IF('Données projet'!$A$36&gt;35,N27+M28-V27,IF(A28&lt;'Données projet'!$A$36,$K$205^A28,IF(A28='Données projet'!$A$36,'Données projet'!$B$36,N27+M28-V27)))</f>
        <v>235.50000000000003</v>
      </c>
      <c r="O28" s="14">
        <f>N28*VLOOKUP('Données projet'!$B$9,Paramètres!$A$1:$I$88,3,0)*VLOOKUP('Données projet'!$B$9,Paramètres!$A$1:$I$88,5,0)</f>
        <v>131.64450000000002</v>
      </c>
      <c r="P28" s="14">
        <f t="shared" si="33"/>
        <v>34.376076542672536</v>
      </c>
      <c r="Q28" s="22">
        <f t="shared" si="2"/>
        <v>289.15250414515464</v>
      </c>
      <c r="R28" s="62">
        <f t="shared" si="0"/>
        <v>582.48583747848795</v>
      </c>
      <c r="S28" s="62">
        <f ca="1">AVERAGE(OFFSET($R$3,0,0,'Données projet'!$E$9+1,1))-AVERAGE(OFFSET($H$3,0,0,'Données projet'!$E$9+1,1))</f>
        <v>373.16487843768437</v>
      </c>
      <c r="T28" s="62">
        <f t="shared" si="34"/>
        <v>376.53494965377718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20.158506462143439</v>
      </c>
      <c r="AB28" s="23">
        <f>EXP(-LN(2)/2)*AB27+(1-EXP(-LN(2)/2))/(LN(2)/2)*V28*Y28*VLOOKUP('Données projet'!$B$9,Paramètres!$A$1:$I$88,3,0)*0.475*44/12</f>
        <v>6.3774522207856252</v>
      </c>
      <c r="AC28" s="24">
        <f t="shared" si="3"/>
        <v>26.535958682929063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16.399999999999999</v>
      </c>
      <c r="AI28" s="14">
        <f>IF('Données projet'!$A$62&gt;35,AI27+AH28-AQ27,IF(A28&lt;'Données projet'!$A$62,$AF$205^A28,IF(A28='Données projet'!$A$62,'Données projet'!$B$62,AI27+AH28-AQ27)))</f>
        <v>178</v>
      </c>
      <c r="AJ28" s="14">
        <f>AI28*VLOOKUP('Données projet'!$B$10,Paramètres!$A$1:$I$88,3,0)*VLOOKUP('Données projet'!$B$10,Paramètres!$A$1:$I$88,5,0)</f>
        <v>97.187999999999988</v>
      </c>
      <c r="AK28" s="14">
        <f t="shared" si="35"/>
        <v>26.290969297460332</v>
      </c>
      <c r="AL28" s="22">
        <f t="shared" si="4"/>
        <v>215.0592048597434</v>
      </c>
      <c r="AM28" s="62">
        <f t="shared" si="5"/>
        <v>508.39253819307669</v>
      </c>
      <c r="AN28" s="62">
        <f ca="1">AVERAGE(OFFSET($AM$3,0,0,'Données projet'!$E$10+1,1))-AVERAGE(OFFSET($H$3,0,0,'Données projet'!$E$10+1,1))</f>
        <v>210.04871822652808</v>
      </c>
      <c r="AO28" s="62">
        <f t="shared" si="36"/>
        <v>250.17540614049324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15.261875817116271</v>
      </c>
      <c r="AW28" s="23">
        <f>EXP(-LN(2)/2)*AW27+(1-EXP(-LN(2)/2))/(LN(2)/2)*AQ28*AT28*VLOOKUP('Données projet'!$B$10,Paramètres!$A$1:$I$88,3,0)*0.475*44/12</f>
        <v>4.4259674531033655</v>
      </c>
      <c r="AX28" s="23">
        <f t="shared" si="6"/>
        <v>19.687843270219638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11.8</v>
      </c>
      <c r="BD28" s="13">
        <f>IF('Données projet'!$A$88&gt;35,BD27+BC28-BL27,IF(A28&lt;'Données projet'!$A$88,$BA$205^A28,IF(A28='Données projet'!$A$88,'Données projet'!$B$88,BD27+BC28-BL27)))</f>
        <v>141.00000000000003</v>
      </c>
      <c r="BE28" s="14">
        <f>BD28*VLOOKUP('Données projet'!$B$11,Paramètres!$A$1:$I$88,3,0)*VLOOKUP('Données projet'!$B$11,Paramètres!$A$1:$I$88,5,0)</f>
        <v>123.17760000000004</v>
      </c>
      <c r="BF28" s="14">
        <f t="shared" si="37"/>
        <v>32.414991240570451</v>
      </c>
      <c r="BG28" s="22">
        <f t="shared" si="7"/>
        <v>270.99042974399362</v>
      </c>
      <c r="BH28" s="62">
        <f t="shared" si="8"/>
        <v>564.32376307732693</v>
      </c>
      <c r="BI28" s="62">
        <f ca="1">AVERAGE(OFFSET($BH$3,0,0,'Données projet'!$E$11+1,1))-AVERAGE(OFFSET($H$3,0,0,'Données projet'!$E$11+1,1))</f>
        <v>223.81948236065614</v>
      </c>
      <c r="BJ28" s="62">
        <f t="shared" si="38"/>
        <v>320.1204011431372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4.50110192137174</v>
      </c>
      <c r="BR28" s="23">
        <f>EXP(-LN(2)/2)*BR27+(1-EXP(-LN(2)/2))/(LN(2)/2)*BL28*BO28*VLOOKUP('Données projet'!$B$11,Paramètres!$A$1:$I$88,3,0)*0.475*44/12</f>
        <v>1.8213857831701104</v>
      </c>
      <c r="BS28" s="24">
        <f t="shared" si="9"/>
        <v>6.3224877045418504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24.9</v>
      </c>
      <c r="N29" s="14">
        <f>IF('Données projet'!$A$36&gt;35,N28+M29-V28,IF(A29&lt;'Données projet'!$A$36,$K$205^A29,IF(A29='Données projet'!$A$36,'Données projet'!$B$36,N28+M29-V28)))</f>
        <v>260.40000000000003</v>
      </c>
      <c r="O29" s="14">
        <f>N29*VLOOKUP('Données projet'!$B$9,Paramètres!$A$1:$I$88,3,0)*VLOOKUP('Données projet'!$B$9,Paramètres!$A$1:$I$88,5,0)</f>
        <v>145.56360000000001</v>
      </c>
      <c r="P29" s="14">
        <f t="shared" si="33"/>
        <v>37.568642979458723</v>
      </c>
      <c r="Q29" s="22">
        <f t="shared" si="2"/>
        <v>318.95532318922392</v>
      </c>
      <c r="R29" s="62">
        <f t="shared" si="0"/>
        <v>612.28865652255718</v>
      </c>
      <c r="S29" s="62">
        <f ca="1">AVERAGE(OFFSET($R$3,0,0,'Données projet'!$E$9+1,1))-AVERAGE(OFFSET($H$3,0,0,'Données projet'!$E$9+1,1))</f>
        <v>373.16487843768437</v>
      </c>
      <c r="T29" s="62">
        <f t="shared" si="34"/>
        <v>376.53494965377718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19.607271042846346</v>
      </c>
      <c r="AB29" s="23">
        <f>EXP(-LN(2)/2)*AB28+(1-EXP(-LN(2)/2))/(LN(2)/2)*V29*Y29*VLOOKUP('Données projet'!$B$9,Paramètres!$A$1:$I$88,3,0)*0.475*44/12</f>
        <v>4.5095397120107226</v>
      </c>
      <c r="AC29" s="24">
        <f t="shared" si="3"/>
        <v>24.11681075485707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16.399999999999999</v>
      </c>
      <c r="AI29" s="14">
        <f>IF('Données projet'!$A$62&gt;35,AI28+AH29-AQ28,IF(A29&lt;'Données projet'!$A$62,$AF$205^A29,IF(A29='Données projet'!$A$62,'Données projet'!$B$62,AI28+AH29-AQ28)))</f>
        <v>194.4</v>
      </c>
      <c r="AJ29" s="14">
        <f>AI29*VLOOKUP('Données projet'!$B$10,Paramètres!$A$1:$I$88,3,0)*VLOOKUP('Données projet'!$B$10,Paramètres!$A$1:$I$88,5,0)</f>
        <v>106.14239999999999</v>
      </c>
      <c r="AK29" s="14">
        <f t="shared" si="35"/>
        <v>28.420224211524975</v>
      </c>
      <c r="AL29" s="22">
        <f t="shared" si="4"/>
        <v>234.36323716840596</v>
      </c>
      <c r="AM29" s="62">
        <f t="shared" si="5"/>
        <v>527.6965705017393</v>
      </c>
      <c r="AN29" s="62">
        <f ca="1">AVERAGE(OFFSET($AM$3,0,0,'Données projet'!$E$10+1,1))-AVERAGE(OFFSET($H$3,0,0,'Données projet'!$E$10+1,1))</f>
        <v>210.04871822652808</v>
      </c>
      <c r="AO29" s="62">
        <f t="shared" si="36"/>
        <v>250.17540614049324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14.844539020310059</v>
      </c>
      <c r="AW29" s="23">
        <f>EXP(-LN(2)/2)*AW28+(1-EXP(-LN(2)/2))/(LN(2)/2)*AQ29*AT29*VLOOKUP('Données projet'!$B$10,Paramètres!$A$1:$I$88,3,0)*0.475*44/12</f>
        <v>3.1296315994003425</v>
      </c>
      <c r="AX29" s="23">
        <f t="shared" si="6"/>
        <v>17.974170619710399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11.8</v>
      </c>
      <c r="BD29" s="13">
        <f>IF('Données projet'!$A$88&gt;35,BD28+BC29-BL28,IF(A29&lt;'Données projet'!$A$88,$BA$205^A29,IF(A29='Données projet'!$A$88,'Données projet'!$B$88,BD28+BC29-BL28)))</f>
        <v>152.80000000000004</v>
      </c>
      <c r="BE29" s="14">
        <f>BD29*VLOOKUP('Données projet'!$B$11,Paramètres!$A$1:$I$88,3,0)*VLOOKUP('Données projet'!$B$11,Paramètres!$A$1:$I$88,5,0)</f>
        <v>133.48608000000004</v>
      </c>
      <c r="BF29" s="14">
        <f t="shared" si="37"/>
        <v>34.800645252320514</v>
      </c>
      <c r="BG29" s="22">
        <f t="shared" si="7"/>
        <v>293.09937981445825</v>
      </c>
      <c r="BH29" s="62">
        <f t="shared" si="8"/>
        <v>586.43271314779156</v>
      </c>
      <c r="BI29" s="62">
        <f ca="1">AVERAGE(OFFSET($BH$3,0,0,'Données projet'!$E$11+1,1))-AVERAGE(OFFSET($H$3,0,0,'Données projet'!$E$11+1,1))</f>
        <v>223.81948236065614</v>
      </c>
      <c r="BJ29" s="62">
        <f t="shared" si="38"/>
        <v>320.1204011431372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4.3780190526291669</v>
      </c>
      <c r="BR29" s="23">
        <f>EXP(-LN(2)/2)*BR28+(1-EXP(-LN(2)/2))/(LN(2)/2)*BL29*BO29*VLOOKUP('Données projet'!$B$11,Paramètres!$A$1:$I$88,3,0)*0.475*44/12</f>
        <v>1.2879142384363558</v>
      </c>
      <c r="BS29" s="24">
        <f t="shared" si="9"/>
        <v>5.6659332910655227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24.9</v>
      </c>
      <c r="N30" s="14">
        <f>IF('Données projet'!$A$36&gt;35,N29+M30-V29,IF(A30&lt;'Données projet'!$A$36,$K$205^A30,IF(A30='Données projet'!$A$36,'Données projet'!$B$36,N29+M30-V29)))</f>
        <v>285.3</v>
      </c>
      <c r="O30" s="14">
        <f>N30*VLOOKUP('Données projet'!$B$9,Paramètres!$A$1:$I$88,3,0)*VLOOKUP('Données projet'!$B$9,Paramètres!$A$1:$I$88,5,0)</f>
        <v>159.48269999999999</v>
      </c>
      <c r="P30" s="14">
        <f t="shared" si="33"/>
        <v>40.725814966140675</v>
      </c>
      <c r="Q30" s="22">
        <f t="shared" si="2"/>
        <v>348.69649689936165</v>
      </c>
      <c r="R30" s="62">
        <f t="shared" si="0"/>
        <v>642.02983023269496</v>
      </c>
      <c r="S30" s="62">
        <f ca="1">AVERAGE(OFFSET($R$3,0,0,'Données projet'!$E$9+1,1))-AVERAGE(OFFSET($H$3,0,0,'Données projet'!$E$9+1,1))</f>
        <v>373.16487843768437</v>
      </c>
      <c r="T30" s="62">
        <f t="shared" si="34"/>
        <v>376.53494965377718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19.071109185078143</v>
      </c>
      <c r="AB30" s="23">
        <f>EXP(-LN(2)/2)*AB29+(1-EXP(-LN(2)/2))/(LN(2)/2)*V30*Y30*VLOOKUP('Données projet'!$B$9,Paramètres!$A$1:$I$88,3,0)*0.475*44/12</f>
        <v>3.1887261103928126</v>
      </c>
      <c r="AC30" s="24">
        <f t="shared" si="3"/>
        <v>22.259835295470957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16.399999999999999</v>
      </c>
      <c r="AI30" s="14">
        <f>IF('Données projet'!$A$62&gt;35,AI29+AH30-AQ29,IF(A30&lt;'Données projet'!$A$62,$AF$205^A30,IF(A30='Données projet'!$A$62,'Données projet'!$B$62,AI29+AH30-AQ29)))</f>
        <v>210.8</v>
      </c>
      <c r="AJ30" s="14">
        <f>AI30*VLOOKUP('Données projet'!$B$10,Paramètres!$A$1:$I$88,3,0)*VLOOKUP('Données projet'!$B$10,Paramètres!$A$1:$I$88,5,0)</f>
        <v>115.0968</v>
      </c>
      <c r="AK30" s="14">
        <f t="shared" si="35"/>
        <v>30.528646626547697</v>
      </c>
      <c r="AL30" s="22">
        <f t="shared" si="4"/>
        <v>253.6309862079039</v>
      </c>
      <c r="AM30" s="62">
        <f t="shared" si="5"/>
        <v>546.96431954123727</v>
      </c>
      <c r="AN30" s="62">
        <f ca="1">AVERAGE(OFFSET($AM$3,0,0,'Données projet'!$E$10+1,1))-AVERAGE(OFFSET($H$3,0,0,'Données projet'!$E$10+1,1))</f>
        <v>210.04871822652808</v>
      </c>
      <c r="AO30" s="62">
        <f t="shared" si="36"/>
        <v>250.17540614049324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14.438614320159301</v>
      </c>
      <c r="AW30" s="23">
        <f>EXP(-LN(2)/2)*AW29+(1-EXP(-LN(2)/2))/(LN(2)/2)*AQ30*AT30*VLOOKUP('Données projet'!$B$10,Paramètres!$A$1:$I$88,3,0)*0.475*44/12</f>
        <v>2.2129837265516827</v>
      </c>
      <c r="AX30" s="23">
        <f t="shared" si="6"/>
        <v>16.651598046710983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11.8</v>
      </c>
      <c r="BD30" s="13">
        <f>IF('Données projet'!$A$88&gt;35,BD29+BC30-BL29,IF(A30&lt;'Données projet'!$A$88,$BA$205^A30,IF(A30='Données projet'!$A$88,'Données projet'!$B$88,BD29+BC30-BL29)))</f>
        <v>164.60000000000005</v>
      </c>
      <c r="BE30" s="14">
        <f>BD30*VLOOKUP('Données projet'!$B$11,Paramètres!$A$1:$I$88,3,0)*VLOOKUP('Données projet'!$B$11,Paramètres!$A$1:$I$88,5,0)</f>
        <v>143.79456000000005</v>
      </c>
      <c r="BF30" s="14">
        <f t="shared" si="37"/>
        <v>37.164928293001893</v>
      </c>
      <c r="BG30" s="22">
        <f t="shared" si="7"/>
        <v>315.17110877697831</v>
      </c>
      <c r="BH30" s="62">
        <f t="shared" si="8"/>
        <v>608.50444211031163</v>
      </c>
      <c r="BI30" s="62">
        <f ca="1">AVERAGE(OFFSET($BH$3,0,0,'Données projet'!$E$11+1,1))-AVERAGE(OFFSET($H$3,0,0,'Données projet'!$E$11+1,1))</f>
        <v>223.81948236065614</v>
      </c>
      <c r="BJ30" s="62">
        <f t="shared" si="38"/>
        <v>320.1204011431372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4.2583018914050061</v>
      </c>
      <c r="BR30" s="23">
        <f>EXP(-LN(2)/2)*BR29+(1-EXP(-LN(2)/2))/(LN(2)/2)*BL30*BO30*VLOOKUP('Données projet'!$B$11,Paramètres!$A$1:$I$88,3,0)*0.475*44/12</f>
        <v>0.91069289158505529</v>
      </c>
      <c r="BS30" s="24">
        <f t="shared" si="9"/>
        <v>5.1689947829900618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24.9</v>
      </c>
      <c r="N31" s="14">
        <f>IF('Données projet'!$A$36&gt;35,N30+M31-V30,IF(A31&lt;'Données projet'!$A$36,$K$205^A31,IF(A31='Données projet'!$A$36,'Données projet'!$B$36,N30+M31-V30)))</f>
        <v>310.2</v>
      </c>
      <c r="O31" s="14">
        <f>N31*VLOOKUP('Données projet'!$B$9,Paramètres!$A$1:$I$88,3,0)*VLOOKUP('Données projet'!$B$9,Paramètres!$A$1:$I$88,5,0)</f>
        <v>173.40180000000001</v>
      </c>
      <c r="P31" s="14">
        <f t="shared" si="33"/>
        <v>43.851032851075928</v>
      </c>
      <c r="Q31" s="22">
        <f t="shared" si="2"/>
        <v>378.38201721562388</v>
      </c>
      <c r="R31" s="62">
        <f t="shared" si="0"/>
        <v>671.71535054895719</v>
      </c>
      <c r="S31" s="62">
        <f ca="1">AVERAGE(OFFSET($R$3,0,0,'Données projet'!$E$9+1,1))-AVERAGE(OFFSET($H$3,0,0,'Données projet'!$E$9+1,1))</f>
        <v>373.16487843768437</v>
      </c>
      <c r="T31" s="62">
        <f t="shared" si="34"/>
        <v>376.53494965377718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18.549608701506138</v>
      </c>
      <c r="AB31" s="23">
        <f>EXP(-LN(2)/2)*AB30+(1-EXP(-LN(2)/2))/(LN(2)/2)*V31*Y31*VLOOKUP('Données projet'!$B$9,Paramètres!$A$1:$I$88,3,0)*0.475*44/12</f>
        <v>2.2547698560053613</v>
      </c>
      <c r="AC31" s="24">
        <f t="shared" si="3"/>
        <v>20.804378557511498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16.399999999999999</v>
      </c>
      <c r="AI31" s="14">
        <f>IF('Données projet'!$A$62&gt;35,AI30+AH31-AQ30,IF(A31&lt;'Données projet'!$A$62,$AF$205^A31,IF(A31='Données projet'!$A$62,'Données projet'!$B$62,AI30+AH31-AQ30)))</f>
        <v>227.20000000000002</v>
      </c>
      <c r="AJ31" s="14">
        <f>AI31*VLOOKUP('Données projet'!$B$10,Paramètres!$A$1:$I$88,3,0)*VLOOKUP('Données projet'!$B$10,Paramètres!$A$1:$I$88,5,0)</f>
        <v>124.05120000000001</v>
      </c>
      <c r="AK31" s="14">
        <f t="shared" si="35"/>
        <v>32.618041559365977</v>
      </c>
      <c r="AL31" s="22">
        <f t="shared" si="4"/>
        <v>272.86559571589572</v>
      </c>
      <c r="AM31" s="62">
        <f t="shared" si="5"/>
        <v>566.19892904922904</v>
      </c>
      <c r="AN31" s="62">
        <f ca="1">AVERAGE(OFFSET($AM$3,0,0,'Données projet'!$E$10+1,1))-AVERAGE(OFFSET($H$3,0,0,'Données projet'!$E$10+1,1))</f>
        <v>210.04871822652808</v>
      </c>
      <c r="AO31" s="62">
        <f t="shared" si="36"/>
        <v>250.17540614049324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14.043789652280818</v>
      </c>
      <c r="AW31" s="23">
        <f>EXP(-LN(2)/2)*AW30+(1-EXP(-LN(2)/2))/(LN(2)/2)*AQ31*AT31*VLOOKUP('Données projet'!$B$10,Paramètres!$A$1:$I$88,3,0)*0.475*44/12</f>
        <v>1.5648157997001713</v>
      </c>
      <c r="AX31" s="23">
        <f t="shared" si="6"/>
        <v>15.608605451980988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11.8</v>
      </c>
      <c r="BD31" s="13">
        <f>IF('Données projet'!$A$88&gt;35,BD30+BC31-BL30,IF(A31&lt;'Données projet'!$A$88,$BA$205^A31,IF(A31='Données projet'!$A$88,'Données projet'!$B$88,BD30+BC31-BL30)))</f>
        <v>176.40000000000006</v>
      </c>
      <c r="BE31" s="14">
        <f>BD31*VLOOKUP('Données projet'!$B$11,Paramètres!$A$1:$I$88,3,0)*VLOOKUP('Données projet'!$B$11,Paramètres!$A$1:$I$88,5,0)</f>
        <v>154.10304000000008</v>
      </c>
      <c r="BF31" s="14">
        <f t="shared" si="37"/>
        <v>39.509546668758176</v>
      </c>
      <c r="BG31" s="22">
        <f t="shared" si="7"/>
        <v>337.20858844808726</v>
      </c>
      <c r="BH31" s="62">
        <f t="shared" si="8"/>
        <v>630.54192178142057</v>
      </c>
      <c r="BI31" s="62">
        <f ca="1">AVERAGE(OFFSET($BH$3,0,0,'Données projet'!$E$11+1,1))-AVERAGE(OFFSET($H$3,0,0,'Données projet'!$E$11+1,1))</f>
        <v>223.81948236065614</v>
      </c>
      <c r="BJ31" s="62">
        <f t="shared" si="38"/>
        <v>320.1204011431372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4.1418584022501719</v>
      </c>
      <c r="BR31" s="23">
        <f>EXP(-LN(2)/2)*BR30+(1-EXP(-LN(2)/2))/(LN(2)/2)*BL31*BO31*VLOOKUP('Données projet'!$B$11,Paramètres!$A$1:$I$88,3,0)*0.475*44/12</f>
        <v>0.643957119218178</v>
      </c>
      <c r="BS31" s="24">
        <f t="shared" si="9"/>
        <v>4.7858155214683498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24.9</v>
      </c>
      <c r="N32" s="14">
        <f>IF('Données projet'!$A$36&gt;35,N31+M32-V31,IF(A32&lt;'Données projet'!$A$36,$K$205^A32,IF(A32='Données projet'!$A$36,'Données projet'!$B$36,N31+M32-V31)))</f>
        <v>335.09999999999997</v>
      </c>
      <c r="O32" s="14">
        <f>N32*VLOOKUP('Données projet'!$B$9,Paramètres!$A$1:$I$88,3,0)*VLOOKUP('Données projet'!$B$9,Paramètres!$A$1:$I$88,5,0)</f>
        <v>187.32089999999999</v>
      </c>
      <c r="P32" s="14">
        <f t="shared" si="33"/>
        <v>46.947153229494532</v>
      </c>
      <c r="Q32" s="22">
        <f t="shared" si="2"/>
        <v>408.01685937470296</v>
      </c>
      <c r="R32" s="62">
        <f t="shared" si="0"/>
        <v>701.35019270803627</v>
      </c>
      <c r="S32" s="62">
        <f ca="1">AVERAGE(OFFSET($R$3,0,0,'Données projet'!$E$9+1,1))-AVERAGE(OFFSET($H$3,0,0,'Données projet'!$E$9+1,1))</f>
        <v>373.16487843768437</v>
      </c>
      <c r="T32" s="62">
        <f t="shared" si="34"/>
        <v>376.53494965377718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18.042368676081928</v>
      </c>
      <c r="AB32" s="23">
        <f>EXP(-LN(2)/2)*AB31+(1-EXP(-LN(2)/2))/(LN(2)/2)*V32*Y32*VLOOKUP('Données projet'!$B$9,Paramètres!$A$1:$I$88,3,0)*0.475*44/12</f>
        <v>1.5943630551964063</v>
      </c>
      <c r="AC32" s="24">
        <f t="shared" si="3"/>
        <v>19.636731731278335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16.399999999999999</v>
      </c>
      <c r="AI32" s="14">
        <f>IF('Données projet'!$A$62&gt;35,AI31+AH32-AQ31,IF(A32&lt;'Données projet'!$A$62,$AF$205^A32,IF(A32='Données projet'!$A$62,'Données projet'!$B$62,AI31+AH32-AQ31)))</f>
        <v>243.60000000000002</v>
      </c>
      <c r="AJ32" s="14">
        <f>AI32*VLOOKUP('Données projet'!$B$10,Paramètres!$A$1:$I$88,3,0)*VLOOKUP('Données projet'!$B$10,Paramètres!$A$1:$I$88,5,0)</f>
        <v>133.00560000000002</v>
      </c>
      <c r="AK32" s="14">
        <f t="shared" si="35"/>
        <v>34.689938673073549</v>
      </c>
      <c r="AL32" s="22">
        <f t="shared" si="4"/>
        <v>292.06972985560316</v>
      </c>
      <c r="AM32" s="62">
        <f t="shared" si="5"/>
        <v>585.40306318893647</v>
      </c>
      <c r="AN32" s="62">
        <f ca="1">AVERAGE(OFFSET($AM$3,0,0,'Données projet'!$E$10+1,1))-AVERAGE(OFFSET($H$3,0,0,'Données projet'!$E$10+1,1))</f>
        <v>210.04871822652808</v>
      </c>
      <c r="AO32" s="62">
        <f t="shared" si="36"/>
        <v>250.17540614049324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13.659761485708399</v>
      </c>
      <c r="AW32" s="23">
        <f>EXP(-LN(2)/2)*AW31+(1-EXP(-LN(2)/2))/(LN(2)/2)*AQ32*AT32*VLOOKUP('Données projet'!$B$10,Paramètres!$A$1:$I$88,3,0)*0.475*44/12</f>
        <v>1.1064918632758414</v>
      </c>
      <c r="AX32" s="23">
        <f t="shared" si="6"/>
        <v>14.766253348984241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11.8</v>
      </c>
      <c r="BD32" s="13">
        <f>IF('Données projet'!$A$88&gt;35,BD31+BC32-BL31,IF(A32&lt;'Données projet'!$A$88,$BA$205^A32,IF(A32='Données projet'!$A$88,'Données projet'!$B$88,BD31+BC32-BL31)))</f>
        <v>188.20000000000007</v>
      </c>
      <c r="BE32" s="14">
        <f>BD32*VLOOKUP('Données projet'!$B$11,Paramètres!$A$1:$I$88,3,0)*VLOOKUP('Données projet'!$B$11,Paramètres!$A$1:$I$88,5,0)</f>
        <v>164.41152000000008</v>
      </c>
      <c r="BF32" s="14">
        <f t="shared" si="37"/>
        <v>41.835965488659568</v>
      </c>
      <c r="BG32" s="22">
        <f t="shared" si="7"/>
        <v>359.21437055941556</v>
      </c>
      <c r="BH32" s="62">
        <f t="shared" si="8"/>
        <v>652.54770389274881</v>
      </c>
      <c r="BI32" s="62">
        <f ca="1">AVERAGE(OFFSET($BH$3,0,0,'Données projet'!$E$11+1,1))-AVERAGE(OFFSET($H$3,0,0,'Données projet'!$E$11+1,1))</f>
        <v>223.81948236065614</v>
      </c>
      <c r="BJ32" s="62">
        <f t="shared" si="38"/>
        <v>320.1204011431372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4.0285990664297735</v>
      </c>
      <c r="BR32" s="23">
        <f>EXP(-LN(2)/2)*BR31+(1-EXP(-LN(2)/2))/(LN(2)/2)*BL32*BO32*VLOOKUP('Données projet'!$B$11,Paramètres!$A$1:$I$88,3,0)*0.475*44/12</f>
        <v>0.4553464457925277</v>
      </c>
      <c r="BS32" s="24">
        <f t="shared" si="9"/>
        <v>4.4839455122223013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360</v>
      </c>
      <c r="L33" s="13">
        <f>VLOOKUP(A33,'Données projet'!$A$35:$I$55,9,0)</f>
        <v>24.9</v>
      </c>
      <c r="M33" s="13">
        <f t="array" ref="M33">INDEX(L:L,MIN(IF(ISNUMBER(L33:L229),ROW(L33:L229),"")))</f>
        <v>24.9</v>
      </c>
      <c r="N33" s="14">
        <f>IF('Données projet'!$A$36&gt;35,N32+M33-V32,IF(A33&lt;'Données projet'!$A$36,$K$205^A33,IF(A33='Données projet'!$A$36,'Données projet'!$B$36,N32+M33-V32)))</f>
        <v>359.99999999999994</v>
      </c>
      <c r="O33" s="14">
        <f>N33*VLOOKUP('Données projet'!$B$9,Paramètres!$A$1:$I$88,3,0)*VLOOKUP('Données projet'!$B$9,Paramètres!$A$1:$I$88,5,0)</f>
        <v>201.23999999999998</v>
      </c>
      <c r="P33" s="14">
        <f t="shared" si="33"/>
        <v>50.016584086333268</v>
      </c>
      <c r="Q33" s="22">
        <f t="shared" si="2"/>
        <v>437.60521728369707</v>
      </c>
      <c r="R33" s="62">
        <f t="shared" si="0"/>
        <v>730.93855061703039</v>
      </c>
      <c r="S33" s="62">
        <f ca="1">AVERAGE(OFFSET($R$3,0,0,'Données projet'!$E$9+1,1))-AVERAGE(OFFSET($H$3,0,0,'Données projet'!$E$9+1,1))</f>
        <v>373.16487843768437</v>
      </c>
      <c r="T33" s="62">
        <f t="shared" si="34"/>
        <v>376.53494965377718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126</v>
      </c>
      <c r="W33" s="17">
        <f>IF(ISNA(VLOOKUP(A33,'Données projet'!$A$35:$I$55,5,0)),0%,VLOOKUP(A33,'Données projet'!$A$35:$I$55,5,0)*VLOOKUP('Données projet'!$B$9,Paramètres!$A$1:$I$88,7,0))</f>
        <v>0.22000000000000003</v>
      </c>
      <c r="X33" s="17">
        <f>IF(ISNA(VLOOKUP(A33,'Données projet'!$A$35:$I$55,6,0)),0%,VLOOKUP(A33,'Données projet'!$A$35:$I$55,6,0)*VLOOKUP('Données projet'!$B$9,Paramètres!$A$1:$I$88,7,0))</f>
        <v>0.16500000000000001</v>
      </c>
      <c r="Y33" s="17">
        <f>IF(ISNA(VLOOKUP(A33,'Données projet'!$A$35:$I$55,7,0)),0%,VLOOKUP(A33,'Données projet'!$A$35:$I$55,7,0))</f>
        <v>0.3</v>
      </c>
      <c r="Z33" s="23">
        <f>EXP(-LN(2)/35)*Z32+(1-EXP(-LN(2)/35))/(LN(2)/35)*V33*W33*VLOOKUP('Données projet'!$B$9,Paramètres!$A$1:$I$88,3,0)*0.475*44/12</f>
        <v>20.555752987974291</v>
      </c>
      <c r="AA33" s="23">
        <f>EXP(-LN(2)/25)*AA32+(1-EXP(-LN(2)/25))/(LN(2)/25)*Calculateur!V33*Calculateur!X33*VLOOKUP('Données projet'!$B$9,Paramètres!$A$1:$I$88,3,0)*0.475*44/12</f>
        <v>32.90511202290606</v>
      </c>
      <c r="AB33" s="23">
        <f>EXP(-LN(2)/2)*AB32+(1-EXP(-LN(2)/2))/(LN(2)/2)*V33*Y33*VLOOKUP('Données projet'!$B$9,Paramètres!$A$1:$I$88,3,0)*0.475*44/12</f>
        <v>25.051679821196409</v>
      </c>
      <c r="AC33" s="24">
        <f t="shared" si="3"/>
        <v>78.51254483207677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260</v>
      </c>
      <c r="AG33" s="13">
        <f>VLOOKUP(A33,'Données projet'!$A$61:$I$81,9,0)</f>
        <v>16.399999999999999</v>
      </c>
      <c r="AH33" s="13">
        <f t="array" ref="AH33">INDEX(AG:AG,MIN(IF(ISNUMBER(AG33:AG229),ROW(AG33:AG229),"")))</f>
        <v>16.399999999999999</v>
      </c>
      <c r="AI33" s="14">
        <f>IF('Données projet'!$A$62&gt;35,AI32+AH33-AQ32,IF(A33&lt;'Données projet'!$A$62,$AF$205^A33,IF(A33='Données projet'!$A$62,'Données projet'!$B$62,AI32+AH33-AQ32)))</f>
        <v>260</v>
      </c>
      <c r="AJ33" s="14">
        <f>AI33*VLOOKUP('Données projet'!$B$10,Paramètres!$A$1:$I$88,3,0)*VLOOKUP('Données projet'!$B$10,Paramètres!$A$1:$I$88,5,0)</f>
        <v>141.96</v>
      </c>
      <c r="AK33" s="14">
        <f t="shared" si="35"/>
        <v>36.745650011720485</v>
      </c>
      <c r="AL33" s="22">
        <f t="shared" si="4"/>
        <v>311.24567377041313</v>
      </c>
      <c r="AM33" s="62">
        <f t="shared" si="5"/>
        <v>604.57900710374645</v>
      </c>
      <c r="AN33" s="62">
        <f ca="1">AVERAGE(OFFSET($AM$3,0,0,'Données projet'!$E$10+1,1))-AVERAGE(OFFSET($H$3,0,0,'Données projet'!$E$10+1,1))</f>
        <v>210.04871822652808</v>
      </c>
      <c r="AO33" s="62">
        <f t="shared" si="36"/>
        <v>250.17540614049324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84</v>
      </c>
      <c r="AR33" s="17">
        <f>IF(ISNA(VLOOKUP(A33,'Données projet'!$A$61:$I$81,5,0)),0%,VLOOKUP(A33,'Données projet'!$A$61:$I$81,5,0)*VLOOKUP('Données projet'!$B$10,Paramètres!$A$1:$I$88,7,0))</f>
        <v>0.12</v>
      </c>
      <c r="AS33" s="17">
        <f>IF(ISNA(VLOOKUP(A33,'Données projet'!$A$61:$I$81,6,0)),0%,VLOOKUP(A33,'Données projet'!$A$61:$I$81,6,0)*VLOOKUP('Données projet'!$B$10,Paramètres!$A$1:$I$88,7,0))</f>
        <v>0.24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projet'!$B$10,Paramètres!$A$1:$I$88,3,0)*0.475*44/12</f>
        <v>7.3009862621134873</v>
      </c>
      <c r="AV33" s="23">
        <f>EXP(-LN(2)/25)*AV32+(1-EXP(-LN(2)/25))/(LN(2)/25)*Calculateur!AQ33*Calculateur!AS33*VLOOKUP('Données projet'!$B$10,Paramètres!$A$1:$I$88,3,0)*0.475*44/12</f>
        <v>27.830713584157436</v>
      </c>
      <c r="AW33" s="23">
        <f>EXP(-LN(2)/2)*AW32+(1-EXP(-LN(2)/2))/(LN(2)/2)*AQ33*AT33*VLOOKUP('Données projet'!$B$10,Paramètres!$A$1:$I$88,3,0)*0.475*44/12</f>
        <v>21.553888737351617</v>
      </c>
      <c r="AX33" s="23">
        <f t="shared" si="6"/>
        <v>56.685588583622547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200</v>
      </c>
      <c r="BB33" s="13">
        <f>VLOOKUP(A33,'Données projet'!$A$87:$I$107,9,0)</f>
        <v>11.8</v>
      </c>
      <c r="BC33" s="13">
        <f t="array" ref="BC33">INDEX(BB:BB,MIN(IF(ISNUMBER(BB33:BB229),ROW(BB33:BB229),"")))</f>
        <v>11.8</v>
      </c>
      <c r="BD33" s="13">
        <f>IF('Données projet'!$A$88&gt;35,BD32+BC33-BL32,IF(A33&lt;'Données projet'!$A$88,$BA$205^A33,IF(A33='Données projet'!$A$88,'Données projet'!$B$88,BD32+BC33-BL32)))</f>
        <v>200.00000000000009</v>
      </c>
      <c r="BE33" s="14">
        <f>BD33*VLOOKUP('Données projet'!$B$11,Paramètres!$A$1:$I$88,3,0)*VLOOKUP('Données projet'!$B$11,Paramètres!$A$1:$I$88,5,0)</f>
        <v>174.72000000000008</v>
      </c>
      <c r="BF33" s="14">
        <f t="shared" si="37"/>
        <v>44.145455754865246</v>
      </c>
      <c r="BG33" s="22">
        <f t="shared" si="7"/>
        <v>381.1906687730571</v>
      </c>
      <c r="BH33" s="62">
        <f t="shared" si="8"/>
        <v>674.52400210639041</v>
      </c>
      <c r="BI33" s="62">
        <f ca="1">AVERAGE(OFFSET($BH$3,0,0,'Données projet'!$E$11+1,1))-AVERAGE(OFFSET($H$3,0,0,'Données projet'!$E$11+1,1))</f>
        <v>223.81948236065614</v>
      </c>
      <c r="BJ33" s="62">
        <f t="shared" si="38"/>
        <v>320.1204011431372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74</v>
      </c>
      <c r="BM33" s="17">
        <f>IF(ISNA(VLOOKUP(A33,'Données projet'!$A$87:$I$107,5,0)),0%,VLOOKUP(A33,'Données projet'!$A$87:$I$107,5,0)*VLOOKUP('Données projet'!$B$11,Paramètres!$A$1:$I$88,7,0))</f>
        <v>4.3000000000000003E-2</v>
      </c>
      <c r="BN33" s="17">
        <f>IF(ISNA(VLOOKUP(A33,'Données projet'!$A$87:$I$107,6,0)),0%,VLOOKUP(A33,'Données projet'!$A$87:$I$107,6,0)*VLOOKUP('Données projet'!$B$11,Paramètres!$A$1:$I$88,7,0))</f>
        <v>0.19350000000000001</v>
      </c>
      <c r="BO33" s="17">
        <f>IF(ISNA(VLOOKUP(A33,'Données projet'!$A$87:$I$107,7,0)),0%,VLOOKUP(A33,'Données projet'!$A$87:$I$107,7,0))</f>
        <v>0.45</v>
      </c>
      <c r="BP33" s="23">
        <f>EXP(-LN(2)/35)*BP32+(1-EXP(-LN(2)/35))/(LN(2)/35)*BL33*BM33*VLOOKUP('Données projet'!$B$11,Paramètres!$A$1:$I$88,3,0)*0.475*44/12</f>
        <v>3.0729812547678734</v>
      </c>
      <c r="BQ33" s="23">
        <f>EXP(-LN(2)/25)*BQ32+(1-EXP(-LN(2)/25))/(LN(2)/25)*Calculateur!BL33*Calculateur!BN33*VLOOKUP('Données projet'!$B$11,Paramètres!$A$1:$I$88,3,0)*0.475*44/12</f>
        <v>17.692404718119324</v>
      </c>
      <c r="BR33" s="23">
        <f>EXP(-LN(2)/2)*BR32+(1-EXP(-LN(2)/2))/(LN(2)/2)*BL33*BO33*VLOOKUP('Données projet'!$B$11,Paramètres!$A$1:$I$88,3,0)*0.475*44/12</f>
        <v>27.770006809164684</v>
      </c>
      <c r="BS33" s="24">
        <f t="shared" si="9"/>
        <v>48.535392782051886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24.3</v>
      </c>
      <c r="N34" s="14">
        <f>IF('Données projet'!$A$36&gt;35,N33+M34-V33,IF(A34&lt;'Données projet'!$A$36,$K$205^A34,IF(A34='Données projet'!$A$36,'Données projet'!$B$36,N33+M34-V33)))</f>
        <v>258.29999999999995</v>
      </c>
      <c r="O34" s="14">
        <f>N34*VLOOKUP('Données projet'!$B$9,Paramètres!$A$1:$I$88,3,0)*VLOOKUP('Données projet'!$B$9,Paramètres!$A$1:$I$88,5,0)</f>
        <v>144.38969999999998</v>
      </c>
      <c r="P34" s="14">
        <f t="shared" si="33"/>
        <v>37.30081007271778</v>
      </c>
      <c r="Q34" s="22">
        <f t="shared" si="2"/>
        <v>316.44430504331677</v>
      </c>
      <c r="R34" s="62">
        <f t="shared" si="0"/>
        <v>609.77763837665009</v>
      </c>
      <c r="S34" s="62">
        <f ca="1">AVERAGE(OFFSET($R$3,0,0,'Données projet'!$E$9+1,1))-AVERAGE(OFFSET($H$3,0,0,'Données projet'!$E$9+1,1))</f>
        <v>373.16487843768437</v>
      </c>
      <c r="T34" s="62">
        <f t="shared" si="34"/>
        <v>376.53494965377718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20.152667209651437</v>
      </c>
      <c r="AA34" s="23">
        <f>EXP(-LN(2)/25)*AA33+(1-EXP(-LN(2)/25))/(LN(2)/25)*Calculateur!V34*Calculateur!X34*VLOOKUP('Données projet'!$B$9,Paramètres!$A$1:$I$88,3,0)*0.475*44/12</f>
        <v>32.00532000423506</v>
      </c>
      <c r="AB34" s="23">
        <f>EXP(-LN(2)/2)*AB33+(1-EXP(-LN(2)/2))/(LN(2)/2)*V34*Y34*VLOOKUP('Données projet'!$B$9,Paramètres!$A$1:$I$88,3,0)*0.475*44/12</f>
        <v>17.714212681682177</v>
      </c>
      <c r="AC34" s="24">
        <f t="shared" si="3"/>
        <v>69.872199895568684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13.8</v>
      </c>
      <c r="AI34" s="14">
        <f>IF('Données projet'!$A$62&gt;35,AI33+AH34-AQ33,IF(A34&lt;'Données projet'!$A$62,$AF$205^A34,IF(A34='Données projet'!$A$62,'Données projet'!$B$62,AI33+AH34-AQ33)))</f>
        <v>189.8</v>
      </c>
      <c r="AJ34" s="14">
        <f>AI34*VLOOKUP('Données projet'!$B$10,Paramètres!$A$1:$I$88,3,0)*VLOOKUP('Données projet'!$B$10,Paramètres!$A$1:$I$88,5,0)</f>
        <v>103.63080000000001</v>
      </c>
      <c r="AK34" s="14">
        <f t="shared" si="35"/>
        <v>27.825181985080775</v>
      </c>
      <c r="AL34" s="22">
        <f t="shared" si="4"/>
        <v>228.952501957349</v>
      </c>
      <c r="AM34" s="62">
        <f t="shared" si="5"/>
        <v>522.28583529068237</v>
      </c>
      <c r="AN34" s="62">
        <f ca="1">AVERAGE(OFFSET($AM$3,0,0,'Données projet'!$E$10+1,1))-AVERAGE(OFFSET($H$3,0,0,'Données projet'!$E$10+1,1))</f>
        <v>210.04871822652808</v>
      </c>
      <c r="AO34" s="62">
        <f t="shared" si="36"/>
        <v>250.17540614049324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7.1578183746753483</v>
      </c>
      <c r="AV34" s="23">
        <f>EXP(-LN(2)/25)*AV33+(1-EXP(-LN(2)/25))/(LN(2)/25)*Calculateur!AQ34*Calculateur!AS34*VLOOKUP('Données projet'!$B$10,Paramètres!$A$1:$I$88,3,0)*0.475*44/12</f>
        <v>27.069681257645033</v>
      </c>
      <c r="AW34" s="23">
        <f>EXP(-LN(2)/2)*AW33+(1-EXP(-LN(2)/2))/(LN(2)/2)*AQ34*AT34*VLOOKUP('Données projet'!$B$10,Paramètres!$A$1:$I$88,3,0)*0.475*44/12</f>
        <v>15.240900887121683</v>
      </c>
      <c r="AX34" s="23">
        <f t="shared" si="6"/>
        <v>49.468400519442064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10.1</v>
      </c>
      <c r="BD34" s="13">
        <f>IF('Données projet'!$A$88&gt;35,BD33+BC34-BL33,IF(A34&lt;'Données projet'!$A$88,$BA$205^A34,IF(A34='Données projet'!$A$88,'Données projet'!$B$88,BD33+BC34-BL33)))</f>
        <v>136.10000000000008</v>
      </c>
      <c r="BE34" s="14">
        <f>BD34*VLOOKUP('Données projet'!$B$11,Paramètres!$A$1:$I$88,3,0)*VLOOKUP('Données projet'!$B$11,Paramètres!$A$1:$I$88,5,0)</f>
        <v>118.89696000000008</v>
      </c>
      <c r="BF34" s="14">
        <f t="shared" si="37"/>
        <v>31.417595224301145</v>
      </c>
      <c r="BG34" s="22">
        <f t="shared" si="7"/>
        <v>261.79785034899129</v>
      </c>
      <c r="BH34" s="62">
        <f t="shared" si="8"/>
        <v>555.1311836823246</v>
      </c>
      <c r="BI34" s="62">
        <f ca="1">AVERAGE(OFFSET($BH$3,0,0,'Données projet'!$E$11+1,1))-AVERAGE(OFFSET($H$3,0,0,'Données projet'!$E$11+1,1))</f>
        <v>223.81948236065614</v>
      </c>
      <c r="BJ34" s="62">
        <f t="shared" si="38"/>
        <v>320.1204011431372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3.012721966695366</v>
      </c>
      <c r="BQ34" s="23">
        <f>EXP(-LN(2)/25)*BQ33+(1-EXP(-LN(2)/25))/(LN(2)/25)*Calculateur!BL34*Calculateur!BN34*VLOOKUP('Données projet'!$B$11,Paramètres!$A$1:$I$88,3,0)*0.475*44/12</f>
        <v>17.208604980699224</v>
      </c>
      <c r="BR34" s="23">
        <f>EXP(-LN(2)/2)*BR33+(1-EXP(-LN(2)/2))/(LN(2)/2)*BL34*BO34*VLOOKUP('Données projet'!$B$11,Paramètres!$A$1:$I$88,3,0)*0.475*44/12</f>
        <v>19.636360128356948</v>
      </c>
      <c r="BS34" s="24">
        <f t="shared" si="9"/>
        <v>39.857687075751542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24.3</v>
      </c>
      <c r="N35" s="14">
        <f>IF('Données projet'!$A$36&gt;35,N34+M35-V34,IF(A35&lt;'Données projet'!$A$36,$K$205^A35,IF(A35='Données projet'!$A$36,'Données projet'!$B$36,N34+M35-V34)))</f>
        <v>282.59999999999997</v>
      </c>
      <c r="O35" s="14">
        <f>N35*VLOOKUP('Données projet'!$B$9,Paramètres!$A$1:$I$88,3,0)*VLOOKUP('Données projet'!$B$9,Paramètres!$A$1:$I$88,5,0)</f>
        <v>157.9734</v>
      </c>
      <c r="P35" s="14">
        <f t="shared" si="33"/>
        <v>40.38507155381253</v>
      </c>
      <c r="Q35" s="22">
        <f t="shared" ref="Q35:Q66" si="53">(O35+P35)*0.475*44/12</f>
        <v>345.47433795622351</v>
      </c>
      <c r="R35" s="62">
        <f t="shared" si="0"/>
        <v>638.80767128955677</v>
      </c>
      <c r="S35" s="62">
        <f ca="1">AVERAGE(OFFSET($R$3,0,0,'Données projet'!$E$9+1,1))-AVERAGE(OFFSET($H$3,0,0,'Données projet'!$E$9+1,1))</f>
        <v>373.16487843768437</v>
      </c>
      <c r="T35" s="62">
        <f t="shared" si="34"/>
        <v>376.53494965377718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19.757485697583444</v>
      </c>
      <c r="AA35" s="23">
        <f>EXP(-LN(2)/25)*AA34+(1-EXP(-LN(2)/25))/(LN(2)/25)*Calculateur!V35*Calculateur!X35*VLOOKUP('Données projet'!$B$9,Paramètres!$A$1:$I$88,3,0)*0.475*44/12</f>
        <v>31.130132845632623</v>
      </c>
      <c r="AB35" s="23">
        <f>EXP(-LN(2)/2)*AB34+(1-EXP(-LN(2)/2))/(LN(2)/2)*V35*Y35*VLOOKUP('Données projet'!$B$9,Paramètres!$A$1:$I$88,3,0)*0.475*44/12</f>
        <v>12.525839910598206</v>
      </c>
      <c r="AC35" s="24">
        <f t="shared" si="3"/>
        <v>63.413458453814272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13.8</v>
      </c>
      <c r="AI35" s="14">
        <f>IF('Données projet'!$A$62&gt;35,AI34+AH35-AQ34,IF(A35&lt;'Données projet'!$A$62,$AF$205^A35,IF(A35='Données projet'!$A$62,'Données projet'!$B$62,AI34+AH35-AQ34)))</f>
        <v>203.60000000000002</v>
      </c>
      <c r="AJ35" s="14">
        <f>AI35*VLOOKUP('Données projet'!$B$10,Paramètres!$A$1:$I$88,3,0)*VLOOKUP('Données projet'!$B$10,Paramètres!$A$1:$I$88,5,0)</f>
        <v>111.1656</v>
      </c>
      <c r="AK35" s="14">
        <f t="shared" si="35"/>
        <v>29.60544032483066</v>
      </c>
      <c r="AL35" s="22">
        <f t="shared" si="4"/>
        <v>245.17622856574675</v>
      </c>
      <c r="AM35" s="62">
        <f t="shared" si="5"/>
        <v>538.50956189908004</v>
      </c>
      <c r="AN35" s="62">
        <f ca="1">AVERAGE(OFFSET($AM$3,0,0,'Données projet'!$E$10+1,1))-AVERAGE(OFFSET($H$3,0,0,'Données projet'!$E$10+1,1))</f>
        <v>210.04871822652808</v>
      </c>
      <c r="AO35" s="62">
        <f t="shared" si="36"/>
        <v>250.17540614049324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7.0174579221860824</v>
      </c>
      <c r="AV35" s="23">
        <f>EXP(-LN(2)/25)*AV34+(1-EXP(-LN(2)/25))/(LN(2)/25)*Calculateur!AQ35*Calculateur!AS35*VLOOKUP('Données projet'!$B$10,Paramètres!$A$1:$I$88,3,0)*0.475*44/12</f>
        <v>26.329459400122062</v>
      </c>
      <c r="AW35" s="23">
        <f>EXP(-LN(2)/2)*AW34+(1-EXP(-LN(2)/2))/(LN(2)/2)*AQ35*AT35*VLOOKUP('Données projet'!$B$10,Paramètres!$A$1:$I$88,3,0)*0.475*44/12</f>
        <v>10.77694436867581</v>
      </c>
      <c r="AX35" s="23">
        <f t="shared" si="6"/>
        <v>44.123861690983958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10.1</v>
      </c>
      <c r="BD35" s="13">
        <f>IF('Données projet'!$A$88&gt;35,BD34+BC35-BL34,IF(A35&lt;'Données projet'!$A$88,$BA$205^A35,IF(A35='Données projet'!$A$88,'Données projet'!$B$88,BD34+BC35-BL34)))</f>
        <v>146.20000000000007</v>
      </c>
      <c r="BE35" s="14">
        <f>BD35*VLOOKUP('Données projet'!$B$11,Paramètres!$A$1:$I$88,3,0)*VLOOKUP('Données projet'!$B$11,Paramètres!$A$1:$I$88,5,0)</f>
        <v>127.72032000000007</v>
      </c>
      <c r="BF35" s="14">
        <f t="shared" si="37"/>
        <v>33.469051060164432</v>
      </c>
      <c r="BG35" s="22">
        <f t="shared" si="7"/>
        <v>280.73815459645317</v>
      </c>
      <c r="BH35" s="62">
        <f t="shared" si="8"/>
        <v>574.07148792978649</v>
      </c>
      <c r="BI35" s="62">
        <f ca="1">AVERAGE(OFFSET($BH$3,0,0,'Données projet'!$E$11+1,1))-AVERAGE(OFFSET($H$3,0,0,'Données projet'!$E$11+1,1))</f>
        <v>223.81948236065614</v>
      </c>
      <c r="BJ35" s="62">
        <f t="shared" si="38"/>
        <v>320.1204011431372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2.9536443265074235</v>
      </c>
      <c r="BQ35" s="23">
        <f>EXP(-LN(2)/25)*BQ34+(1-EXP(-LN(2)/25))/(LN(2)/25)*Calculateur!BL35*Calculateur!BN35*VLOOKUP('Données projet'!$B$11,Paramètres!$A$1:$I$88,3,0)*0.475*44/12</f>
        <v>16.7380347725408</v>
      </c>
      <c r="BR35" s="23">
        <f>EXP(-LN(2)/2)*BR34+(1-EXP(-LN(2)/2))/(LN(2)/2)*BL35*BO35*VLOOKUP('Données projet'!$B$11,Paramètres!$A$1:$I$88,3,0)*0.475*44/12</f>
        <v>13.885003404582344</v>
      </c>
      <c r="BS35" s="24">
        <f t="shared" si="9"/>
        <v>33.576682503630565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24.3</v>
      </c>
      <c r="N36" s="14">
        <f>IF('Données projet'!$A$36&gt;35,N35+M36-V35,IF(A36&lt;'Données projet'!$A$36,$K$205^A36,IF(A36='Données projet'!$A$36,'Données projet'!$B$36,N35+M36-V35)))</f>
        <v>306.89999999999998</v>
      </c>
      <c r="O36" s="14">
        <f>N36*VLOOKUP('Données projet'!$B$9,Paramètres!$A$1:$I$88,3,0)*VLOOKUP('Données projet'!$B$9,Paramètres!$A$1:$I$88,5,0)</f>
        <v>171.55709999999999</v>
      </c>
      <c r="P36" s="14">
        <f t="shared" si="33"/>
        <v>43.43857691318567</v>
      </c>
      <c r="Q36" s="22">
        <f t="shared" si="53"/>
        <v>374.45080395713165</v>
      </c>
      <c r="R36" s="62">
        <f t="shared" si="0"/>
        <v>667.78413729046497</v>
      </c>
      <c r="S36" s="62">
        <f ca="1">AVERAGE(OFFSET($R$3,0,0,'Données projet'!$E$9+1,1))-AVERAGE(OFFSET($H$3,0,0,'Données projet'!$E$9+1,1))</f>
        <v>373.16487843768437</v>
      </c>
      <c r="T36" s="62">
        <f t="shared" si="34"/>
        <v>376.53494965377718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19.370053453930183</v>
      </c>
      <c r="AA36" s="23">
        <f>EXP(-LN(2)/25)*AA35+(1-EXP(-LN(2)/25))/(LN(2)/25)*Calculateur!V36*Calculateur!X36*VLOOKUP('Données projet'!$B$9,Paramètres!$A$1:$I$88,3,0)*0.475*44/12</f>
        <v>30.278877725906263</v>
      </c>
      <c r="AB36" s="23">
        <f>EXP(-LN(2)/2)*AB35+(1-EXP(-LN(2)/2))/(LN(2)/2)*V36*Y36*VLOOKUP('Données projet'!$B$9,Paramètres!$A$1:$I$88,3,0)*0.475*44/12</f>
        <v>8.8571063408410904</v>
      </c>
      <c r="AC36" s="24">
        <f t="shared" si="3"/>
        <v>58.506037520677538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13.8</v>
      </c>
      <c r="AI36" s="14">
        <f>IF('Données projet'!$A$62&gt;35,AI35+AH36-AQ35,IF(A36&lt;'Données projet'!$A$62,$AF$205^A36,IF(A36='Données projet'!$A$62,'Données projet'!$B$62,AI35+AH36-AQ35)))</f>
        <v>217.40000000000003</v>
      </c>
      <c r="AJ36" s="14">
        <f>AI36*VLOOKUP('Données projet'!$B$10,Paramètres!$A$1:$I$88,3,0)*VLOOKUP('Données projet'!$B$10,Paramètres!$A$1:$I$88,5,0)</f>
        <v>118.70040000000002</v>
      </c>
      <c r="AK36" s="14">
        <f t="shared" si="35"/>
        <v>31.371697109278699</v>
      </c>
      <c r="AL36" s="22">
        <f t="shared" si="4"/>
        <v>261.37556913199376</v>
      </c>
      <c r="AM36" s="62">
        <f t="shared" si="5"/>
        <v>554.70890246532713</v>
      </c>
      <c r="AN36" s="62">
        <f ca="1">AVERAGE(OFFSET($AM$3,0,0,'Données projet'!$E$10+1,1))-AVERAGE(OFFSET($H$3,0,0,'Données projet'!$E$10+1,1))</f>
        <v>210.04871822652808</v>
      </c>
      <c r="AO36" s="62">
        <f t="shared" si="36"/>
        <v>250.17540614049324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6.8798498525587082</v>
      </c>
      <c r="AV36" s="23">
        <f>EXP(-LN(2)/25)*AV35+(1-EXP(-LN(2)/25))/(LN(2)/25)*Calculateur!AQ36*Calculateur!AS36*VLOOKUP('Données projet'!$B$10,Paramètres!$A$1:$I$88,3,0)*0.475*44/12</f>
        <v>25.609478948219632</v>
      </c>
      <c r="AW36" s="23">
        <f>EXP(-LN(2)/2)*AW35+(1-EXP(-LN(2)/2))/(LN(2)/2)*AQ36*AT36*VLOOKUP('Données projet'!$B$10,Paramètres!$A$1:$I$88,3,0)*0.475*44/12</f>
        <v>7.6204504435608422</v>
      </c>
      <c r="AX36" s="23">
        <f t="shared" si="6"/>
        <v>40.10977924433918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10.1</v>
      </c>
      <c r="BD36" s="13">
        <f>IF('Données projet'!$A$88&gt;35,BD35+BC36-BL35,IF(A36&lt;'Données projet'!$A$88,$BA$205^A36,IF(A36='Données projet'!$A$88,'Données projet'!$B$88,BD35+BC36-BL35)))</f>
        <v>156.30000000000007</v>
      </c>
      <c r="BE36" s="14">
        <f>BD36*VLOOKUP('Données projet'!$B$11,Paramètres!$A$1:$I$88,3,0)*VLOOKUP('Données projet'!$B$11,Paramètres!$A$1:$I$88,5,0)</f>
        <v>136.54368000000008</v>
      </c>
      <c r="BF36" s="14">
        <f t="shared" si="37"/>
        <v>35.504062844328153</v>
      </c>
      <c r="BG36" s="22">
        <f t="shared" si="7"/>
        <v>299.64981878720499</v>
      </c>
      <c r="BH36" s="62">
        <f t="shared" si="8"/>
        <v>592.98315212053831</v>
      </c>
      <c r="BI36" s="62">
        <f ca="1">AVERAGE(OFFSET($BH$3,0,0,'Données projet'!$E$11+1,1))-AVERAGE(OFFSET($H$3,0,0,'Données projet'!$E$11+1,1))</f>
        <v>223.81948236065614</v>
      </c>
      <c r="BJ36" s="62">
        <f t="shared" si="38"/>
        <v>320.1204011431372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2.8957251628097644</v>
      </c>
      <c r="BQ36" s="23">
        <f>EXP(-LN(2)/25)*BQ35+(1-EXP(-LN(2)/25))/(LN(2)/25)*Calculateur!BL36*Calculateur!BN36*VLOOKUP('Données projet'!$B$11,Paramètres!$A$1:$I$88,3,0)*0.475*44/12</f>
        <v>16.280332331470678</v>
      </c>
      <c r="BR36" s="23">
        <f>EXP(-LN(2)/2)*BR35+(1-EXP(-LN(2)/2))/(LN(2)/2)*BL36*BO36*VLOOKUP('Données projet'!$B$11,Paramètres!$A$1:$I$88,3,0)*0.475*44/12</f>
        <v>9.8181800641784758</v>
      </c>
      <c r="BS36" s="24">
        <f t="shared" si="9"/>
        <v>28.99423755845892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24.3</v>
      </c>
      <c r="N37" s="14">
        <f>IF('Données projet'!$A$36&gt;35,N36+M37-V36,IF(A37&lt;'Données projet'!$A$36,$K$205^A37,IF(A37='Données projet'!$A$36,'Données projet'!$B$36,N36+M37-V36)))</f>
        <v>331.2</v>
      </c>
      <c r="O37" s="14">
        <f>N37*VLOOKUP('Données projet'!$B$9,Paramètres!$A$1:$I$88,3,0)*VLOOKUP('Données projet'!$B$9,Paramètres!$A$1:$I$88,5,0)</f>
        <v>185.14080000000001</v>
      </c>
      <c r="P37" s="14">
        <f t="shared" si="33"/>
        <v>46.464038253813506</v>
      </c>
      <c r="Q37" s="22">
        <f t="shared" si="53"/>
        <v>403.3784266253918</v>
      </c>
      <c r="R37" s="62">
        <f t="shared" si="0"/>
        <v>696.71175995872511</v>
      </c>
      <c r="S37" s="62">
        <f ca="1">AVERAGE(OFFSET($R$3,0,0,'Données projet'!$E$9+1,1))-AVERAGE(OFFSET($H$3,0,0,'Données projet'!$E$9+1,1))</f>
        <v>373.16487843768437</v>
      </c>
      <c r="T37" s="62">
        <f t="shared" si="34"/>
        <v>376.53494965377718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18.990218520264627</v>
      </c>
      <c r="AA37" s="23">
        <f>EXP(-LN(2)/25)*AA36+(1-EXP(-LN(2)/25))/(LN(2)/25)*Calculateur!V37*Calculateur!X37*VLOOKUP('Données projet'!$B$9,Paramètres!$A$1:$I$88,3,0)*0.475*44/12</f>
        <v>29.450900222194381</v>
      </c>
      <c r="AB37" s="23">
        <f>EXP(-LN(2)/2)*AB36+(1-EXP(-LN(2)/2))/(LN(2)/2)*V37*Y37*VLOOKUP('Données projet'!$B$9,Paramètres!$A$1:$I$88,3,0)*0.475*44/12</f>
        <v>6.2629199552991039</v>
      </c>
      <c r="AC37" s="24">
        <f t="shared" si="3"/>
        <v>54.704038697758115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13.8</v>
      </c>
      <c r="AI37" s="14">
        <f>IF('Données projet'!$A$62&gt;35,AI36+AH37-AQ36,IF(A37&lt;'Données projet'!$A$62,$AF$205^A37,IF(A37='Données projet'!$A$62,'Données projet'!$B$62,AI36+AH37-AQ36)))</f>
        <v>231.20000000000005</v>
      </c>
      <c r="AJ37" s="14">
        <f>AI37*VLOOKUP('Données projet'!$B$10,Paramètres!$A$1:$I$88,3,0)*VLOOKUP('Données projet'!$B$10,Paramètres!$A$1:$I$88,5,0)</f>
        <v>126.23520000000002</v>
      </c>
      <c r="AK37" s="14">
        <f t="shared" si="35"/>
        <v>33.12494229060627</v>
      </c>
      <c r="AL37" s="22">
        <f t="shared" si="4"/>
        <v>277.55224782280595</v>
      </c>
      <c r="AM37" s="62">
        <f t="shared" si="5"/>
        <v>570.88558115613932</v>
      </c>
      <c r="AN37" s="62">
        <f ca="1">AVERAGE(OFFSET($AM$3,0,0,'Données projet'!$E$10+1,1))-AVERAGE(OFFSET($H$3,0,0,'Données projet'!$E$10+1,1))</f>
        <v>210.04871822652808</v>
      </c>
      <c r="AO37" s="62">
        <f t="shared" si="36"/>
        <v>250.17540614049324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6.7449401932440924</v>
      </c>
      <c r="AV37" s="23">
        <f>EXP(-LN(2)/25)*AV36+(1-EXP(-LN(2)/25))/(LN(2)/25)*Calculateur!AQ37*Calculateur!AS37*VLOOKUP('Données projet'!$B$10,Paramètres!$A$1:$I$88,3,0)*0.475*44/12</f>
        <v>24.909186399636599</v>
      </c>
      <c r="AW37" s="23">
        <f>EXP(-LN(2)/2)*AW36+(1-EXP(-LN(2)/2))/(LN(2)/2)*AQ37*AT37*VLOOKUP('Données projet'!$B$10,Paramètres!$A$1:$I$88,3,0)*0.475*44/12</f>
        <v>5.388472184337906</v>
      </c>
      <c r="AX37" s="23">
        <f t="shared" si="6"/>
        <v>37.042598777218601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10.1</v>
      </c>
      <c r="BD37" s="13">
        <f>IF('Données projet'!$A$88&gt;35,BD36+BC37-BL36,IF(A37&lt;'Données projet'!$A$88,$BA$205^A37,IF(A37='Données projet'!$A$88,'Données projet'!$B$88,BD36+BC37-BL36)))</f>
        <v>166.40000000000006</v>
      </c>
      <c r="BE37" s="14">
        <f>BD37*VLOOKUP('Données projet'!$B$11,Paramètres!$A$1:$I$88,3,0)*VLOOKUP('Données projet'!$B$11,Paramètres!$A$1:$I$88,5,0)</f>
        <v>145.36704000000006</v>
      </c>
      <c r="BF37" s="14">
        <f t="shared" si="37"/>
        <v>37.523814117080832</v>
      </c>
      <c r="BG37" s="22">
        <f t="shared" si="7"/>
        <v>318.53490425391584</v>
      </c>
      <c r="BH37" s="62">
        <f t="shared" si="8"/>
        <v>611.86823758724915</v>
      </c>
      <c r="BI37" s="62">
        <f ca="1">AVERAGE(OFFSET($BH$3,0,0,'Données projet'!$E$11+1,1))-AVERAGE(OFFSET($H$3,0,0,'Données projet'!$E$11+1,1))</f>
        <v>223.81948236065614</v>
      </c>
      <c r="BJ37" s="62">
        <f t="shared" si="38"/>
        <v>320.1204011431372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2.8389417585850145</v>
      </c>
      <c r="BQ37" s="23">
        <f>EXP(-LN(2)/25)*BQ36+(1-EXP(-LN(2)/25))/(LN(2)/25)*Calculateur!BL37*Calculateur!BN37*VLOOKUP('Données projet'!$B$11,Paramètres!$A$1:$I$88,3,0)*0.475*44/12</f>
        <v>15.835145787721144</v>
      </c>
      <c r="BR37" s="23">
        <f>EXP(-LN(2)/2)*BR36+(1-EXP(-LN(2)/2))/(LN(2)/2)*BL37*BO37*VLOOKUP('Données projet'!$B$11,Paramètres!$A$1:$I$88,3,0)*0.475*44/12</f>
        <v>6.9425017022911728</v>
      </c>
      <c r="BS37" s="24">
        <f t="shared" si="9"/>
        <v>25.616589248597329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24.3</v>
      </c>
      <c r="N38" s="14">
        <f>IF('Données projet'!$A$36&gt;35,N37+M38-V37,IF(A38&lt;'Données projet'!$A$36,$K$205^A38,IF(A38='Données projet'!$A$36,'Données projet'!$B$36,N37+M38-V37)))</f>
        <v>355.5</v>
      </c>
      <c r="O38" s="14">
        <f>N38*VLOOKUP('Données projet'!$B$9,Paramètres!$A$1:$I$88,3,0)*VLOOKUP('Données projet'!$B$9,Paramètres!$A$1:$I$88,5,0)</f>
        <v>198.72450000000001</v>
      </c>
      <c r="P38" s="14">
        <f t="shared" si="33"/>
        <v>49.463747138023976</v>
      </c>
      <c r="Q38" s="22">
        <f t="shared" si="53"/>
        <v>432.26119709872506</v>
      </c>
      <c r="R38" s="62">
        <f t="shared" si="0"/>
        <v>725.59453043205838</v>
      </c>
      <c r="S38" s="62">
        <f ca="1">AVERAGE(OFFSET($R$3,0,0,'Données projet'!$E$9+1,1))-AVERAGE(OFFSET($H$3,0,0,'Données projet'!$E$9+1,1))</f>
        <v>373.16487843768437</v>
      </c>
      <c r="T38" s="62">
        <f t="shared" si="34"/>
        <v>376.53494965377718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18.61783191797182</v>
      </c>
      <c r="AA38" s="23">
        <f>EXP(-LN(2)/25)*AA37+(1-EXP(-LN(2)/25))/(LN(2)/25)*Calculateur!V38*Calculateur!X38*VLOOKUP('Données projet'!$B$9,Paramètres!$A$1:$I$88,3,0)*0.475*44/12</f>
        <v>28.645563806862945</v>
      </c>
      <c r="AB38" s="23">
        <f>EXP(-LN(2)/2)*AB37+(1-EXP(-LN(2)/2))/(LN(2)/2)*V38*Y38*VLOOKUP('Données projet'!$B$9,Paramètres!$A$1:$I$88,3,0)*0.475*44/12</f>
        <v>4.4285531704205461</v>
      </c>
      <c r="AC38" s="24">
        <f t="shared" si="3"/>
        <v>51.691948895255308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13.8</v>
      </c>
      <c r="AI38" s="14">
        <f>IF('Données projet'!$A$62&gt;35,AI37+AH38-AQ37,IF(A38&lt;'Données projet'!$A$62,$AF$205^A38,IF(A38='Données projet'!$A$62,'Données projet'!$B$62,AI37+AH38-AQ37)))</f>
        <v>245.00000000000006</v>
      </c>
      <c r="AJ38" s="14">
        <f>AI38*VLOOKUP('Données projet'!$B$10,Paramètres!$A$1:$I$88,3,0)*VLOOKUP('Données projet'!$B$10,Paramètres!$A$1:$I$88,5,0)</f>
        <v>133.77000000000004</v>
      </c>
      <c r="AK38" s="14">
        <f t="shared" si="35"/>
        <v>34.86604096673306</v>
      </c>
      <c r="AL38" s="22">
        <f t="shared" si="4"/>
        <v>293.70777135039344</v>
      </c>
      <c r="AM38" s="62">
        <f t="shared" si="5"/>
        <v>587.04110468372676</v>
      </c>
      <c r="AN38" s="62">
        <f ca="1">AVERAGE(OFFSET($AM$3,0,0,'Données projet'!$E$10+1,1))-AVERAGE(OFFSET($H$3,0,0,'Données projet'!$E$10+1,1))</f>
        <v>210.04871822652808</v>
      </c>
      <c r="AO38" s="62">
        <f t="shared" si="36"/>
        <v>250.17540614049324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6.612676030061869</v>
      </c>
      <c r="AV38" s="23">
        <f>EXP(-LN(2)/25)*AV37+(1-EXP(-LN(2)/25))/(LN(2)/25)*Calculateur!AQ38*Calculateur!AS38*VLOOKUP('Données projet'!$B$10,Paramètres!$A$1:$I$88,3,0)*0.475*44/12</f>
        <v>24.228043387621355</v>
      </c>
      <c r="AW38" s="23">
        <f>EXP(-LN(2)/2)*AW37+(1-EXP(-LN(2)/2))/(LN(2)/2)*AQ38*AT38*VLOOKUP('Données projet'!$B$10,Paramètres!$A$1:$I$88,3,0)*0.475*44/12</f>
        <v>3.8102252217804216</v>
      </c>
      <c r="AX38" s="23">
        <f t="shared" si="6"/>
        <v>34.650944639463646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10.1</v>
      </c>
      <c r="BD38" s="13">
        <f>IF('Données projet'!$A$88&gt;35,BD37+BC38-BL37,IF(A38&lt;'Données projet'!$A$88,$BA$205^A38,IF(A38='Données projet'!$A$88,'Données projet'!$B$88,BD37+BC38-BL37)))</f>
        <v>176.50000000000006</v>
      </c>
      <c r="BE38" s="14">
        <f>BD38*VLOOKUP('Données projet'!$B$11,Paramètres!$A$1:$I$88,3,0)*VLOOKUP('Données projet'!$B$11,Paramètres!$A$1:$I$88,5,0)</f>
        <v>154.19040000000007</v>
      </c>
      <c r="BF38" s="14">
        <f t="shared" si="37"/>
        <v>39.529336625598283</v>
      </c>
      <c r="BG38" s="22">
        <f t="shared" si="7"/>
        <v>337.39520795625043</v>
      </c>
      <c r="BH38" s="62">
        <f t="shared" si="8"/>
        <v>630.72854128958375</v>
      </c>
      <c r="BI38" s="62">
        <f ca="1">AVERAGE(OFFSET($BH$3,0,0,'Données projet'!$E$11+1,1))-AVERAGE(OFFSET($H$3,0,0,'Données projet'!$E$11+1,1))</f>
        <v>223.81948236065614</v>
      </c>
      <c r="BJ38" s="62">
        <f t="shared" si="38"/>
        <v>320.1204011431372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2.7832718422826557</v>
      </c>
      <c r="BQ38" s="23">
        <f>EXP(-LN(2)/25)*BQ37+(1-EXP(-LN(2)/25))/(LN(2)/25)*Calculateur!BL38*Calculateur!BN38*VLOOKUP('Données projet'!$B$11,Paramètres!$A$1:$I$88,3,0)*0.475*44/12</f>
        <v>15.402132893421784</v>
      </c>
      <c r="BR38" s="23">
        <f>EXP(-LN(2)/2)*BR37+(1-EXP(-LN(2)/2))/(LN(2)/2)*BL38*BO38*VLOOKUP('Données projet'!$B$11,Paramètres!$A$1:$I$88,3,0)*0.475*44/12</f>
        <v>4.9090900320892388</v>
      </c>
      <c r="BS38" s="24">
        <f t="shared" si="9"/>
        <v>23.09449476779368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24.3</v>
      </c>
      <c r="N39" s="14">
        <f>IF('Données projet'!$A$36&gt;35,N38+M39-V38,IF(A39&lt;'Données projet'!$A$36,$K$205^A39,IF(A39='Données projet'!$A$36,'Données projet'!$B$36,N38+M39-V38)))</f>
        <v>379.8</v>
      </c>
      <c r="O39" s="14">
        <f>N39*VLOOKUP('Données projet'!$B$9,Paramètres!$A$1:$I$88,3,0)*VLOOKUP('Données projet'!$B$9,Paramètres!$A$1:$I$88,5,0)</f>
        <v>212.3082</v>
      </c>
      <c r="P39" s="14">
        <f t="shared" si="33"/>
        <v>52.439664118821788</v>
      </c>
      <c r="Q39" s="22">
        <f t="shared" si="53"/>
        <v>461.10253000694792</v>
      </c>
      <c r="R39" s="62">
        <f t="shared" si="0"/>
        <v>754.43586334028123</v>
      </c>
      <c r="S39" s="62">
        <f ca="1">AVERAGE(OFFSET($R$3,0,0,'Données projet'!$E$9+1,1))-AVERAGE(OFFSET($H$3,0,0,'Données projet'!$E$9+1,1))</f>
        <v>373.16487843768437</v>
      </c>
      <c r="T39" s="62">
        <f t="shared" si="34"/>
        <v>376.53494965377718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18.252747589816575</v>
      </c>
      <c r="AA39" s="23">
        <f>EXP(-LN(2)/25)*AA38+(1-EXP(-LN(2)/25))/(LN(2)/25)*Calculateur!V39*Calculateur!X39*VLOOKUP('Données projet'!$B$9,Paramètres!$A$1:$I$88,3,0)*0.475*44/12</f>
        <v>27.862249358159549</v>
      </c>
      <c r="AB39" s="23">
        <f>EXP(-LN(2)/2)*AB38+(1-EXP(-LN(2)/2))/(LN(2)/2)*V39*Y39*VLOOKUP('Données projet'!$B$9,Paramètres!$A$1:$I$88,3,0)*0.475*44/12</f>
        <v>3.1314599776495524</v>
      </c>
      <c r="AC39" s="24">
        <f t="shared" si="3"/>
        <v>49.246456925625679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13.8</v>
      </c>
      <c r="AI39" s="14">
        <f>IF('Données projet'!$A$62&gt;35,AI38+AH39-AQ38,IF(A39&lt;'Données projet'!$A$62,$AF$205^A39,IF(A39='Données projet'!$A$62,'Données projet'!$B$62,AI38+AH39-AQ38)))</f>
        <v>258.80000000000007</v>
      </c>
      <c r="AJ39" s="14">
        <f>AI39*VLOOKUP('Données projet'!$B$10,Paramètres!$A$1:$I$88,3,0)*VLOOKUP('Données projet'!$B$10,Paramètres!$A$1:$I$88,5,0)</f>
        <v>141.30480000000003</v>
      </c>
      <c r="AK39" s="14">
        <f t="shared" si="35"/>
        <v>36.595755275288994</v>
      </c>
      <c r="AL39" s="22">
        <f t="shared" si="4"/>
        <v>309.84346710446169</v>
      </c>
      <c r="AM39" s="62">
        <f t="shared" si="5"/>
        <v>603.17680043779501</v>
      </c>
      <c r="AN39" s="62">
        <f ca="1">AVERAGE(OFFSET($AM$3,0,0,'Données projet'!$E$10+1,1))-AVERAGE(OFFSET($H$3,0,0,'Données projet'!$E$10+1,1))</f>
        <v>210.04871822652808</v>
      </c>
      <c r="AO39" s="62">
        <f t="shared" si="36"/>
        <v>250.17540614049324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6.4830054864464755</v>
      </c>
      <c r="AV39" s="23">
        <f>EXP(-LN(2)/25)*AV38+(1-EXP(-LN(2)/25))/(LN(2)/25)*Calculateur!AQ39*Calculateur!AS39*VLOOKUP('Données projet'!$B$10,Paramètres!$A$1:$I$88,3,0)*0.475*44/12</f>
        <v>23.565526267089421</v>
      </c>
      <c r="AW39" s="23">
        <f>EXP(-LN(2)/2)*AW38+(1-EXP(-LN(2)/2))/(LN(2)/2)*AQ39*AT39*VLOOKUP('Données projet'!$B$10,Paramètres!$A$1:$I$88,3,0)*0.475*44/12</f>
        <v>2.6942360921689534</v>
      </c>
      <c r="AX39" s="23">
        <f t="shared" si="6"/>
        <v>32.742767845704847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10.1</v>
      </c>
      <c r="BD39" s="13">
        <f>IF('Données projet'!$A$88&gt;35,BD38+BC39-BL38,IF(A39&lt;'Données projet'!$A$88,$BA$205^A39,IF(A39='Données projet'!$A$88,'Données projet'!$B$88,BD38+BC39-BL38)))</f>
        <v>186.60000000000005</v>
      </c>
      <c r="BE39" s="14">
        <f>BD39*VLOOKUP('Données projet'!$B$11,Paramètres!$A$1:$I$88,3,0)*VLOOKUP('Données projet'!$B$11,Paramètres!$A$1:$I$88,5,0)</f>
        <v>163.01376000000008</v>
      </c>
      <c r="BF39" s="14">
        <f t="shared" si="37"/>
        <v>41.5215373664754</v>
      </c>
      <c r="BG39" s="22">
        <f t="shared" si="7"/>
        <v>356.23230957994474</v>
      </c>
      <c r="BH39" s="62">
        <f t="shared" si="8"/>
        <v>649.565642913278</v>
      </c>
      <c r="BI39" s="62">
        <f ca="1">AVERAGE(OFFSET($BH$3,0,0,'Données projet'!$E$11+1,1))-AVERAGE(OFFSET($H$3,0,0,'Données projet'!$E$11+1,1))</f>
        <v>223.81948236065614</v>
      </c>
      <c r="BJ39" s="62">
        <f t="shared" si="38"/>
        <v>320.1204011431372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2.7286935790836897</v>
      </c>
      <c r="BQ39" s="23">
        <f>EXP(-LN(2)/25)*BQ38+(1-EXP(-LN(2)/25))/(LN(2)/25)*Calculateur!BL39*Calculateur!BN39*VLOOKUP('Données projet'!$B$11,Paramètres!$A$1:$I$88,3,0)*0.475*44/12</f>
        <v>14.980960759488198</v>
      </c>
      <c r="BR39" s="23">
        <f>EXP(-LN(2)/2)*BR38+(1-EXP(-LN(2)/2))/(LN(2)/2)*BL39*BO39*VLOOKUP('Données projet'!$B$11,Paramètres!$A$1:$I$88,3,0)*0.475*44/12</f>
        <v>3.4712508511455873</v>
      </c>
      <c r="BS39" s="24">
        <f t="shared" si="9"/>
        <v>21.180905189717475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24.3</v>
      </c>
      <c r="N40" s="14">
        <f>IF('Données projet'!$A$36&gt;35,N39+M40-V39,IF(A40&lt;'Données projet'!$A$36,$K$205^A40,IF(A40='Données projet'!$A$36,'Données projet'!$B$36,N39+M40-V39)))</f>
        <v>404.1</v>
      </c>
      <c r="O40" s="14">
        <f>N40*VLOOKUP('Données projet'!$B$9,Paramètres!$A$1:$I$88,3,0)*VLOOKUP('Données projet'!$B$9,Paramètres!$A$1:$I$88,5,0)</f>
        <v>225.89190000000002</v>
      </c>
      <c r="P40" s="14">
        <f t="shared" si="33"/>
        <v>55.393484688971533</v>
      </c>
      <c r="Q40" s="22">
        <f t="shared" si="53"/>
        <v>489.90537833329205</v>
      </c>
      <c r="R40" s="62">
        <f t="shared" si="0"/>
        <v>783.23871166662536</v>
      </c>
      <c r="S40" s="62">
        <f ca="1">AVERAGE(OFFSET($R$3,0,0,'Données projet'!$E$9+1,1))-AVERAGE(OFFSET($H$3,0,0,'Données projet'!$E$9+1,1))</f>
        <v>373.16487843768437</v>
      </c>
      <c r="T40" s="62">
        <f t="shared" si="34"/>
        <v>376.53494965377718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17.894822342657001</v>
      </c>
      <c r="AA40" s="23">
        <f>EXP(-LN(2)/25)*AA39+(1-EXP(-LN(2)/25))/(LN(2)/25)*Calculateur!V40*Calculateur!X40*VLOOKUP('Données projet'!$B$9,Paramètres!$A$1:$I$88,3,0)*0.475*44/12</f>
        <v>27.100354684248661</v>
      </c>
      <c r="AB40" s="23">
        <f>EXP(-LN(2)/2)*AB39+(1-EXP(-LN(2)/2))/(LN(2)/2)*V40*Y40*VLOOKUP('Données projet'!$B$9,Paramètres!$A$1:$I$88,3,0)*0.475*44/12</f>
        <v>2.214276585210273</v>
      </c>
      <c r="AC40" s="24">
        <f t="shared" si="3"/>
        <v>47.209453612115936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13.8</v>
      </c>
      <c r="AI40" s="14">
        <f>IF('Données projet'!$A$62&gt;35,AI39+AH40-AQ39,IF(A40&lt;'Données projet'!$A$62,$AF$205^A40,IF(A40='Données projet'!$A$62,'Données projet'!$B$62,AI39+AH40-AQ39)))</f>
        <v>272.60000000000008</v>
      </c>
      <c r="AJ40" s="14">
        <f>AI40*VLOOKUP('Données projet'!$B$10,Paramètres!$A$1:$I$88,3,0)*VLOOKUP('Données projet'!$B$10,Paramètres!$A$1:$I$88,5,0)</f>
        <v>148.83960000000005</v>
      </c>
      <c r="AK40" s="14">
        <f t="shared" si="35"/>
        <v>38.314761484407519</v>
      </c>
      <c r="AL40" s="22">
        <f t="shared" si="4"/>
        <v>325.9605129186765</v>
      </c>
      <c r="AM40" s="62">
        <f t="shared" si="5"/>
        <v>619.29384625200987</v>
      </c>
      <c r="AN40" s="62">
        <f ca="1">AVERAGE(OFFSET($AM$3,0,0,'Données projet'!$E$10+1,1))-AVERAGE(OFFSET($H$3,0,0,'Données projet'!$E$10+1,1))</f>
        <v>210.04871822652808</v>
      </c>
      <c r="AO40" s="62">
        <f t="shared" si="36"/>
        <v>250.17540614049324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6.3558777031001581</v>
      </c>
      <c r="AV40" s="23">
        <f>EXP(-LN(2)/25)*AV39+(1-EXP(-LN(2)/25))/(LN(2)/25)*Calculateur!AQ40*Calculateur!AS40*VLOOKUP('Données projet'!$B$10,Paramètres!$A$1:$I$88,3,0)*0.475*44/12</f>
        <v>22.921125712058693</v>
      </c>
      <c r="AW40" s="23">
        <f>EXP(-LN(2)/2)*AW39+(1-EXP(-LN(2)/2))/(LN(2)/2)*AQ40*AT40*VLOOKUP('Données projet'!$B$10,Paramètres!$A$1:$I$88,3,0)*0.475*44/12</f>
        <v>1.9051126108902112</v>
      </c>
      <c r="AX40" s="23">
        <f t="shared" si="6"/>
        <v>31.182116026049062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10.1</v>
      </c>
      <c r="BD40" s="13">
        <f>IF('Données projet'!$A$88&gt;35,BD39+BC40-BL39,IF(A40&lt;'Données projet'!$A$88,$BA$205^A40,IF(A40='Données projet'!$A$88,'Données projet'!$B$88,BD39+BC40-BL39)))</f>
        <v>196.70000000000005</v>
      </c>
      <c r="BE40" s="14">
        <f>BD40*VLOOKUP('Données projet'!$B$11,Paramètres!$A$1:$I$88,3,0)*VLOOKUP('Données projet'!$B$11,Paramètres!$A$1:$I$88,5,0)</f>
        <v>171.83712000000006</v>
      </c>
      <c r="BF40" s="14">
        <f t="shared" si="37"/>
        <v>43.501219605956322</v>
      </c>
      <c r="BG40" s="22">
        <f t="shared" si="7"/>
        <v>375.04760814704065</v>
      </c>
      <c r="BH40" s="62">
        <f t="shared" si="8"/>
        <v>668.38094148037396</v>
      </c>
      <c r="BI40" s="62">
        <f ca="1">AVERAGE(OFFSET($BH$3,0,0,'Données projet'!$E$11+1,1))-AVERAGE(OFFSET($H$3,0,0,'Données projet'!$E$11+1,1))</f>
        <v>223.81948236065614</v>
      </c>
      <c r="BJ40" s="62">
        <f t="shared" si="38"/>
        <v>320.1204011431372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2.6751855623366021</v>
      </c>
      <c r="BQ40" s="23">
        <f>EXP(-LN(2)/25)*BQ39+(1-EXP(-LN(2)/25))/(LN(2)/25)*Calculateur!BL40*Calculateur!BN40*VLOOKUP('Données projet'!$B$11,Paramètres!$A$1:$I$88,3,0)*0.475*44/12</f>
        <v>14.571305599705507</v>
      </c>
      <c r="BR40" s="23">
        <f>EXP(-LN(2)/2)*BR39+(1-EXP(-LN(2)/2))/(LN(2)/2)*BL40*BO40*VLOOKUP('Données projet'!$B$11,Paramètres!$A$1:$I$88,3,0)*0.475*44/12</f>
        <v>2.4545450160446198</v>
      </c>
      <c r="BS40" s="24">
        <f t="shared" si="9"/>
        <v>19.701036178086728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24.3</v>
      </c>
      <c r="N41" s="14">
        <f>IF('Données projet'!$A$36&gt;35,N40+M41-V40,IF(A41&lt;'Données projet'!$A$36,$K$205^A41,IF(A41='Données projet'!$A$36,'Données projet'!$B$36,N40+M41-V40)))</f>
        <v>428.40000000000003</v>
      </c>
      <c r="O41" s="14">
        <f>N41*VLOOKUP('Données projet'!$B$9,Paramètres!$A$1:$I$88,3,0)*VLOOKUP('Données projet'!$B$9,Paramètres!$A$1:$I$88,5,0)</f>
        <v>239.47560000000004</v>
      </c>
      <c r="P41" s="14">
        <f t="shared" si="33"/>
        <v>58.326688908078204</v>
      </c>
      <c r="Q41" s="22">
        <f t="shared" si="53"/>
        <v>518.67231984823627</v>
      </c>
      <c r="R41" s="62">
        <f t="shared" si="0"/>
        <v>812.00565318156964</v>
      </c>
      <c r="S41" s="62">
        <f ca="1">AVERAGE(OFFSET($R$3,0,0,'Données projet'!$E$9+1,1))-AVERAGE(OFFSET($H$3,0,0,'Données projet'!$E$9+1,1))</f>
        <v>373.16487843768437</v>
      </c>
      <c r="T41" s="62">
        <f t="shared" si="34"/>
        <v>376.53494965377718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17.543915791281382</v>
      </c>
      <c r="AA41" s="23">
        <f>EXP(-LN(2)/25)*AA40+(1-EXP(-LN(2)/25))/(LN(2)/25)*Calculateur!V41*Calculateur!X41*VLOOKUP('Données projet'!$B$9,Paramètres!$A$1:$I$88,3,0)*0.475*44/12</f>
        <v>26.359294060262165</v>
      </c>
      <c r="AB41" s="23">
        <f>EXP(-LN(2)/2)*AB40+(1-EXP(-LN(2)/2))/(LN(2)/2)*V41*Y41*VLOOKUP('Données projet'!$B$9,Paramètres!$A$1:$I$88,3,0)*0.475*44/12</f>
        <v>1.5657299888247762</v>
      </c>
      <c r="AC41" s="24">
        <f t="shared" si="3"/>
        <v>45.468939840368328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13.8</v>
      </c>
      <c r="AI41" s="14">
        <f>IF('Données projet'!$A$62&gt;35,AI40+AH41-AQ40,IF(A41&lt;'Données projet'!$A$62,$AF$205^A41,IF(A41='Données projet'!$A$62,'Données projet'!$B$62,AI40+AH41-AQ40)))</f>
        <v>286.40000000000009</v>
      </c>
      <c r="AJ41" s="14">
        <f>AI41*VLOOKUP('Données projet'!$B$10,Paramètres!$A$1:$I$88,3,0)*VLOOKUP('Données projet'!$B$10,Paramètres!$A$1:$I$88,5,0)</f>
        <v>156.37440000000007</v>
      </c>
      <c r="AK41" s="14">
        <f t="shared" si="35"/>
        <v>40.023663524293205</v>
      </c>
      <c r="AL41" s="22">
        <f t="shared" si="4"/>
        <v>342.0599606381441</v>
      </c>
      <c r="AM41" s="62">
        <f t="shared" si="5"/>
        <v>635.39329397147742</v>
      </c>
      <c r="AN41" s="62">
        <f ca="1">AVERAGE(OFFSET($AM$3,0,0,'Données projet'!$E$10+1,1))-AVERAGE(OFFSET($H$3,0,0,'Données projet'!$E$10+1,1))</f>
        <v>210.04871822652808</v>
      </c>
      <c r="AO41" s="62">
        <f t="shared" si="36"/>
        <v>250.17540614049324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6.2312428180449704</v>
      </c>
      <c r="AV41" s="23">
        <f>EXP(-LN(2)/25)*AV40+(1-EXP(-LN(2)/25))/(LN(2)/25)*Calculateur!AQ41*Calculateur!AS41*VLOOKUP('Données projet'!$B$10,Paramètres!$A$1:$I$88,3,0)*0.475*44/12</f>
        <v>22.294346324092835</v>
      </c>
      <c r="AW41" s="23">
        <f>EXP(-LN(2)/2)*AW40+(1-EXP(-LN(2)/2))/(LN(2)/2)*AQ41*AT41*VLOOKUP('Données projet'!$B$10,Paramètres!$A$1:$I$88,3,0)*0.475*44/12</f>
        <v>1.3471180460844769</v>
      </c>
      <c r="AX41" s="23">
        <f t="shared" si="6"/>
        <v>29.872707188222282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10.1</v>
      </c>
      <c r="BD41" s="13">
        <f>IF('Données projet'!$A$88&gt;35,BD40+BC41-BL40,IF(A41&lt;'Données projet'!$A$88,$BA$205^A41,IF(A41='Données projet'!$A$88,'Données projet'!$B$88,BD40+BC41-BL40)))</f>
        <v>206.80000000000004</v>
      </c>
      <c r="BE41" s="14">
        <f>BD41*VLOOKUP('Données projet'!$B$11,Paramètres!$A$1:$I$88,3,0)*VLOOKUP('Données projet'!$B$11,Paramètres!$A$1:$I$88,5,0)</f>
        <v>180.66048000000006</v>
      </c>
      <c r="BF41" s="14">
        <f t="shared" si="37"/>
        <v>45.469099459918802</v>
      </c>
      <c r="BG41" s="22">
        <f t="shared" si="7"/>
        <v>393.84235089269197</v>
      </c>
      <c r="BH41" s="62">
        <f t="shared" si="8"/>
        <v>687.17568422602528</v>
      </c>
      <c r="BI41" s="62">
        <f ca="1">AVERAGE(OFFSET($BH$3,0,0,'Données projet'!$E$11+1,1))-AVERAGE(OFFSET($H$3,0,0,'Données projet'!$E$11+1,1))</f>
        <v>223.81948236065614</v>
      </c>
      <c r="BJ41" s="62">
        <f t="shared" si="38"/>
        <v>320.1204011431372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2.6227268051612573</v>
      </c>
      <c r="BQ41" s="23">
        <f>EXP(-LN(2)/25)*BQ40+(1-EXP(-LN(2)/25))/(LN(2)/25)*Calculateur!BL41*Calculateur!BN41*VLOOKUP('Données projet'!$B$11,Paramètres!$A$1:$I$88,3,0)*0.475*44/12</f>
        <v>14.172852481809901</v>
      </c>
      <c r="BR41" s="23">
        <f>EXP(-LN(2)/2)*BR40+(1-EXP(-LN(2)/2))/(LN(2)/2)*BL41*BO41*VLOOKUP('Données projet'!$B$11,Paramètres!$A$1:$I$88,3,0)*0.475*44/12</f>
        <v>1.7356254255727939</v>
      </c>
      <c r="BS41" s="24">
        <f t="shared" si="9"/>
        <v>18.531204712543953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24.3</v>
      </c>
      <c r="N42" s="14">
        <f>IF('Données projet'!$A$36&gt;35,N41+M42-V41,IF(A42&lt;'Données projet'!$A$36,$K$205^A42,IF(A42='Données projet'!$A$36,'Données projet'!$B$36,N41+M42-V41)))</f>
        <v>452.70000000000005</v>
      </c>
      <c r="O42" s="14">
        <f>N42*VLOOKUP('Données projet'!$B$9,Paramètres!$A$1:$I$88,3,0)*VLOOKUP('Données projet'!$B$9,Paramètres!$A$1:$I$88,5,0)</f>
        <v>253.05930000000004</v>
      </c>
      <c r="P42" s="14">
        <f t="shared" si="33"/>
        <v>61.240579446228374</v>
      </c>
      <c r="Q42" s="22">
        <f t="shared" si="53"/>
        <v>547.40562336884784</v>
      </c>
      <c r="R42" s="62">
        <f t="shared" si="0"/>
        <v>840.73895670218121</v>
      </c>
      <c r="S42" s="62">
        <f ca="1">AVERAGE(OFFSET($R$3,0,0,'Données projet'!$E$9+1,1))-AVERAGE(OFFSET($H$3,0,0,'Données projet'!$E$9+1,1))</f>
        <v>373.16487843768437</v>
      </c>
      <c r="T42" s="62">
        <f t="shared" si="34"/>
        <v>376.53494965377718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17.199890303346375</v>
      </c>
      <c r="AA42" s="23">
        <f>EXP(-LN(2)/25)*AA41+(1-EXP(-LN(2)/25))/(LN(2)/25)*Calculateur!V42*Calculateur!X42*VLOOKUP('Données projet'!$B$9,Paramètres!$A$1:$I$88,3,0)*0.475*44/12</f>
        <v>25.638497778009267</v>
      </c>
      <c r="AB42" s="23">
        <f>EXP(-LN(2)/2)*AB41+(1-EXP(-LN(2)/2))/(LN(2)/2)*V42*Y42*VLOOKUP('Données projet'!$B$9,Paramètres!$A$1:$I$88,3,0)*0.475*44/12</f>
        <v>1.1071382926051365</v>
      </c>
      <c r="AC42" s="24">
        <f t="shared" si="3"/>
        <v>43.945526373960782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13.8</v>
      </c>
      <c r="AI42" s="14">
        <f>IF('Données projet'!$A$62&gt;35,AI41+AH42-AQ41,IF(A42&lt;'Données projet'!$A$62,$AF$205^A42,IF(A42='Données projet'!$A$62,'Données projet'!$B$62,AI41+AH42-AQ41)))</f>
        <v>300.2000000000001</v>
      </c>
      <c r="AJ42" s="14">
        <f>AI42*VLOOKUP('Données projet'!$B$10,Paramètres!$A$1:$I$88,3,0)*VLOOKUP('Données projet'!$B$10,Paramètres!$A$1:$I$88,5,0)</f>
        <v>163.90920000000006</v>
      </c>
      <c r="AK42" s="14">
        <f t="shared" si="35"/>
        <v>41.723003836805745</v>
      </c>
      <c r="AL42" s="22">
        <f t="shared" si="4"/>
        <v>358.14275501577009</v>
      </c>
      <c r="AM42" s="62">
        <f t="shared" si="5"/>
        <v>651.47608834910341</v>
      </c>
      <c r="AN42" s="62">
        <f ca="1">AVERAGE(OFFSET($AM$3,0,0,'Données projet'!$E$10+1,1))-AVERAGE(OFFSET($H$3,0,0,'Données projet'!$E$10+1,1))</f>
        <v>210.04871822652808</v>
      </c>
      <c r="AO42" s="62">
        <f t="shared" si="36"/>
        <v>250.17540614049324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6.1090519470659412</v>
      </c>
      <c r="AV42" s="23">
        <f>EXP(-LN(2)/25)*AV41+(1-EXP(-LN(2)/25))/(LN(2)/25)*Calculateur!AQ42*Calculateur!AS42*VLOOKUP('Données projet'!$B$10,Paramètres!$A$1:$I$88,3,0)*0.475*44/12</f>
        <v>21.684706251451797</v>
      </c>
      <c r="AW42" s="23">
        <f>EXP(-LN(2)/2)*AW41+(1-EXP(-LN(2)/2))/(LN(2)/2)*AQ42*AT42*VLOOKUP('Données projet'!$B$10,Paramètres!$A$1:$I$88,3,0)*0.475*44/12</f>
        <v>0.95255630544510572</v>
      </c>
      <c r="AX42" s="23">
        <f t="shared" si="6"/>
        <v>28.746314503962843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10.1</v>
      </c>
      <c r="BD42" s="13">
        <f>IF('Données projet'!$A$88&gt;35,BD41+BC42-BL41,IF(A42&lt;'Données projet'!$A$88,$BA$205^A42,IF(A42='Données projet'!$A$88,'Données projet'!$B$88,BD41+BC42-BL41)))</f>
        <v>216.90000000000003</v>
      </c>
      <c r="BE42" s="14">
        <f>BD42*VLOOKUP('Données projet'!$B$11,Paramètres!$A$1:$I$88,3,0)*VLOOKUP('Données projet'!$B$11,Paramètres!$A$1:$I$88,5,0)</f>
        <v>189.48384000000004</v>
      </c>
      <c r="BF42" s="14">
        <f t="shared" si="37"/>
        <v>47.425819142919799</v>
      </c>
      <c r="BG42" s="22">
        <f t="shared" si="7"/>
        <v>412.61765634058537</v>
      </c>
      <c r="BH42" s="62">
        <f t="shared" si="8"/>
        <v>705.95098967391868</v>
      </c>
      <c r="BI42" s="62">
        <f ca="1">AVERAGE(OFFSET($BH$3,0,0,'Données projet'!$E$11+1,1))-AVERAGE(OFFSET($H$3,0,0,'Données projet'!$E$11+1,1))</f>
        <v>223.81948236065614</v>
      </c>
      <c r="BJ42" s="62">
        <f t="shared" si="38"/>
        <v>320.1204011431372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2.5712967322174385</v>
      </c>
      <c r="BQ42" s="23">
        <f>EXP(-LN(2)/25)*BQ41+(1-EXP(-LN(2)/25))/(LN(2)/25)*Calculateur!BL42*Calculateur!BN42*VLOOKUP('Données projet'!$B$11,Paramètres!$A$1:$I$88,3,0)*0.475*44/12</f>
        <v>13.785295085376889</v>
      </c>
      <c r="BR42" s="23">
        <f>EXP(-LN(2)/2)*BR41+(1-EXP(-LN(2)/2))/(LN(2)/2)*BL42*BO42*VLOOKUP('Données projet'!$B$11,Paramètres!$A$1:$I$88,3,0)*0.475*44/12</f>
        <v>1.2272725080223101</v>
      </c>
      <c r="BS42" s="24">
        <f t="shared" si="9"/>
        <v>17.583864325616638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477</v>
      </c>
      <c r="L43" s="13">
        <f>VLOOKUP(A43,'Données projet'!$A$35:$I$55,9,0)</f>
        <v>24.3</v>
      </c>
      <c r="M43" s="13">
        <f t="array" ref="M43">INDEX(L:L,MIN(IF(ISNUMBER(L43:L239),ROW(L43:L239),"")))</f>
        <v>24.3</v>
      </c>
      <c r="N43" s="14">
        <f>IF('Données projet'!$A$36&gt;35,N42+M43-V42,IF(A43&lt;'Données projet'!$A$36,$K$205^A43,IF(A43='Données projet'!$A$36,'Données projet'!$B$36,N42+M43-V42)))</f>
        <v>477.00000000000006</v>
      </c>
      <c r="O43" s="14">
        <f>N43*VLOOKUP('Données projet'!$B$9,Paramètres!$A$1:$I$88,3,0)*VLOOKUP('Données projet'!$B$9,Paramètres!$A$1:$I$88,5,0)</f>
        <v>266.64300000000003</v>
      </c>
      <c r="P43" s="14">
        <f t="shared" si="33"/>
        <v>64.136311225795083</v>
      </c>
      <c r="Q43" s="22">
        <f t="shared" si="53"/>
        <v>576.10730038492648</v>
      </c>
      <c r="R43" s="62">
        <f t="shared" si="0"/>
        <v>869.44063371825973</v>
      </c>
      <c r="S43" s="62">
        <f ca="1">AVERAGE(OFFSET($R$3,0,0,'Données projet'!$E$9+1,1))-AVERAGE(OFFSET($H$3,0,0,'Données projet'!$E$9+1,1))</f>
        <v>373.16487843768437</v>
      </c>
      <c r="T43" s="62">
        <f t="shared" si="34"/>
        <v>376.53494965377718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126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16.862610945394948</v>
      </c>
      <c r="AA43" s="23">
        <f>EXP(-LN(2)/25)*AA42+(1-EXP(-LN(2)/25))/(LN(2)/25)*Calculateur!V43*Calculateur!X43*VLOOKUP('Données projet'!$B$9,Paramètres!$A$1:$I$88,3,0)*0.475*44/12</f>
        <v>24.937411707999601</v>
      </c>
      <c r="AB43" s="23">
        <f>EXP(-LN(2)/2)*AB42+(1-EXP(-LN(2)/2))/(LN(2)/2)*V43*Y43*VLOOKUP('Données projet'!$B$9,Paramètres!$A$1:$I$88,3,0)*0.475*44/12</f>
        <v>0.7828649944123881</v>
      </c>
      <c r="AC43" s="24">
        <f t="shared" si="3"/>
        <v>42.582887647806935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314</v>
      </c>
      <c r="AG43" s="13">
        <f>VLOOKUP(A43,'Données projet'!$A$61:$I$81,9,0)</f>
        <v>13.8</v>
      </c>
      <c r="AH43" s="13">
        <f t="array" ref="AH43">INDEX(AG:AG,MIN(IF(ISNUMBER(AG43:AG239),ROW(AG43:AG239),"")))</f>
        <v>13.8</v>
      </c>
      <c r="AI43" s="14">
        <f>IF('Données projet'!$A$62&gt;35,AI42+AH43-AQ42,IF(A43&lt;'Données projet'!$A$62,$AF$205^A43,IF(A43='Données projet'!$A$62,'Données projet'!$B$62,AI42+AH43-AQ42)))</f>
        <v>314.00000000000011</v>
      </c>
      <c r="AJ43" s="14">
        <f>AI43*VLOOKUP('Données projet'!$B$10,Paramètres!$A$1:$I$88,3,0)*VLOOKUP('Données projet'!$B$10,Paramètres!$A$1:$I$88,5,0)</f>
        <v>171.44400000000007</v>
      </c>
      <c r="AK43" s="14">
        <f t="shared" si="35"/>
        <v>43.413272173627242</v>
      </c>
      <c r="AL43" s="22">
        <f t="shared" si="4"/>
        <v>374.20974903573421</v>
      </c>
      <c r="AM43" s="62">
        <f t="shared" si="5"/>
        <v>667.54308236906752</v>
      </c>
      <c r="AN43" s="62">
        <f ca="1">AVERAGE(OFFSET($AM$3,0,0,'Données projet'!$E$10+1,1))-AVERAGE(OFFSET($H$3,0,0,'Données projet'!$E$10+1,1))</f>
        <v>210.04871822652808</v>
      </c>
      <c r="AO43" s="62">
        <f t="shared" si="36"/>
        <v>250.17540614049324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80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5.9892571645377384</v>
      </c>
      <c r="AV43" s="23">
        <f>EXP(-LN(2)/25)*AV42+(1-EXP(-LN(2)/25))/(LN(2)/25)*Calculateur!AQ43*Calculateur!AS43*VLOOKUP('Données projet'!$B$10,Paramètres!$A$1:$I$88,3,0)*0.475*44/12</f>
        <v>21.091736818656706</v>
      </c>
      <c r="AW43" s="23">
        <f>EXP(-LN(2)/2)*AW42+(1-EXP(-LN(2)/2))/(LN(2)/2)*AQ43*AT43*VLOOKUP('Données projet'!$B$10,Paramètres!$A$1:$I$88,3,0)*0.475*44/12</f>
        <v>0.67355902304223858</v>
      </c>
      <c r="AX43" s="23">
        <f t="shared" si="6"/>
        <v>27.754553006236684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227</v>
      </c>
      <c r="BB43" s="13">
        <f>VLOOKUP(A43,'Données projet'!$A$87:$I$107,9,0)</f>
        <v>10.1</v>
      </c>
      <c r="BC43" s="13">
        <f t="array" ref="BC43">INDEX(BB:BB,MIN(IF(ISNUMBER(BB43:BB239),ROW(BB43:BB239),"")))</f>
        <v>10.1</v>
      </c>
      <c r="BD43" s="13">
        <f>IF('Données projet'!$A$88&gt;35,BD42+BC43-BL42,IF(A43&lt;'Données projet'!$A$88,$BA$205^A43,IF(A43='Données projet'!$A$88,'Données projet'!$B$88,BD42+BC43-BL42)))</f>
        <v>227.00000000000003</v>
      </c>
      <c r="BE43" s="14">
        <f>BD43*VLOOKUP('Données projet'!$B$11,Paramètres!$A$1:$I$88,3,0)*VLOOKUP('Données projet'!$B$11,Paramètres!$A$1:$I$88,5,0)</f>
        <v>198.30720000000005</v>
      </c>
      <c r="BF43" s="14">
        <f t="shared" si="37"/>
        <v>49.371957679623371</v>
      </c>
      <c r="BG43" s="22">
        <f t="shared" si="7"/>
        <v>431.37453295867743</v>
      </c>
      <c r="BH43" s="62">
        <f t="shared" si="8"/>
        <v>724.70786629201075</v>
      </c>
      <c r="BI43" s="62">
        <f ca="1">AVERAGE(OFFSET($BH$3,0,0,'Données projet'!$E$11+1,1))-AVERAGE(OFFSET($H$3,0,0,'Données projet'!$E$11+1,1))</f>
        <v>223.81948236065614</v>
      </c>
      <c r="BJ43" s="62">
        <f t="shared" si="38"/>
        <v>320.1204011431372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69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2.5208751716348008</v>
      </c>
      <c r="BQ43" s="23">
        <f>EXP(-LN(2)/25)*BQ42+(1-EXP(-LN(2)/25))/(LN(2)/25)*Calculateur!BL43*Calculateur!BN43*VLOOKUP('Données projet'!$B$11,Paramètres!$A$1:$I$88,3,0)*0.475*44/12</f>
        <v>13.408335466330096</v>
      </c>
      <c r="BR43" s="23">
        <f>EXP(-LN(2)/2)*BR42+(1-EXP(-LN(2)/2))/(LN(2)/2)*BL43*BO43*VLOOKUP('Données projet'!$B$11,Paramètres!$A$1:$I$88,3,0)*0.475*44/12</f>
        <v>0.86781271278639716</v>
      </c>
      <c r="BS43" s="24">
        <f t="shared" si="9"/>
        <v>16.797023350751292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21</v>
      </c>
      <c r="N44" s="14">
        <f>IF('Données projet'!$A$36&gt;35,N43+M44-V43,IF(A44&lt;'Données projet'!$A$36,$K$205^A44,IF(A44='Données projet'!$A$36,'Données projet'!$B$36,N43+M44-V43)))</f>
        <v>372.00000000000006</v>
      </c>
      <c r="O44" s="14">
        <f>N44*VLOOKUP('Données projet'!$B$9,Paramètres!$A$1:$I$88,3,0)*VLOOKUP('Données projet'!$B$9,Paramètres!$A$1:$I$88,5,0)</f>
        <v>207.94800000000001</v>
      </c>
      <c r="P44" s="14">
        <f t="shared" si="33"/>
        <v>51.486916127068838</v>
      </c>
      <c r="Q44" s="22">
        <f t="shared" si="53"/>
        <v>451.84914558797823</v>
      </c>
      <c r="R44" s="62">
        <f t="shared" si="0"/>
        <v>745.18247892131149</v>
      </c>
      <c r="S44" s="62">
        <f ca="1">AVERAGE(OFFSET($R$3,0,0,'Données projet'!$E$9+1,1))-AVERAGE(OFFSET($H$3,0,0,'Données projet'!$E$9+1,1))</f>
        <v>373.16487843768437</v>
      </c>
      <c r="T44" s="62">
        <f t="shared" si="34"/>
        <v>376.53494965377718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16.531945429932854</v>
      </c>
      <c r="AA44" s="23">
        <f>EXP(-LN(2)/25)*AA43+(1-EXP(-LN(2)/25))/(LN(2)/25)*Calculateur!V44*Calculateur!X44*VLOOKUP('Données projet'!$B$9,Paramètres!$A$1:$I$88,3,0)*0.475*44/12</f>
        <v>24.255496873442866</v>
      </c>
      <c r="AB44" s="23">
        <f>EXP(-LN(2)/2)*AB43+(1-EXP(-LN(2)/2))/(LN(2)/2)*V44*Y44*VLOOKUP('Données projet'!$B$9,Paramètres!$A$1:$I$88,3,0)*0.475*44/12</f>
        <v>0.55356914630256826</v>
      </c>
      <c r="AC44" s="24">
        <f t="shared" si="3"/>
        <v>41.341011449678291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245.50000000000011</v>
      </c>
      <c r="AJ44" s="14">
        <f>AI44*VLOOKUP('Données projet'!$B$10,Paramètres!$A$1:$I$88,3,0)*VLOOKUP('Données projet'!$B$10,Paramètres!$A$1:$I$88,5,0)</f>
        <v>134.04300000000006</v>
      </c>
      <c r="AK44" s="14">
        <f t="shared" si="35"/>
        <v>34.928906226695894</v>
      </c>
      <c r="AL44" s="22">
        <f t="shared" si="4"/>
        <v>294.2927366781621</v>
      </c>
      <c r="AM44" s="62">
        <f t="shared" si="5"/>
        <v>587.62607001149536</v>
      </c>
      <c r="AN44" s="62">
        <f ca="1">AVERAGE(OFFSET($AM$3,0,0,'Données projet'!$E$10+1,1))-AVERAGE(OFFSET($H$3,0,0,'Données projet'!$E$10+1,1))</f>
        <v>210.04871822652808</v>
      </c>
      <c r="AO44" s="62">
        <f t="shared" si="36"/>
        <v>250.17540614049324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5.8718114846273117</v>
      </c>
      <c r="AV44" s="23">
        <f>EXP(-LN(2)/25)*AV43+(1-EXP(-LN(2)/25))/(LN(2)/25)*Calculateur!AQ44*Calculateur!AS44*VLOOKUP('Données projet'!$B$10,Paramètres!$A$1:$I$88,3,0)*0.475*44/12</f>
        <v>20.514982166184303</v>
      </c>
      <c r="AW44" s="23">
        <f>EXP(-LN(2)/2)*AW43+(1-EXP(-LN(2)/2))/(LN(2)/2)*AQ44*AT44*VLOOKUP('Données projet'!$B$10,Paramètres!$A$1:$I$88,3,0)*0.475*44/12</f>
        <v>0.47627815272255297</v>
      </c>
      <c r="AX44" s="23">
        <f t="shared" si="6"/>
        <v>26.863071803534169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8.1999999999999993</v>
      </c>
      <c r="BD44" s="13">
        <f>IF('Données projet'!$A$88&gt;35,BD43+BC44-BL43,IF(A44&lt;'Données projet'!$A$88,$BA$205^A44,IF(A44='Données projet'!$A$88,'Données projet'!$B$88,BD43+BC44-BL43)))</f>
        <v>166.20000000000002</v>
      </c>
      <c r="BE44" s="14">
        <f>BD44*VLOOKUP('Données projet'!$B$11,Paramètres!$A$1:$I$88,3,0)*VLOOKUP('Données projet'!$B$11,Paramètres!$A$1:$I$88,5,0)</f>
        <v>145.19232000000002</v>
      </c>
      <c r="BF44" s="14">
        <f t="shared" si="37"/>
        <v>37.48396031597408</v>
      </c>
      <c r="BG44" s="22">
        <f t="shared" si="7"/>
        <v>318.16118821698825</v>
      </c>
      <c r="BH44" s="62">
        <f t="shared" si="8"/>
        <v>611.49452155032156</v>
      </c>
      <c r="BI44" s="62">
        <f ca="1">AVERAGE(OFFSET($BH$3,0,0,'Données projet'!$E$11+1,1))-AVERAGE(OFFSET($H$3,0,0,'Données projet'!$E$11+1,1))</f>
        <v>223.81948236065614</v>
      </c>
      <c r="BJ44" s="62">
        <f t="shared" si="38"/>
        <v>320.1204011431372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2.4714423471010734</v>
      </c>
      <c r="BQ44" s="23">
        <f>EXP(-LN(2)/25)*BQ43+(1-EXP(-LN(2)/25))/(LN(2)/25)*Calculateur!BL44*Calculateur!BN44*VLOOKUP('Données projet'!$B$11,Paramètres!$A$1:$I$88,3,0)*0.475*44/12</f>
        <v>13.041683827889582</v>
      </c>
      <c r="BR44" s="23">
        <f>EXP(-LN(2)/2)*BR43+(1-EXP(-LN(2)/2))/(LN(2)/2)*BL44*BO44*VLOOKUP('Données projet'!$B$11,Paramètres!$A$1:$I$88,3,0)*0.475*44/12</f>
        <v>0.61363625401115518</v>
      </c>
      <c r="BS44" s="24">
        <f t="shared" si="9"/>
        <v>16.126762429001811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21</v>
      </c>
      <c r="N45" s="14">
        <f>IF('Données projet'!$A$36&gt;35,N44+M45-V44,IF(A45&lt;'Données projet'!$A$36,$K$205^A45,IF(A45='Données projet'!$A$36,'Données projet'!$B$36,N44+M45-V44)))</f>
        <v>393.00000000000006</v>
      </c>
      <c r="O45" s="14">
        <f>N45*VLOOKUP('Données projet'!$B$9,Paramètres!$A$1:$I$88,3,0)*VLOOKUP('Données projet'!$B$9,Paramètres!$A$1:$I$88,5,0)</f>
        <v>219.68700000000001</v>
      </c>
      <c r="P45" s="14">
        <f t="shared" si="33"/>
        <v>54.046851081096591</v>
      </c>
      <c r="Q45" s="22">
        <f t="shared" si="53"/>
        <v>476.75312396624321</v>
      </c>
      <c r="R45" s="62">
        <f t="shared" si="0"/>
        <v>770.08645729957652</v>
      </c>
      <c r="S45" s="62">
        <f ca="1">AVERAGE(OFFSET($R$3,0,0,'Données projet'!$E$9+1,1))-AVERAGE(OFFSET($H$3,0,0,'Données projet'!$E$9+1,1))</f>
        <v>373.16487843768437</v>
      </c>
      <c r="T45" s="62">
        <f t="shared" si="34"/>
        <v>376.53494965377718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16.207764063542921</v>
      </c>
      <c r="AA45" s="23">
        <f>EXP(-LN(2)/25)*AA44+(1-EXP(-LN(2)/25))/(LN(2)/25)*Calculateur!V45*Calculateur!X45*VLOOKUP('Données projet'!$B$9,Paramètres!$A$1:$I$88,3,0)*0.475*44/12</f>
        <v>23.592229035897425</v>
      </c>
      <c r="AB45" s="23">
        <f>EXP(-LN(2)/2)*AB44+(1-EXP(-LN(2)/2))/(LN(2)/2)*V45*Y45*VLOOKUP('Données projet'!$B$9,Paramètres!$A$1:$I$88,3,0)*0.475*44/12</f>
        <v>0.39143249720619405</v>
      </c>
      <c r="AC45" s="24">
        <f t="shared" si="3"/>
        <v>40.191425596646539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257.00000000000011</v>
      </c>
      <c r="AJ45" s="14">
        <f>AI45*VLOOKUP('Données projet'!$B$10,Paramètres!$A$1:$I$88,3,0)*VLOOKUP('Données projet'!$B$10,Paramètres!$A$1:$I$88,5,0)</f>
        <v>140.32200000000006</v>
      </c>
      <c r="AK45" s="14">
        <f t="shared" si="35"/>
        <v>36.370761307502896</v>
      </c>
      <c r="AL45" s="22">
        <f t="shared" si="4"/>
        <v>307.73989261056767</v>
      </c>
      <c r="AM45" s="62">
        <f t="shared" si="5"/>
        <v>601.07322594390098</v>
      </c>
      <c r="AN45" s="62">
        <f ca="1">AVERAGE(OFFSET($AM$3,0,0,'Données projet'!$E$10+1,1))-AVERAGE(OFFSET($H$3,0,0,'Données projet'!$E$10+1,1))</f>
        <v>210.04871822652808</v>
      </c>
      <c r="AO45" s="62">
        <f t="shared" si="36"/>
        <v>250.17540614049324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5.7566688428651371</v>
      </c>
      <c r="AV45" s="23">
        <f>EXP(-LN(2)/25)*AV44+(1-EXP(-LN(2)/25))/(LN(2)/25)*Calculateur!AQ45*Calculateur!AS45*VLOOKUP('Données projet'!$B$10,Paramètres!$A$1:$I$88,3,0)*0.475*44/12</f>
        <v>19.953998900013968</v>
      </c>
      <c r="AW45" s="23">
        <f>EXP(-LN(2)/2)*AW44+(1-EXP(-LN(2)/2))/(LN(2)/2)*AQ45*AT45*VLOOKUP('Données projet'!$B$10,Paramètres!$A$1:$I$88,3,0)*0.475*44/12</f>
        <v>0.33677951152111935</v>
      </c>
      <c r="AX45" s="23">
        <f t="shared" si="6"/>
        <v>26.047447254400222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8.1999999999999993</v>
      </c>
      <c r="BD45" s="13">
        <f>IF('Données projet'!$A$88&gt;35,BD44+BC45-BL44,IF(A45&lt;'Données projet'!$A$88,$BA$205^A45,IF(A45='Données projet'!$A$88,'Données projet'!$B$88,BD44+BC45-BL44)))</f>
        <v>174.4</v>
      </c>
      <c r="BE45" s="14">
        <f>BD45*VLOOKUP('Données projet'!$B$11,Paramètres!$A$1:$I$88,3,0)*VLOOKUP('Données projet'!$B$11,Paramètres!$A$1:$I$88,5,0)</f>
        <v>152.35584000000003</v>
      </c>
      <c r="BF45" s="14">
        <f t="shared" si="37"/>
        <v>39.11347218476763</v>
      </c>
      <c r="BG45" s="22">
        <f t="shared" si="7"/>
        <v>333.47571872180367</v>
      </c>
      <c r="BH45" s="62">
        <f t="shared" si="8"/>
        <v>626.80905205513704</v>
      </c>
      <c r="BI45" s="62">
        <f ca="1">AVERAGE(OFFSET($BH$3,0,0,'Données projet'!$E$11+1,1))-AVERAGE(OFFSET($H$3,0,0,'Données projet'!$E$11+1,1))</f>
        <v>223.81948236065614</v>
      </c>
      <c r="BJ45" s="62">
        <f t="shared" si="38"/>
        <v>320.1204011431372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2.4229788701054065</v>
      </c>
      <c r="BQ45" s="23">
        <f>EXP(-LN(2)/25)*BQ44+(1-EXP(-LN(2)/25))/(LN(2)/25)*Calculateur!BL45*Calculateur!BN45*VLOOKUP('Données projet'!$B$11,Paramètres!$A$1:$I$88,3,0)*0.475*44/12</f>
        <v>12.685058297783597</v>
      </c>
      <c r="BR45" s="23">
        <f>EXP(-LN(2)/2)*BR44+(1-EXP(-LN(2)/2))/(LN(2)/2)*BL45*BO45*VLOOKUP('Données projet'!$B$11,Paramètres!$A$1:$I$88,3,0)*0.475*44/12</f>
        <v>0.43390635639319863</v>
      </c>
      <c r="BS45" s="24">
        <f t="shared" si="9"/>
        <v>15.541943524282201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21</v>
      </c>
      <c r="N46" s="14">
        <f>IF('Données projet'!$A$36&gt;35,N45+M46-V45,IF(A46&lt;'Données projet'!$A$36,$K$205^A46,IF(A46='Données projet'!$A$36,'Données projet'!$B$36,N45+M46-V45)))</f>
        <v>414.00000000000006</v>
      </c>
      <c r="O46" s="14">
        <f>N46*VLOOKUP('Données projet'!$B$9,Paramètres!$A$1:$I$88,3,0)*VLOOKUP('Données projet'!$B$9,Paramètres!$A$1:$I$88,5,0)</f>
        <v>231.42600000000002</v>
      </c>
      <c r="P46" s="14">
        <f t="shared" si="33"/>
        <v>56.590905067453221</v>
      </c>
      <c r="Q46" s="22">
        <f t="shared" si="53"/>
        <v>501.62944299248107</v>
      </c>
      <c r="R46" s="62">
        <f t="shared" si="0"/>
        <v>794.96277632581439</v>
      </c>
      <c r="S46" s="62">
        <f ca="1">AVERAGE(OFFSET($R$3,0,0,'Données projet'!$E$9+1,1))-AVERAGE(OFFSET($H$3,0,0,'Données projet'!$E$9+1,1))</f>
        <v>373.16487843768437</v>
      </c>
      <c r="T46" s="62">
        <f t="shared" si="34"/>
        <v>376.53494965377718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15.889939696016786</v>
      </c>
      <c r="AA46" s="23">
        <f>EXP(-LN(2)/25)*AA45+(1-EXP(-LN(2)/25))/(LN(2)/25)*Calculateur!V46*Calculateur!X46*VLOOKUP('Données projet'!$B$9,Paramètres!$A$1:$I$88,3,0)*0.475*44/12</f>
        <v>22.947098292249407</v>
      </c>
      <c r="AB46" s="23">
        <f>EXP(-LN(2)/2)*AB45+(1-EXP(-LN(2)/2))/(LN(2)/2)*V46*Y46*VLOOKUP('Données projet'!$B$9,Paramètres!$A$1:$I$88,3,0)*0.475*44/12</f>
        <v>0.27678457315128413</v>
      </c>
      <c r="AC46" s="24">
        <f t="shared" si="3"/>
        <v>39.113822561417471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268.50000000000011</v>
      </c>
      <c r="AJ46" s="14">
        <f>AI46*VLOOKUP('Données projet'!$B$10,Paramètres!$A$1:$I$88,3,0)*VLOOKUP('Données projet'!$B$10,Paramètres!$A$1:$I$88,5,0)</f>
        <v>146.60100000000006</v>
      </c>
      <c r="AK46" s="14">
        <f t="shared" si="35"/>
        <v>37.805123282858517</v>
      </c>
      <c r="AL46" s="22">
        <f t="shared" si="4"/>
        <v>321.1739980509787</v>
      </c>
      <c r="AM46" s="62">
        <f t="shared" si="5"/>
        <v>614.50733138431201</v>
      </c>
      <c r="AN46" s="62">
        <f ca="1">AVERAGE(OFFSET($AM$3,0,0,'Données projet'!$E$10+1,1))-AVERAGE(OFFSET($H$3,0,0,'Données projet'!$E$10+1,1))</f>
        <v>210.04871822652808</v>
      </c>
      <c r="AO46" s="62">
        <f t="shared" si="36"/>
        <v>250.17540614049324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5.6437840780778412</v>
      </c>
      <c r="AV46" s="23">
        <f>EXP(-LN(2)/25)*AV45+(1-EXP(-LN(2)/25))/(LN(2)/25)*Calculateur!AQ46*Calculateur!AS46*VLOOKUP('Données projet'!$B$10,Paramètres!$A$1:$I$88,3,0)*0.475*44/12</f>
        <v>19.408355750757888</v>
      </c>
      <c r="AW46" s="23">
        <f>EXP(-LN(2)/2)*AW45+(1-EXP(-LN(2)/2))/(LN(2)/2)*AQ46*AT46*VLOOKUP('Données projet'!$B$10,Paramètres!$A$1:$I$88,3,0)*0.475*44/12</f>
        <v>0.23813907636127651</v>
      </c>
      <c r="AX46" s="23">
        <f t="shared" si="6"/>
        <v>25.290278905197003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8.1999999999999993</v>
      </c>
      <c r="BD46" s="13">
        <f>IF('Données projet'!$A$88&gt;35,BD45+BC46-BL45,IF(A46&lt;'Données projet'!$A$88,$BA$205^A46,IF(A46='Données projet'!$A$88,'Données projet'!$B$88,BD45+BC46-BL45)))</f>
        <v>182.6</v>
      </c>
      <c r="BE46" s="14">
        <f>BD46*VLOOKUP('Données projet'!$B$11,Paramètres!$A$1:$I$88,3,0)*VLOOKUP('Données projet'!$B$11,Paramètres!$A$1:$I$88,5,0)</f>
        <v>159.51936000000001</v>
      </c>
      <c r="BF46" s="14">
        <f t="shared" si="37"/>
        <v>40.734086738277284</v>
      </c>
      <c r="BG46" s="22">
        <f t="shared" si="7"/>
        <v>348.77475306916625</v>
      </c>
      <c r="BH46" s="62">
        <f t="shared" si="8"/>
        <v>642.10808640249957</v>
      </c>
      <c r="BI46" s="62">
        <f ca="1">AVERAGE(OFFSET($BH$3,0,0,'Données projet'!$E$11+1,1))-AVERAGE(OFFSET($H$3,0,0,'Données projet'!$E$11+1,1))</f>
        <v>223.81948236065614</v>
      </c>
      <c r="BJ46" s="62">
        <f t="shared" si="38"/>
        <v>320.1204011431372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2.3754657323338226</v>
      </c>
      <c r="BQ46" s="23">
        <f>EXP(-LN(2)/25)*BQ45+(1-EXP(-LN(2)/25))/(LN(2)/25)*Calculateur!BL46*Calculateur!BN46*VLOOKUP('Données projet'!$B$11,Paramètres!$A$1:$I$88,3,0)*0.475*44/12</f>
        <v>12.338184711552481</v>
      </c>
      <c r="BR46" s="23">
        <f>EXP(-LN(2)/2)*BR45+(1-EXP(-LN(2)/2))/(LN(2)/2)*BL46*BO46*VLOOKUP('Données projet'!$B$11,Paramètres!$A$1:$I$88,3,0)*0.475*44/12</f>
        <v>0.30681812700557765</v>
      </c>
      <c r="BS46" s="24">
        <f t="shared" si="9"/>
        <v>15.020468570891881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21</v>
      </c>
      <c r="N47" s="14">
        <f>IF('Données projet'!$A$36&gt;35,N46+M47-V46,IF(A47&lt;'Données projet'!$A$36,$K$205^A47,IF(A47='Données projet'!$A$36,'Données projet'!$B$36,N46+M47-V46)))</f>
        <v>435.00000000000006</v>
      </c>
      <c r="O47" s="14">
        <f>N47*VLOOKUP('Données projet'!$B$9,Paramètres!$A$1:$I$88,3,0)*VLOOKUP('Données projet'!$B$9,Paramètres!$A$1:$I$88,5,0)</f>
        <v>243.16500000000002</v>
      </c>
      <c r="P47" s="14">
        <f t="shared" si="33"/>
        <v>59.119975548046618</v>
      </c>
      <c r="Q47" s="22">
        <f t="shared" si="53"/>
        <v>526.47966574618124</v>
      </c>
      <c r="R47" s="62">
        <f t="shared" si="0"/>
        <v>819.81299907951461</v>
      </c>
      <c r="S47" s="62">
        <f ca="1">AVERAGE(OFFSET($R$3,0,0,'Données projet'!$E$9+1,1))-AVERAGE(OFFSET($H$3,0,0,'Données projet'!$E$9+1,1))</f>
        <v>373.16487843768437</v>
      </c>
      <c r="T47" s="62">
        <f t="shared" si="34"/>
        <v>376.53494965377718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15.578347670484115</v>
      </c>
      <c r="AA47" s="23">
        <f>EXP(-LN(2)/25)*AA46+(1-EXP(-LN(2)/25))/(LN(2)/25)*Calculateur!V47*Calculateur!X47*VLOOKUP('Données projet'!$B$9,Paramètres!$A$1:$I$88,3,0)*0.475*44/12</f>
        <v>22.319608682712396</v>
      </c>
      <c r="AB47" s="23">
        <f>EXP(-LN(2)/2)*AB46+(1-EXP(-LN(2)/2))/(LN(2)/2)*V47*Y47*VLOOKUP('Données projet'!$B$9,Paramètres!$A$1:$I$88,3,0)*0.475*44/12</f>
        <v>0.19571624860309703</v>
      </c>
      <c r="AC47" s="24">
        <f t="shared" si="3"/>
        <v>38.093672601799611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280.00000000000011</v>
      </c>
      <c r="AJ47" s="14">
        <f>AI47*VLOOKUP('Données projet'!$B$10,Paramètres!$A$1:$I$88,3,0)*VLOOKUP('Données projet'!$B$10,Paramètres!$A$1:$I$88,5,0)</f>
        <v>152.88000000000005</v>
      </c>
      <c r="AK47" s="14">
        <f t="shared" si="35"/>
        <v>39.232349774697852</v>
      </c>
      <c r="AL47" s="22">
        <f t="shared" si="4"/>
        <v>334.59567585759885</v>
      </c>
      <c r="AM47" s="62">
        <f t="shared" si="5"/>
        <v>627.92900919093222</v>
      </c>
      <c r="AN47" s="62">
        <f ca="1">AVERAGE(OFFSET($AM$3,0,0,'Données projet'!$E$10+1,1))-AVERAGE(OFFSET($H$3,0,0,'Données projet'!$E$10+1,1))</f>
        <v>210.04871822652808</v>
      </c>
      <c r="AO47" s="62">
        <f t="shared" si="36"/>
        <v>250.17540614049324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5.533112914675117</v>
      </c>
      <c r="AV47" s="23">
        <f>EXP(-LN(2)/25)*AV46+(1-EXP(-LN(2)/25))/(LN(2)/25)*Calculateur!AQ47*Calculateur!AS47*VLOOKUP('Données projet'!$B$10,Paramètres!$A$1:$I$88,3,0)*0.475*44/12</f>
        <v>18.877633242112342</v>
      </c>
      <c r="AW47" s="23">
        <f>EXP(-LN(2)/2)*AW46+(1-EXP(-LN(2)/2))/(LN(2)/2)*AQ47*AT47*VLOOKUP('Données projet'!$B$10,Paramètres!$A$1:$I$88,3,0)*0.475*44/12</f>
        <v>0.1683897557605597</v>
      </c>
      <c r="AX47" s="23">
        <f t="shared" si="6"/>
        <v>24.579135912548022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8.1999999999999993</v>
      </c>
      <c r="BD47" s="13">
        <f>IF('Données projet'!$A$88&gt;35,BD46+BC47-BL46,IF(A47&lt;'Données projet'!$A$88,$BA$205^A47,IF(A47='Données projet'!$A$88,'Données projet'!$B$88,BD46+BC47-BL46)))</f>
        <v>190.79999999999998</v>
      </c>
      <c r="BE47" s="14">
        <f>BD47*VLOOKUP('Données projet'!$B$11,Paramètres!$A$1:$I$88,3,0)*VLOOKUP('Données projet'!$B$11,Paramètres!$A$1:$I$88,5,0)</f>
        <v>166.68288000000001</v>
      </c>
      <c r="BF47" s="14">
        <f t="shared" si="37"/>
        <v>42.346249176975</v>
      </c>
      <c r="BG47" s="22">
        <f t="shared" si="7"/>
        <v>364.05906664989811</v>
      </c>
      <c r="BH47" s="62">
        <f t="shared" si="8"/>
        <v>657.39239998323137</v>
      </c>
      <c r="BI47" s="62">
        <f ca="1">AVERAGE(OFFSET($BH$3,0,0,'Données projet'!$E$11+1,1))-AVERAGE(OFFSET($H$3,0,0,'Données projet'!$E$11+1,1))</f>
        <v>223.81948236065614</v>
      </c>
      <c r="BJ47" s="62">
        <f t="shared" si="38"/>
        <v>320.1204011431372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2.328884298213787</v>
      </c>
      <c r="BQ47" s="23">
        <f>EXP(-LN(2)/25)*BQ46+(1-EXP(-LN(2)/25))/(LN(2)/25)*Calculateur!BL47*Calculateur!BN47*VLOOKUP('Données projet'!$B$11,Paramètres!$A$1:$I$88,3,0)*0.475*44/12</f>
        <v>12.000796401778144</v>
      </c>
      <c r="BR47" s="23">
        <f>EXP(-LN(2)/2)*BR46+(1-EXP(-LN(2)/2))/(LN(2)/2)*BL47*BO47*VLOOKUP('Données projet'!$B$11,Paramètres!$A$1:$I$88,3,0)*0.475*44/12</f>
        <v>0.21695317819659934</v>
      </c>
      <c r="BS47" s="24">
        <f t="shared" si="9"/>
        <v>14.54663387818853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21</v>
      </c>
      <c r="N48" s="14">
        <f>IF('Données projet'!$A$36&gt;35,N47+M48-V47,IF(A48&lt;'Données projet'!$A$36,$K$205^A48,IF(A48='Données projet'!$A$36,'Données projet'!$B$36,N47+M48-V47)))</f>
        <v>456.00000000000006</v>
      </c>
      <c r="O48" s="14">
        <f>N48*VLOOKUP('Données projet'!$B$9,Paramètres!$A$1:$I$88,3,0)*VLOOKUP('Données projet'!$B$9,Paramètres!$A$1:$I$88,5,0)</f>
        <v>254.90400000000002</v>
      </c>
      <c r="P48" s="14">
        <f t="shared" si="33"/>
        <v>61.634868437438257</v>
      </c>
      <c r="Q48" s="22">
        <f t="shared" si="53"/>
        <v>551.30519586187165</v>
      </c>
      <c r="R48" s="62">
        <f t="shared" si="0"/>
        <v>844.63852919520491</v>
      </c>
      <c r="S48" s="62">
        <f ca="1">AVERAGE(OFFSET($R$3,0,0,'Données projet'!$E$9+1,1))-AVERAGE(OFFSET($H$3,0,0,'Données projet'!$E$9+1,1))</f>
        <v>373.16487843768437</v>
      </c>
      <c r="T48" s="62">
        <f t="shared" si="34"/>
        <v>376.53494965377718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15.27286577451977</v>
      </c>
      <c r="AA48" s="23">
        <f>EXP(-LN(2)/25)*AA47+(1-EXP(-LN(2)/25))/(LN(2)/25)*Calculateur!V48*Calculateur!X48*VLOOKUP('Données projet'!$B$9,Paramètres!$A$1:$I$88,3,0)*0.475*44/12</f>
        <v>21.709277809546418</v>
      </c>
      <c r="AB48" s="23">
        <f>EXP(-LN(2)/2)*AB47+(1-EXP(-LN(2)/2))/(LN(2)/2)*V48*Y48*VLOOKUP('Données projet'!$B$9,Paramètres!$A$1:$I$88,3,0)*0.475*44/12</f>
        <v>0.13839228657564207</v>
      </c>
      <c r="AC48" s="24">
        <f t="shared" si="3"/>
        <v>37.120535870641831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291.50000000000011</v>
      </c>
      <c r="AJ48" s="14">
        <f>AI48*VLOOKUP('Données projet'!$B$10,Paramètres!$A$1:$I$88,3,0)*VLOOKUP('Données projet'!$B$10,Paramètres!$A$1:$I$88,5,0)</f>
        <v>159.15900000000008</v>
      </c>
      <c r="AK48" s="14">
        <f t="shared" si="35"/>
        <v>40.65276736661405</v>
      </c>
      <c r="AL48" s="22">
        <f t="shared" si="4"/>
        <v>348.00549483018625</v>
      </c>
      <c r="AM48" s="62">
        <f t="shared" si="5"/>
        <v>641.33882816351957</v>
      </c>
      <c r="AN48" s="62">
        <f ca="1">AVERAGE(OFFSET($AM$3,0,0,'Données projet'!$E$10+1,1))-AVERAGE(OFFSET($H$3,0,0,'Données projet'!$E$10+1,1))</f>
        <v>210.04871822652808</v>
      </c>
      <c r="AO48" s="62">
        <f t="shared" si="36"/>
        <v>250.17540614049324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5.4246119452839761</v>
      </c>
      <c r="AV48" s="23">
        <f>EXP(-LN(2)/25)*AV47+(1-EXP(-LN(2)/25))/(LN(2)/25)*Calculateur!AQ48*Calculateur!AS48*VLOOKUP('Données projet'!$B$10,Paramètres!$A$1:$I$88,3,0)*0.475*44/12</f>
        <v>18.361423368375192</v>
      </c>
      <c r="AW48" s="23">
        <f>EXP(-LN(2)/2)*AW47+(1-EXP(-LN(2)/2))/(LN(2)/2)*AQ48*AT48*VLOOKUP('Données projet'!$B$10,Paramètres!$A$1:$I$88,3,0)*0.475*44/12</f>
        <v>0.11906953818063827</v>
      </c>
      <c r="AX48" s="23">
        <f t="shared" si="6"/>
        <v>23.905104851839809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8.1999999999999993</v>
      </c>
      <c r="BD48" s="13">
        <f>IF('Données projet'!$A$88&gt;35,BD47+BC48-BL47,IF(A48&lt;'Données projet'!$A$88,$BA$205^A48,IF(A48='Données projet'!$A$88,'Données projet'!$B$88,BD47+BC48-BL47)))</f>
        <v>198.99999999999997</v>
      </c>
      <c r="BE48" s="14">
        <f>BD48*VLOOKUP('Données projet'!$B$11,Paramètres!$A$1:$I$88,3,0)*VLOOKUP('Données projet'!$B$11,Paramètres!$A$1:$I$88,5,0)</f>
        <v>173.84639999999999</v>
      </c>
      <c r="BF48" s="14">
        <f t="shared" si="37"/>
        <v>43.950364270382295</v>
      </c>
      <c r="BG48" s="22">
        <f t="shared" si="7"/>
        <v>379.32936443758246</v>
      </c>
      <c r="BH48" s="62">
        <f t="shared" si="8"/>
        <v>672.66269777091577</v>
      </c>
      <c r="BI48" s="62">
        <f ca="1">AVERAGE(OFFSET($BH$3,0,0,'Données projet'!$E$11+1,1))-AVERAGE(OFFSET($H$3,0,0,'Données projet'!$E$11+1,1))</f>
        <v>223.81948236065614</v>
      </c>
      <c r="BJ48" s="62">
        <f t="shared" si="38"/>
        <v>320.1204011431372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2.2832162976049757</v>
      </c>
      <c r="BQ48" s="23">
        <f>EXP(-LN(2)/25)*BQ47+(1-EXP(-LN(2)/25))/(LN(2)/25)*Calculateur!BL48*Calculateur!BN48*VLOOKUP('Données projet'!$B$11,Paramètres!$A$1:$I$88,3,0)*0.475*44/12</f>
        <v>11.672633993077067</v>
      </c>
      <c r="BR48" s="23">
        <f>EXP(-LN(2)/2)*BR47+(1-EXP(-LN(2)/2))/(LN(2)/2)*BL48*BO48*VLOOKUP('Données projet'!$B$11,Paramètres!$A$1:$I$88,3,0)*0.475*44/12</f>
        <v>0.15340906350278882</v>
      </c>
      <c r="BS48" s="24">
        <f t="shared" si="9"/>
        <v>14.109259354184832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21</v>
      </c>
      <c r="N49" s="14">
        <f>IF('Données projet'!$A$36&gt;35,N48+M49-V48,IF(A49&lt;'Données projet'!$A$36,$K$205^A49,IF(A49='Données projet'!$A$36,'Données projet'!$B$36,N48+M49-V48)))</f>
        <v>477.00000000000006</v>
      </c>
      <c r="O49" s="14">
        <f>N49*VLOOKUP('Données projet'!$B$9,Paramètres!$A$1:$I$88,3,0)*VLOOKUP('Données projet'!$B$9,Paramètres!$A$1:$I$88,5,0)</f>
        <v>266.64300000000003</v>
      </c>
      <c r="P49" s="14">
        <f t="shared" si="33"/>
        <v>64.136311225795083</v>
      </c>
      <c r="Q49" s="22">
        <f t="shared" si="53"/>
        <v>576.10730038492648</v>
      </c>
      <c r="R49" s="62">
        <f t="shared" si="0"/>
        <v>869.44063371825973</v>
      </c>
      <c r="S49" s="62">
        <f ca="1">AVERAGE(OFFSET($R$3,0,0,'Données projet'!$E$9+1,1))-AVERAGE(OFFSET($H$3,0,0,'Données projet'!$E$9+1,1))</f>
        <v>373.16487843768437</v>
      </c>
      <c r="T49" s="62">
        <f t="shared" si="34"/>
        <v>376.53494965377718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14.973374192209729</v>
      </c>
      <c r="AA49" s="23">
        <f>EXP(-LN(2)/25)*AA48+(1-EXP(-LN(2)/25))/(LN(2)/25)*Calculateur!V49*Calculateur!X49*VLOOKUP('Données projet'!$B$9,Paramètres!$A$1:$I$88,3,0)*0.475*44/12</f>
        <v>21.115636466203068</v>
      </c>
      <c r="AB49" s="23">
        <f>EXP(-LN(2)/2)*AB48+(1-EXP(-LN(2)/2))/(LN(2)/2)*V49*Y49*VLOOKUP('Données projet'!$B$9,Paramètres!$A$1:$I$88,3,0)*0.475*44/12</f>
        <v>9.7858124301548513E-2</v>
      </c>
      <c r="AC49" s="24">
        <f t="shared" si="3"/>
        <v>36.186868782714342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303.00000000000011</v>
      </c>
      <c r="AJ49" s="14">
        <f>AI49*VLOOKUP('Données projet'!$B$10,Paramètres!$A$1:$I$88,3,0)*VLOOKUP('Données projet'!$B$10,Paramètres!$A$1:$I$88,5,0)</f>
        <v>165.43800000000007</v>
      </c>
      <c r="AK49" s="14">
        <f t="shared" si="35"/>
        <v>42.066675415215805</v>
      </c>
      <c r="AL49" s="22">
        <f t="shared" si="4"/>
        <v>361.40397634816759</v>
      </c>
      <c r="AM49" s="62">
        <f t="shared" si="5"/>
        <v>654.73730968150085</v>
      </c>
      <c r="AN49" s="62">
        <f ca="1">AVERAGE(OFFSET($AM$3,0,0,'Données projet'!$E$10+1,1))-AVERAGE(OFFSET($H$3,0,0,'Données projet'!$E$10+1,1))</f>
        <v>210.04871822652808</v>
      </c>
      <c r="AO49" s="62">
        <f t="shared" si="36"/>
        <v>250.17540614049324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5.3182386137235387</v>
      </c>
      <c r="AV49" s="23">
        <f>EXP(-LN(2)/25)*AV48+(1-EXP(-LN(2)/25))/(LN(2)/25)*Calculateur!AQ49*Calculateur!AS49*VLOOKUP('Données projet'!$B$10,Paramètres!$A$1:$I$88,3,0)*0.475*44/12</f>
        <v>17.859329280781683</v>
      </c>
      <c r="AW49" s="23">
        <f>EXP(-LN(2)/2)*AW48+(1-EXP(-LN(2)/2))/(LN(2)/2)*AQ49*AT49*VLOOKUP('Données projet'!$B$10,Paramètres!$A$1:$I$88,3,0)*0.475*44/12</f>
        <v>8.4194877880279864E-2</v>
      </c>
      <c r="AX49" s="23">
        <f t="shared" si="6"/>
        <v>23.261762772385502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207.19999999999996</v>
      </c>
      <c r="BE49" s="14">
        <f>BD49*VLOOKUP('Données projet'!$B$11,Paramètres!$A$1:$I$88,3,0)*VLOOKUP('Données projet'!$B$11,Paramètres!$A$1:$I$88,5,0)</f>
        <v>181.00991999999997</v>
      </c>
      <c r="BF49" s="14">
        <f t="shared" si="37"/>
        <v>45.546801542636274</v>
      </c>
      <c r="BG49" s="22">
        <f t="shared" si="7"/>
        <v>394.58629002009144</v>
      </c>
      <c r="BH49" s="62">
        <f t="shared" si="8"/>
        <v>687.91962335342475</v>
      </c>
      <c r="BI49" s="62">
        <f ca="1">AVERAGE(OFFSET($BH$3,0,0,'Données projet'!$E$11+1,1))-AVERAGE(OFFSET($H$3,0,0,'Données projet'!$E$11+1,1))</f>
        <v>223.81948236065614</v>
      </c>
      <c r="BJ49" s="62">
        <f t="shared" si="38"/>
        <v>320.1204011431372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2.2384438186333733</v>
      </c>
      <c r="BQ49" s="23">
        <f>EXP(-LN(2)/25)*BQ48+(1-EXP(-LN(2)/25))/(LN(2)/25)*Calculateur!BL49*Calculateur!BN49*VLOOKUP('Données projet'!$B$11,Paramètres!$A$1:$I$88,3,0)*0.475*44/12</f>
        <v>11.353445202699231</v>
      </c>
      <c r="BR49" s="23">
        <f>EXP(-LN(2)/2)*BR48+(1-EXP(-LN(2)/2))/(LN(2)/2)*BL49*BO49*VLOOKUP('Données projet'!$B$11,Paramètres!$A$1:$I$88,3,0)*0.475*44/12</f>
        <v>0.10847658909829967</v>
      </c>
      <c r="BS49" s="24">
        <f t="shared" si="9"/>
        <v>13.700365610430904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21</v>
      </c>
      <c r="N50" s="14">
        <f>IF('Données projet'!$A$36&gt;35,N49+M50-V49,IF(A50&lt;'Données projet'!$A$36,$K$205^A50,IF(A50='Données projet'!$A$36,'Données projet'!$B$36,N49+M50-V49)))</f>
        <v>498.00000000000006</v>
      </c>
      <c r="O50" s="14">
        <f>N50*VLOOKUP('Données projet'!$B$9,Paramètres!$A$1:$I$88,3,0)*VLOOKUP('Données projet'!$B$9,Paramètres!$A$1:$I$88,5,0)</f>
        <v>278.38200000000001</v>
      </c>
      <c r="P50" s="14">
        <f t="shared" si="33"/>
        <v>66.624963725642488</v>
      </c>
      <c r="Q50" s="22">
        <f t="shared" si="53"/>
        <v>600.88712848882722</v>
      </c>
      <c r="R50" s="62">
        <f t="shared" si="0"/>
        <v>894.22046182216059</v>
      </c>
      <c r="S50" s="62">
        <f ca="1">AVERAGE(OFFSET($R$3,0,0,'Données projet'!$E$9+1,1))-AVERAGE(OFFSET($H$3,0,0,'Données projet'!$E$9+1,1))</f>
        <v>373.16487843768437</v>
      </c>
      <c r="T50" s="62">
        <f t="shared" si="34"/>
        <v>376.53494965377718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14.679755457156958</v>
      </c>
      <c r="AA50" s="23">
        <f>EXP(-LN(2)/25)*AA49+(1-EXP(-LN(2)/25))/(LN(2)/25)*Calculateur!V50*Calculateur!X50*VLOOKUP('Données projet'!$B$9,Paramètres!$A$1:$I$88,3,0)*0.475*44/12</f>
        <v>20.538228276611683</v>
      </c>
      <c r="AB50" s="23">
        <f>EXP(-LN(2)/2)*AB49+(1-EXP(-LN(2)/2))/(LN(2)/2)*V50*Y50*VLOOKUP('Données projet'!$B$9,Paramètres!$A$1:$I$88,3,0)*0.475*44/12</f>
        <v>6.9196143287821033E-2</v>
      </c>
      <c r="AC50" s="24">
        <f t="shared" si="3"/>
        <v>35.28717987705646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314.50000000000011</v>
      </c>
      <c r="AJ50" s="14">
        <f>AI50*VLOOKUP('Données projet'!$B$10,Paramètres!$A$1:$I$88,3,0)*VLOOKUP('Données projet'!$B$10,Paramètres!$A$1:$I$88,5,0)</f>
        <v>171.71700000000004</v>
      </c>
      <c r="AK50" s="14">
        <f t="shared" si="35"/>
        <v>43.474349266591211</v>
      </c>
      <c r="AL50" s="22">
        <f t="shared" si="4"/>
        <v>374.79159997264645</v>
      </c>
      <c r="AM50" s="62">
        <f t="shared" si="5"/>
        <v>668.12493330597977</v>
      </c>
      <c r="AN50" s="62">
        <f ca="1">AVERAGE(OFFSET($AM$3,0,0,'Données projet'!$E$10+1,1))-AVERAGE(OFFSET($H$3,0,0,'Données projet'!$E$10+1,1))</f>
        <v>210.04871822652808</v>
      </c>
      <c r="AO50" s="62">
        <f t="shared" si="36"/>
        <v>250.17540614049324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5.2139511983136755</v>
      </c>
      <c r="AV50" s="23">
        <f>EXP(-LN(2)/25)*AV49+(1-EXP(-LN(2)/25))/(LN(2)/25)*Calculateur!AQ50*Calculateur!AS50*VLOOKUP('Données projet'!$B$10,Paramètres!$A$1:$I$88,3,0)*0.475*44/12</f>
        <v>17.370964982417398</v>
      </c>
      <c r="AW50" s="23">
        <f>EXP(-LN(2)/2)*AW49+(1-EXP(-LN(2)/2))/(LN(2)/2)*AQ50*AT50*VLOOKUP('Données projet'!$B$10,Paramètres!$A$1:$I$88,3,0)*0.475*44/12</f>
        <v>5.9534769090319149E-2</v>
      </c>
      <c r="AX50" s="23">
        <f t="shared" si="6"/>
        <v>22.644450949821394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215.39999999999995</v>
      </c>
      <c r="BE50" s="14">
        <f>BD50*VLOOKUP('Données projet'!$B$11,Paramètres!$A$1:$I$88,3,0)*VLOOKUP('Données projet'!$B$11,Paramètres!$A$1:$I$88,5,0)</f>
        <v>188.17343999999997</v>
      </c>
      <c r="BF50" s="14">
        <f t="shared" si="37"/>
        <v>47.135899614073118</v>
      </c>
      <c r="BG50" s="22">
        <f t="shared" si="7"/>
        <v>409.83043316117727</v>
      </c>
      <c r="BH50" s="62">
        <f t="shared" si="8"/>
        <v>703.16376649451058</v>
      </c>
      <c r="BI50" s="62">
        <f ca="1">AVERAGE(OFFSET($BH$3,0,0,'Données projet'!$E$11+1,1))-AVERAGE(OFFSET($H$3,0,0,'Données projet'!$E$11+1,1))</f>
        <v>223.81948236065614</v>
      </c>
      <c r="BJ50" s="62">
        <f t="shared" si="38"/>
        <v>320.1204011431372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2.1945493006658885</v>
      </c>
      <c r="BQ50" s="23">
        <f>EXP(-LN(2)/25)*BQ49+(1-EXP(-LN(2)/25))/(LN(2)/25)*Calculateur!BL50*Calculateur!BN50*VLOOKUP('Données projet'!$B$11,Paramètres!$A$1:$I$88,3,0)*0.475*44/12</f>
        <v>11.042984646579686</v>
      </c>
      <c r="BR50" s="23">
        <f>EXP(-LN(2)/2)*BR49+(1-EXP(-LN(2)/2))/(LN(2)/2)*BL50*BO50*VLOOKUP('Données projet'!$B$11,Paramètres!$A$1:$I$88,3,0)*0.475*44/12</f>
        <v>7.6704531751394411E-2</v>
      </c>
      <c r="BS50" s="24">
        <f t="shared" si="9"/>
        <v>13.31423847899697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21</v>
      </c>
      <c r="N51" s="14">
        <f>IF('Données projet'!$A$36&gt;35,N50+M51-V50,IF(A51&lt;'Données projet'!$A$36,$K$205^A51,IF(A51='Données projet'!$A$36,'Données projet'!$B$36,N50+M51-V50)))</f>
        <v>519</v>
      </c>
      <c r="O51" s="14">
        <f>N51*VLOOKUP('Données projet'!$B$9,Paramètres!$A$1:$I$88,3,0)*VLOOKUP('Données projet'!$B$9,Paramètres!$A$1:$I$88,5,0)</f>
        <v>290.12099999999998</v>
      </c>
      <c r="P51" s="14">
        <f t="shared" si="33"/>
        <v>69.101426954815722</v>
      </c>
      <c r="Q51" s="22">
        <f t="shared" si="53"/>
        <v>625.64572694630408</v>
      </c>
      <c r="R51" s="62">
        <f t="shared" si="0"/>
        <v>918.97906027963745</v>
      </c>
      <c r="S51" s="62">
        <f ca="1">AVERAGE(OFFSET($R$3,0,0,'Données projet'!$E$9+1,1))-AVERAGE(OFFSET($H$3,0,0,'Données projet'!$E$9+1,1))</f>
        <v>373.16487843768437</v>
      </c>
      <c r="T51" s="62">
        <f t="shared" si="34"/>
        <v>376.53494965377718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14.391894406408827</v>
      </c>
      <c r="AA51" s="23">
        <f>EXP(-LN(2)/25)*AA50+(1-EXP(-LN(2)/25))/(LN(2)/25)*Calculateur!V51*Calculateur!X51*VLOOKUP('Données projet'!$B$9,Paramètres!$A$1:$I$88,3,0)*0.475*44/12</f>
        <v>19.976609344329251</v>
      </c>
      <c r="AB51" s="23">
        <f>EXP(-LN(2)/2)*AB50+(1-EXP(-LN(2)/2))/(LN(2)/2)*V51*Y51*VLOOKUP('Données projet'!$B$9,Paramètres!$A$1:$I$88,3,0)*0.475*44/12</f>
        <v>4.8929062150774257E-2</v>
      </c>
      <c r="AC51" s="24">
        <f t="shared" si="3"/>
        <v>34.417432812888855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326.00000000000011</v>
      </c>
      <c r="AJ51" s="14">
        <f>AI51*VLOOKUP('Données projet'!$B$10,Paramètres!$A$1:$I$88,3,0)*VLOOKUP('Données projet'!$B$10,Paramètres!$A$1:$I$88,5,0)</f>
        <v>177.99600000000007</v>
      </c>
      <c r="AK51" s="14">
        <f t="shared" si="35"/>
        <v>44.876042989096391</v>
      </c>
      <c r="AL51" s="22">
        <f t="shared" si="4"/>
        <v>388.1688082060096</v>
      </c>
      <c r="AM51" s="62">
        <f t="shared" si="5"/>
        <v>681.50214153934292</v>
      </c>
      <c r="AN51" s="62">
        <f ca="1">AVERAGE(OFFSET($AM$3,0,0,'Données projet'!$E$10+1,1))-AVERAGE(OFFSET($H$3,0,0,'Données projet'!$E$10+1,1))</f>
        <v>210.04871822652808</v>
      </c>
      <c r="AO51" s="62">
        <f t="shared" si="36"/>
        <v>250.17540614049324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5.1117087955109568</v>
      </c>
      <c r="AV51" s="23">
        <f>EXP(-LN(2)/25)*AV50+(1-EXP(-LN(2)/25))/(LN(2)/25)*Calculateur!AQ51*Calculateur!AS51*VLOOKUP('Données projet'!$B$10,Paramètres!$A$1:$I$88,3,0)*0.475*44/12</f>
        <v>16.895955031473846</v>
      </c>
      <c r="AW51" s="23">
        <f>EXP(-LN(2)/2)*AW50+(1-EXP(-LN(2)/2))/(LN(2)/2)*AQ51*AT51*VLOOKUP('Données projet'!$B$10,Paramètres!$A$1:$I$88,3,0)*0.475*44/12</f>
        <v>4.2097438940139939E-2</v>
      </c>
      <c r="AX51" s="23">
        <f t="shared" si="6"/>
        <v>22.049761265924943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223.59999999999994</v>
      </c>
      <c r="BE51" s="14">
        <f>BD51*VLOOKUP('Données projet'!$B$11,Paramètres!$A$1:$I$88,3,0)*VLOOKUP('Données projet'!$B$11,Paramètres!$A$1:$I$88,5,0)</f>
        <v>195.33695999999998</v>
      </c>
      <c r="BF51" s="14">
        <f t="shared" si="37"/>
        <v>48.717969863105445</v>
      </c>
      <c r="BG51" s="22">
        <f t="shared" si="7"/>
        <v>425.06233617824199</v>
      </c>
      <c r="BH51" s="62">
        <f t="shared" si="8"/>
        <v>718.39566951157531</v>
      </c>
      <c r="BI51" s="62">
        <f ca="1">AVERAGE(OFFSET($BH$3,0,0,'Données projet'!$E$11+1,1))-AVERAGE(OFFSET($H$3,0,0,'Données projet'!$E$11+1,1))</f>
        <v>223.81948236065614</v>
      </c>
      <c r="BJ51" s="62">
        <f t="shared" si="38"/>
        <v>320.1204011431372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2.1515155274227338</v>
      </c>
      <c r="BQ51" s="23">
        <f>EXP(-LN(2)/25)*BQ50+(1-EXP(-LN(2)/25))/(LN(2)/25)*Calculateur!BL51*Calculateur!BN51*VLOOKUP('Données projet'!$B$11,Paramètres!$A$1:$I$88,3,0)*0.475*44/12</f>
        <v>10.741013650693642</v>
      </c>
      <c r="BR51" s="23">
        <f>EXP(-LN(2)/2)*BR50+(1-EXP(-LN(2)/2))/(LN(2)/2)*BL51*BO51*VLOOKUP('Données projet'!$B$11,Paramètres!$A$1:$I$88,3,0)*0.475*44/12</f>
        <v>5.4238294549149836E-2</v>
      </c>
      <c r="BS51" s="24">
        <f t="shared" si="9"/>
        <v>12.946767472665526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21</v>
      </c>
      <c r="N52" s="14">
        <f>IF('Données projet'!$A$36&gt;35,N51+M52-V51,IF(A52&lt;'Données projet'!$A$36,$K$205^A52,IF(A52='Données projet'!$A$36,'Données projet'!$B$36,N51+M52-V51)))</f>
        <v>540</v>
      </c>
      <c r="O52" s="14">
        <f>N52*VLOOKUP('Données projet'!$B$9,Paramètres!$A$1:$I$88,3,0)*VLOOKUP('Données projet'!$B$9,Paramètres!$A$1:$I$88,5,0)</f>
        <v>301.86</v>
      </c>
      <c r="P52" s="14">
        <f t="shared" si="33"/>
        <v>71.566250541226992</v>
      </c>
      <c r="Q52" s="22">
        <f t="shared" si="53"/>
        <v>650.38405302597027</v>
      </c>
      <c r="R52" s="62">
        <f t="shared" si="0"/>
        <v>943.71738635930365</v>
      </c>
      <c r="S52" s="62">
        <f ca="1">AVERAGE(OFFSET($R$3,0,0,'Données projet'!$E$9+1,1))-AVERAGE(OFFSET($H$3,0,0,'Données projet'!$E$9+1,1))</f>
        <v>373.16487843768437</v>
      </c>
      <c r="T52" s="62">
        <f t="shared" si="34"/>
        <v>376.53494965377718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14.109678135287965</v>
      </c>
      <c r="AA52" s="23">
        <f>EXP(-LN(2)/25)*AA51+(1-EXP(-LN(2)/25))/(LN(2)/25)*Calculateur!V52*Calculateur!X52*VLOOKUP('Données projet'!$B$9,Paramètres!$A$1:$I$88,3,0)*0.475*44/12</f>
        <v>19.43034791128434</v>
      </c>
      <c r="AB52" s="23">
        <f>EXP(-LN(2)/2)*AB51+(1-EXP(-LN(2)/2))/(LN(2)/2)*V52*Y52*VLOOKUP('Données projet'!$B$9,Paramètres!$A$1:$I$88,3,0)*0.475*44/12</f>
        <v>3.4598071643910516E-2</v>
      </c>
      <c r="AC52" s="24">
        <f t="shared" si="3"/>
        <v>33.574624118216221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337.50000000000011</v>
      </c>
      <c r="AJ52" s="14">
        <f>AI52*VLOOKUP('Données projet'!$B$10,Paramètres!$A$1:$I$88,3,0)*VLOOKUP('Données projet'!$B$10,Paramètres!$A$1:$I$88,5,0)</f>
        <v>184.27500000000003</v>
      </c>
      <c r="AK52" s="14">
        <f t="shared" si="35"/>
        <v>46.27199170970021</v>
      </c>
      <c r="AL52" s="22">
        <f t="shared" si="4"/>
        <v>401.53601056106123</v>
      </c>
      <c r="AM52" s="62">
        <f t="shared" si="5"/>
        <v>694.86934389439455</v>
      </c>
      <c r="AN52" s="62">
        <f ca="1">AVERAGE(OFFSET($AM$3,0,0,'Données projet'!$E$10+1,1))-AVERAGE(OFFSET($H$3,0,0,'Données projet'!$E$10+1,1))</f>
        <v>210.04871822652808</v>
      </c>
      <c r="AO52" s="62">
        <f t="shared" si="36"/>
        <v>250.17540614049324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5.0114713038654912</v>
      </c>
      <c r="AV52" s="23">
        <f>EXP(-LN(2)/25)*AV51+(1-EXP(-LN(2)/25))/(LN(2)/25)*Calculateur!AQ52*Calculateur!AS52*VLOOKUP('Données projet'!$B$10,Paramètres!$A$1:$I$88,3,0)*0.475*44/12</f>
        <v>16.433934252618535</v>
      </c>
      <c r="AW52" s="23">
        <f>EXP(-LN(2)/2)*AW51+(1-EXP(-LN(2)/2))/(LN(2)/2)*AQ52*AT52*VLOOKUP('Données projet'!$B$10,Paramètres!$A$1:$I$88,3,0)*0.475*44/12</f>
        <v>2.9767384545159578E-2</v>
      </c>
      <c r="AX52" s="23">
        <f t="shared" si="6"/>
        <v>21.475172941029186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231.79999999999993</v>
      </c>
      <c r="BE52" s="14">
        <f>BD52*VLOOKUP('Données projet'!$B$11,Paramètres!$A$1:$I$88,3,0)*VLOOKUP('Données projet'!$B$11,Paramètres!$A$1:$I$88,5,0)</f>
        <v>202.50047999999995</v>
      </c>
      <c r="BF52" s="14">
        <f t="shared" si="37"/>
        <v>50.293299535837903</v>
      </c>
      <c r="BG52" s="22">
        <f t="shared" si="7"/>
        <v>440.28249935825096</v>
      </c>
      <c r="BH52" s="62">
        <f t="shared" si="8"/>
        <v>733.61583269158427</v>
      </c>
      <c r="BI52" s="62">
        <f ca="1">AVERAGE(OFFSET($BH$3,0,0,'Données projet'!$E$11+1,1))-AVERAGE(OFFSET($H$3,0,0,'Données projet'!$E$11+1,1))</f>
        <v>223.81948236065614</v>
      </c>
      <c r="BJ52" s="62">
        <f t="shared" si="38"/>
        <v>320.1204011431372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2.1093256202248671</v>
      </c>
      <c r="BQ52" s="23">
        <f>EXP(-LN(2)/25)*BQ51+(1-EXP(-LN(2)/25))/(LN(2)/25)*Calculateur!BL52*Calculateur!BN52*VLOOKUP('Données projet'!$B$11,Paramètres!$A$1:$I$88,3,0)*0.475*44/12</f>
        <v>10.447300067570065</v>
      </c>
      <c r="BR52" s="23">
        <f>EXP(-LN(2)/2)*BR51+(1-EXP(-LN(2)/2))/(LN(2)/2)*BL52*BO52*VLOOKUP('Données projet'!$B$11,Paramètres!$A$1:$I$88,3,0)*0.475*44/12</f>
        <v>3.8352265875697206E-2</v>
      </c>
      <c r="BS52" s="24">
        <f t="shared" si="9"/>
        <v>12.594977953670631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561</v>
      </c>
      <c r="L53" s="13">
        <f>VLOOKUP(A53,'Données projet'!$A$35:$I$55,9,0)</f>
        <v>21</v>
      </c>
      <c r="M53" s="13">
        <f t="array" ref="M53">INDEX(L:L,MIN(IF(ISNUMBER(L53:L249),ROW(L53:L249),"")))</f>
        <v>21</v>
      </c>
      <c r="N53" s="14">
        <f>IF('Données projet'!$A$36&gt;35,N52+M53-V52,IF(A53&lt;'Données projet'!$A$36,$K$205^A53,IF(A53='Données projet'!$A$36,'Données projet'!$B$36,N52+M53-V52)))</f>
        <v>561</v>
      </c>
      <c r="O53" s="14">
        <f>N53*VLOOKUP('Données projet'!$B$9,Paramètres!$A$1:$I$88,3,0)*VLOOKUP('Données projet'!$B$9,Paramètres!$A$1:$I$88,5,0)</f>
        <v>313.59899999999999</v>
      </c>
      <c r="P53" s="14">
        <f t="shared" si="33"/>
        <v>74.019938943375337</v>
      </c>
      <c r="Q53" s="22">
        <f t="shared" si="53"/>
        <v>675.10298532637864</v>
      </c>
      <c r="R53" s="62">
        <f t="shared" si="0"/>
        <v>968.43631865971201</v>
      </c>
      <c r="S53" s="62">
        <f ca="1">AVERAGE(OFFSET($R$3,0,0,'Données projet'!$E$9+1,1))-AVERAGE(OFFSET($H$3,0,0,'Données projet'!$E$9+1,1))</f>
        <v>373.16487843768437</v>
      </c>
      <c r="T53" s="62">
        <f t="shared" si="34"/>
        <v>376.53494965377718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119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13.832995953108853</v>
      </c>
      <c r="AA53" s="23">
        <f>EXP(-LN(2)/25)*AA52+(1-EXP(-LN(2)/25))/(LN(2)/25)*Calculateur!V53*Calculateur!X53*VLOOKUP('Données projet'!$B$9,Paramètres!$A$1:$I$88,3,0)*0.475*44/12</f>
        <v>18.899024025852682</v>
      </c>
      <c r="AB53" s="23">
        <f>EXP(-LN(2)/2)*AB52+(1-EXP(-LN(2)/2))/(LN(2)/2)*V53*Y53*VLOOKUP('Données projet'!$B$9,Paramètres!$A$1:$I$88,3,0)*0.475*44/12</f>
        <v>2.4464531075387128E-2</v>
      </c>
      <c r="AC53" s="24">
        <f t="shared" si="3"/>
        <v>32.75648451003692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349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349.00000000000011</v>
      </c>
      <c r="AJ53" s="14">
        <f>AI53*VLOOKUP('Données projet'!$B$10,Paramètres!$A$1:$I$88,3,0)*VLOOKUP('Données projet'!$B$10,Paramètres!$A$1:$I$88,5,0)</f>
        <v>190.55400000000006</v>
      </c>
      <c r="AK53" s="14">
        <f t="shared" si="35"/>
        <v>47.662413622948378</v>
      </c>
      <c r="AL53" s="22">
        <f t="shared" si="4"/>
        <v>414.89358705996847</v>
      </c>
      <c r="AM53" s="62">
        <f t="shared" si="5"/>
        <v>708.22692039330173</v>
      </c>
      <c r="AN53" s="62">
        <f ca="1">AVERAGE(OFFSET($AM$3,0,0,'Données projet'!$E$10+1,1))-AVERAGE(OFFSET($H$3,0,0,'Données projet'!$E$10+1,1))</f>
        <v>210.04871822652808</v>
      </c>
      <c r="AO53" s="62">
        <f t="shared" si="36"/>
        <v>250.17540614049324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65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4.9131994082923605</v>
      </c>
      <c r="AV53" s="23">
        <f>EXP(-LN(2)/25)*AV52+(1-EXP(-LN(2)/25))/(LN(2)/25)*Calculateur!AQ53*Calculateur!AS53*VLOOKUP('Données projet'!$B$10,Paramètres!$A$1:$I$88,3,0)*0.475*44/12</f>
        <v>15.984547456257639</v>
      </c>
      <c r="AW53" s="23">
        <f>EXP(-LN(2)/2)*AW52+(1-EXP(-LN(2)/2))/(LN(2)/2)*AQ53*AT53*VLOOKUP('Données projet'!$B$10,Paramètres!$A$1:$I$88,3,0)*0.475*44/12</f>
        <v>2.1048719470069973E-2</v>
      </c>
      <c r="AX53" s="23">
        <f t="shared" si="6"/>
        <v>20.918795584020071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239.99999999999991</v>
      </c>
      <c r="BE53" s="14">
        <f>BD53*VLOOKUP('Données projet'!$B$11,Paramètres!$A$1:$I$88,3,0)*VLOOKUP('Données projet'!$B$11,Paramètres!$A$1:$I$88,5,0)</f>
        <v>209.66399999999996</v>
      </c>
      <c r="BF53" s="14">
        <f t="shared" si="37"/>
        <v>51.862154403304487</v>
      </c>
      <c r="BG53" s="22">
        <f t="shared" si="7"/>
        <v>455.49138558575515</v>
      </c>
      <c r="BH53" s="62">
        <f t="shared" si="8"/>
        <v>748.82471891908847</v>
      </c>
      <c r="BI53" s="62">
        <f ca="1">AVERAGE(OFFSET($BH$3,0,0,'Données projet'!$E$11+1,1))-AVERAGE(OFFSET($H$3,0,0,'Données projet'!$E$11+1,1))</f>
        <v>223.81948236065614</v>
      </c>
      <c r="BJ53" s="62">
        <f t="shared" si="38"/>
        <v>320.1204011431372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59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2.0679630313738486</v>
      </c>
      <c r="BQ53" s="23">
        <f>EXP(-LN(2)/25)*BQ52+(1-EXP(-LN(2)/25))/(LN(2)/25)*Calculateur!BL53*Calculateur!BN53*VLOOKUP('Données projet'!$B$11,Paramètres!$A$1:$I$88,3,0)*0.475*44/12</f>
        <v>10.161618097822728</v>
      </c>
      <c r="BR53" s="23">
        <f>EXP(-LN(2)/2)*BR52+(1-EXP(-LN(2)/2))/(LN(2)/2)*BL53*BO53*VLOOKUP('Données projet'!$B$11,Paramètres!$A$1:$I$88,3,0)*0.475*44/12</f>
        <v>2.7119147274574918E-2</v>
      </c>
      <c r="BS53" s="24">
        <f t="shared" si="9"/>
        <v>12.256700276471152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18</v>
      </c>
      <c r="N54" s="14">
        <f>IF('Données projet'!$A$36&gt;35,N53+M54-V53,IF(A54&lt;'Données projet'!$A$36,$K$205^A54,IF(A54='Données projet'!$A$36,'Données projet'!$B$36,N53+M54-V53)))</f>
        <v>460</v>
      </c>
      <c r="O54" s="14">
        <f>N54*VLOOKUP('Données projet'!$B$9,Paramètres!$A$1:$I$88,3,0)*VLOOKUP('Données projet'!$B$9,Paramètres!$A$1:$I$88,5,0)</f>
        <v>257.14</v>
      </c>
      <c r="P54" s="14">
        <f t="shared" si="33"/>
        <v>62.112349635142181</v>
      </c>
      <c r="Q54" s="22">
        <f t="shared" si="53"/>
        <v>556.03117561453928</v>
      </c>
      <c r="R54" s="62">
        <f t="shared" si="0"/>
        <v>849.36450894787254</v>
      </c>
      <c r="S54" s="62">
        <f ca="1">AVERAGE(OFFSET($R$3,0,0,'Données projet'!$E$9+1,1))-AVERAGE(OFFSET($H$3,0,0,'Données projet'!$E$9+1,1))</f>
        <v>373.16487843768437</v>
      </c>
      <c r="T54" s="62">
        <f t="shared" si="34"/>
        <v>376.53494965377718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13.561739339762806</v>
      </c>
      <c r="AA54" s="23">
        <f>EXP(-LN(2)/25)*AA53+(1-EXP(-LN(2)/25))/(LN(2)/25)*Calculateur!V54*Calculateur!X54*VLOOKUP('Données projet'!$B$9,Paramètres!$A$1:$I$88,3,0)*0.475*44/12</f>
        <v>18.382229220009261</v>
      </c>
      <c r="AB54" s="23">
        <f>EXP(-LN(2)/2)*AB53+(1-EXP(-LN(2)/2))/(LN(2)/2)*V54*Y54*VLOOKUP('Données projet'!$B$9,Paramètres!$A$1:$I$88,3,0)*0.475*44/12</f>
        <v>1.7299035821955258E-2</v>
      </c>
      <c r="AC54" s="24">
        <f t="shared" si="3"/>
        <v>31.961267595594023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9.8000000000000007</v>
      </c>
      <c r="AI54" s="14">
        <f>IF('Données projet'!$A$62&gt;35,AI53+AH54-AQ53,IF(A54&lt;'Données projet'!$A$62,$AF$205^A54,IF(A54='Données projet'!$A$62,'Données projet'!$B$62,AI53+AH54-AQ53)))</f>
        <v>293.80000000000013</v>
      </c>
      <c r="AJ54" s="14">
        <f>AI54*VLOOKUP('Données projet'!$B$10,Paramètres!$A$1:$I$88,3,0)*VLOOKUP('Données projet'!$B$10,Paramètres!$A$1:$I$88,5,0)</f>
        <v>160.41480000000007</v>
      </c>
      <c r="AK54" s="14">
        <f t="shared" si="35"/>
        <v>40.936060601587023</v>
      </c>
      <c r="AL54" s="22">
        <f t="shared" si="4"/>
        <v>350.68608221443083</v>
      </c>
      <c r="AM54" s="62">
        <f t="shared" si="5"/>
        <v>644.01941554776408</v>
      </c>
      <c r="AN54" s="62">
        <f ca="1">AVERAGE(OFFSET($AM$3,0,0,'Données projet'!$E$10+1,1))-AVERAGE(OFFSET($H$3,0,0,'Données projet'!$E$10+1,1))</f>
        <v>210.04871822652808</v>
      </c>
      <c r="AO54" s="62">
        <f t="shared" si="36"/>
        <v>250.17540614049324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4.8168545646514813</v>
      </c>
      <c r="AV54" s="23">
        <f>EXP(-LN(2)/25)*AV53+(1-EXP(-LN(2)/25))/(LN(2)/25)*Calculateur!AQ54*Calculateur!AS54*VLOOKUP('Données projet'!$B$10,Paramètres!$A$1:$I$88,3,0)*0.475*44/12</f>
        <v>15.547449165475456</v>
      </c>
      <c r="AW54" s="23">
        <f>EXP(-LN(2)/2)*AW53+(1-EXP(-LN(2)/2))/(LN(2)/2)*AQ54*AT54*VLOOKUP('Données projet'!$B$10,Paramètres!$A$1:$I$88,3,0)*0.475*44/12</f>
        <v>1.4883692272579793E-2</v>
      </c>
      <c r="AX54" s="23">
        <f t="shared" si="6"/>
        <v>20.379187422399518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6.4</v>
      </c>
      <c r="BD54" s="13">
        <f>IF('Données projet'!$A$88&gt;35,BD53+BC54-BL53,IF(A54&lt;'Données projet'!$A$88,$BA$205^A54,IF(A54='Données projet'!$A$88,'Données projet'!$B$88,BD53+BC54-BL53)))</f>
        <v>187.39999999999992</v>
      </c>
      <c r="BE54" s="14">
        <f>BD54*VLOOKUP('Données projet'!$B$11,Paramètres!$A$1:$I$88,3,0)*VLOOKUP('Données projet'!$B$11,Paramètres!$A$1:$I$88,5,0)</f>
        <v>163.71263999999994</v>
      </c>
      <c r="BF54" s="14">
        <f t="shared" si="37"/>
        <v>41.67879048791994</v>
      </c>
      <c r="BG54" s="22">
        <f t="shared" si="7"/>
        <v>357.72340809979374</v>
      </c>
      <c r="BH54" s="62">
        <f t="shared" si="8"/>
        <v>651.05674143312706</v>
      </c>
      <c r="BI54" s="62">
        <f ca="1">AVERAGE(OFFSET($BH$3,0,0,'Données projet'!$E$11+1,1))-AVERAGE(OFFSET($H$3,0,0,'Données projet'!$E$11+1,1))</f>
        <v>223.81948236065614</v>
      </c>
      <c r="BJ54" s="62">
        <f t="shared" si="38"/>
        <v>320.1204011431372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2.0274115376615103</v>
      </c>
      <c r="BQ54" s="23">
        <f>EXP(-LN(2)/25)*BQ53+(1-EXP(-LN(2)/25))/(LN(2)/25)*Calculateur!BL54*Calculateur!BN54*VLOOKUP('Données projet'!$B$11,Paramètres!$A$1:$I$88,3,0)*0.475*44/12</f>
        <v>9.8837481165614953</v>
      </c>
      <c r="BR54" s="23">
        <f>EXP(-LN(2)/2)*BR53+(1-EXP(-LN(2)/2))/(LN(2)/2)*BL54*BO54*VLOOKUP('Données projet'!$B$11,Paramètres!$A$1:$I$88,3,0)*0.475*44/12</f>
        <v>1.9176132937848603E-2</v>
      </c>
      <c r="BS54" s="24">
        <f t="shared" si="9"/>
        <v>11.930335787160855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18</v>
      </c>
      <c r="N55" s="14">
        <f>IF('Données projet'!$A$36&gt;35,N54+M55-V54,IF(A55&lt;'Données projet'!$A$36,$K$205^A55,IF(A55='Données projet'!$A$36,'Données projet'!$B$36,N54+M55-V54)))</f>
        <v>478</v>
      </c>
      <c r="O55" s="14">
        <f>N55*VLOOKUP('Données projet'!$B$9,Paramètres!$A$1:$I$88,3,0)*VLOOKUP('Données projet'!$B$9,Paramètres!$A$1:$I$88,5,0)</f>
        <v>267.202</v>
      </c>
      <c r="P55" s="14">
        <f t="shared" si="33"/>
        <v>64.255103543261868</v>
      </c>
      <c r="Q55" s="22">
        <f t="shared" si="53"/>
        <v>577.28778867118103</v>
      </c>
      <c r="R55" s="62">
        <f t="shared" si="0"/>
        <v>870.62112200451429</v>
      </c>
      <c r="S55" s="62">
        <f ca="1">AVERAGE(OFFSET($R$3,0,0,'Données projet'!$E$9+1,1))-AVERAGE(OFFSET($H$3,0,0,'Données projet'!$E$9+1,1))</f>
        <v>373.16487843768437</v>
      </c>
      <c r="T55" s="62">
        <f t="shared" si="34"/>
        <v>376.53494965377718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13.295801903154278</v>
      </c>
      <c r="AA55" s="23">
        <f>EXP(-LN(2)/25)*AA54+(1-EXP(-LN(2)/25))/(LN(2)/25)*Calculateur!V55*Calculateur!X55*VLOOKUP('Données projet'!$B$9,Paramètres!$A$1:$I$88,3,0)*0.475*44/12</f>
        <v>17.879566195308687</v>
      </c>
      <c r="AB55" s="23">
        <f>EXP(-LN(2)/2)*AB54+(1-EXP(-LN(2)/2))/(LN(2)/2)*V55*Y55*VLOOKUP('Données projet'!$B$9,Paramètres!$A$1:$I$88,3,0)*0.475*44/12</f>
        <v>1.2232265537693564E-2</v>
      </c>
      <c r="AC55" s="24">
        <f t="shared" si="3"/>
        <v>31.187600364000659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9.8000000000000007</v>
      </c>
      <c r="AI55" s="14">
        <f>IF('Données projet'!$A$62&gt;35,AI54+AH55-AQ54,IF(A55&lt;'Données projet'!$A$62,$AF$205^A55,IF(A55='Données projet'!$A$62,'Données projet'!$B$62,AI54+AH55-AQ54)))</f>
        <v>303.60000000000014</v>
      </c>
      <c r="AJ55" s="14">
        <f>AI55*VLOOKUP('Données projet'!$B$10,Paramètres!$A$1:$I$88,3,0)*VLOOKUP('Données projet'!$B$10,Paramètres!$A$1:$I$88,5,0)</f>
        <v>165.76560000000009</v>
      </c>
      <c r="AK55" s="14">
        <f t="shared" si="35"/>
        <v>42.140271125684301</v>
      </c>
      <c r="AL55" s="22">
        <f t="shared" si="4"/>
        <v>362.10272554390031</v>
      </c>
      <c r="AM55" s="62">
        <f t="shared" si="5"/>
        <v>655.43605887723356</v>
      </c>
      <c r="AN55" s="62">
        <f ca="1">AVERAGE(OFFSET($AM$3,0,0,'Données projet'!$E$10+1,1))-AVERAGE(OFFSET($H$3,0,0,'Données projet'!$E$10+1,1))</f>
        <v>210.04871822652808</v>
      </c>
      <c r="AO55" s="62">
        <f t="shared" si="36"/>
        <v>250.17540614049324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4.722398984629848</v>
      </c>
      <c r="AV55" s="23">
        <f>EXP(-LN(2)/25)*AV54+(1-EXP(-LN(2)/25))/(LN(2)/25)*Calculateur!AQ55*Calculateur!AS55*VLOOKUP('Données projet'!$B$10,Paramètres!$A$1:$I$88,3,0)*0.475*44/12</f>
        <v>15.122303350440712</v>
      </c>
      <c r="AW55" s="23">
        <f>EXP(-LN(2)/2)*AW54+(1-EXP(-LN(2)/2))/(LN(2)/2)*AQ55*AT55*VLOOKUP('Données projet'!$B$10,Paramètres!$A$1:$I$88,3,0)*0.475*44/12</f>
        <v>1.0524359735034988E-2</v>
      </c>
      <c r="AX55" s="23">
        <f t="shared" si="6"/>
        <v>19.855226694805594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6.4</v>
      </c>
      <c r="BD55" s="13">
        <f>IF('Données projet'!$A$88&gt;35,BD54+BC55-BL54,IF(A55&lt;'Données projet'!$A$88,$BA$205^A55,IF(A55='Données projet'!$A$88,'Données projet'!$B$88,BD54+BC55-BL54)))</f>
        <v>193.79999999999993</v>
      </c>
      <c r="BE55" s="14">
        <f>BD55*VLOOKUP('Données projet'!$B$11,Paramètres!$A$1:$I$88,3,0)*VLOOKUP('Données projet'!$B$11,Paramètres!$A$1:$I$88,5,0)</f>
        <v>169.30367999999996</v>
      </c>
      <c r="BF55" s="14">
        <f t="shared" si="37"/>
        <v>42.934033834973214</v>
      </c>
      <c r="BG55" s="22">
        <f t="shared" si="7"/>
        <v>369.64735159591163</v>
      </c>
      <c r="BH55" s="62">
        <f t="shared" si="8"/>
        <v>662.98068492924494</v>
      </c>
      <c r="BI55" s="62">
        <f ca="1">AVERAGE(OFFSET($BH$3,0,0,'Données projet'!$E$11+1,1))-AVERAGE(OFFSET($H$3,0,0,'Données projet'!$E$11+1,1))</f>
        <v>223.81948236065614</v>
      </c>
      <c r="BJ55" s="62">
        <f t="shared" si="38"/>
        <v>320.1204011431372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1.987655234006902</v>
      </c>
      <c r="BQ55" s="23">
        <f>EXP(-LN(2)/25)*BQ54+(1-EXP(-LN(2)/25))/(LN(2)/25)*Calculateur!BL55*Calculateur!BN55*VLOOKUP('Données projet'!$B$11,Paramètres!$A$1:$I$88,3,0)*0.475*44/12</f>
        <v>9.6134765045503983</v>
      </c>
      <c r="BR55" s="23">
        <f>EXP(-LN(2)/2)*BR54+(1-EXP(-LN(2)/2))/(LN(2)/2)*BL55*BO55*VLOOKUP('Données projet'!$B$11,Paramètres!$A$1:$I$88,3,0)*0.475*44/12</f>
        <v>1.3559573637287459E-2</v>
      </c>
      <c r="BS55" s="24">
        <f t="shared" si="9"/>
        <v>11.614691312194587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18</v>
      </c>
      <c r="N56" s="14">
        <f>IF('Données projet'!$A$36&gt;35,N55+M56-V55,IF(A56&lt;'Données projet'!$A$36,$K$205^A56,IF(A56='Données projet'!$A$36,'Données projet'!$B$36,N55+M56-V55)))</f>
        <v>496</v>
      </c>
      <c r="O56" s="14">
        <f>N56*VLOOKUP('Données projet'!$B$9,Paramètres!$A$1:$I$88,3,0)*VLOOKUP('Données projet'!$B$9,Paramètres!$A$1:$I$88,5,0)</f>
        <v>277.26400000000001</v>
      </c>
      <c r="P56" s="14">
        <f t="shared" si="33"/>
        <v>66.388483410423504</v>
      </c>
      <c r="Q56" s="22">
        <f t="shared" si="53"/>
        <v>598.52807527315429</v>
      </c>
      <c r="R56" s="62">
        <f t="shared" si="0"/>
        <v>891.86140860648766</v>
      </c>
      <c r="S56" s="62">
        <f ca="1">AVERAGE(OFFSET($R$3,0,0,'Données projet'!$E$9+1,1))-AVERAGE(OFFSET($H$3,0,0,'Données projet'!$E$9+1,1))</f>
        <v>373.16487843768437</v>
      </c>
      <c r="T56" s="62">
        <f t="shared" si="34"/>
        <v>376.53494965377718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13.035079337471823</v>
      </c>
      <c r="AA56" s="23">
        <f>EXP(-LN(2)/25)*AA55+(1-EXP(-LN(2)/25))/(LN(2)/25)*Calculateur!V56*Calculateur!X56*VLOOKUP('Données projet'!$B$9,Paramètres!$A$1:$I$88,3,0)*0.475*44/12</f>
        <v>17.390648517452448</v>
      </c>
      <c r="AB56" s="23">
        <f>EXP(-LN(2)/2)*AB55+(1-EXP(-LN(2)/2))/(LN(2)/2)*V56*Y56*VLOOKUP('Données projet'!$B$9,Paramètres!$A$1:$I$88,3,0)*0.475*44/12</f>
        <v>8.6495179109776291E-3</v>
      </c>
      <c r="AC56" s="24">
        <f t="shared" si="3"/>
        <v>30.434377372835247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9.8000000000000007</v>
      </c>
      <c r="AI56" s="14">
        <f>IF('Données projet'!$A$62&gt;35,AI55+AH56-AQ55,IF(A56&lt;'Données projet'!$A$62,$AF$205^A56,IF(A56='Données projet'!$A$62,'Données projet'!$B$62,AI55+AH56-AQ55)))</f>
        <v>313.40000000000015</v>
      </c>
      <c r="AJ56" s="14">
        <f>AI56*VLOOKUP('Données projet'!$B$10,Paramètres!$A$1:$I$88,3,0)*VLOOKUP('Données projet'!$B$10,Paramètres!$A$1:$I$88,5,0)</f>
        <v>171.11640000000011</v>
      </c>
      <c r="AK56" s="14">
        <f t="shared" si="35"/>
        <v>43.339964715636555</v>
      </c>
      <c r="AL56" s="22">
        <f t="shared" si="4"/>
        <v>373.51150187973388</v>
      </c>
      <c r="AM56" s="62">
        <f t="shared" si="5"/>
        <v>666.8448352130672</v>
      </c>
      <c r="AN56" s="62">
        <f ca="1">AVERAGE(OFFSET($AM$3,0,0,'Données projet'!$E$10+1,1))-AVERAGE(OFFSET($H$3,0,0,'Données projet'!$E$10+1,1))</f>
        <v>210.04871822652808</v>
      </c>
      <c r="AO56" s="62">
        <f t="shared" si="36"/>
        <v>250.17540614049324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4.6297956209202233</v>
      </c>
      <c r="AV56" s="23">
        <f>EXP(-LN(2)/25)*AV55+(1-EXP(-LN(2)/25))/(LN(2)/25)*Calculateur!AQ56*Calculateur!AS56*VLOOKUP('Données projet'!$B$10,Paramètres!$A$1:$I$88,3,0)*0.475*44/12</f>
        <v>14.70878317007554</v>
      </c>
      <c r="AW56" s="23">
        <f>EXP(-LN(2)/2)*AW55+(1-EXP(-LN(2)/2))/(LN(2)/2)*AQ56*AT56*VLOOKUP('Données projet'!$B$10,Paramètres!$A$1:$I$88,3,0)*0.475*44/12</f>
        <v>7.4418461362898971E-3</v>
      </c>
      <c r="AX56" s="23">
        <f t="shared" si="6"/>
        <v>19.34602063713205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6.4</v>
      </c>
      <c r="BD56" s="13">
        <f>IF('Données projet'!$A$88&gt;35,BD55+BC56-BL55,IF(A56&lt;'Données projet'!$A$88,$BA$205^A56,IF(A56='Données projet'!$A$88,'Données projet'!$B$88,BD55+BC56-BL55)))</f>
        <v>200.19999999999993</v>
      </c>
      <c r="BE56" s="14">
        <f>BD56*VLOOKUP('Données projet'!$B$11,Paramètres!$A$1:$I$88,3,0)*VLOOKUP('Données projet'!$B$11,Paramètres!$A$1:$I$88,5,0)</f>
        <v>174.89471999999995</v>
      </c>
      <c r="BF56" s="14">
        <f t="shared" si="37"/>
        <v>44.184460410211564</v>
      </c>
      <c r="BG56" s="22">
        <f t="shared" si="7"/>
        <v>381.56290588111841</v>
      </c>
      <c r="BH56" s="62">
        <f t="shared" si="8"/>
        <v>674.89623921445173</v>
      </c>
      <c r="BI56" s="62">
        <f ca="1">AVERAGE(OFFSET($BH$3,0,0,'Données projet'!$E$11+1,1))-AVERAGE(OFFSET($H$3,0,0,'Données projet'!$E$11+1,1))</f>
        <v>223.81948236065614</v>
      </c>
      <c r="BJ56" s="62">
        <f t="shared" si="38"/>
        <v>320.1204011431372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1.9486785272180098</v>
      </c>
      <c r="BQ56" s="23">
        <f>EXP(-LN(2)/25)*BQ55+(1-EXP(-LN(2)/25))/(LN(2)/25)*Calculateur!BL56*Calculateur!BN56*VLOOKUP('Données projet'!$B$11,Paramètres!$A$1:$I$88,3,0)*0.475*44/12</f>
        <v>9.3505954839827101</v>
      </c>
      <c r="BR56" s="23">
        <f>EXP(-LN(2)/2)*BR55+(1-EXP(-LN(2)/2))/(LN(2)/2)*BL56*BO56*VLOOKUP('Données projet'!$B$11,Paramètres!$A$1:$I$88,3,0)*0.475*44/12</f>
        <v>9.5880664689243014E-3</v>
      </c>
      <c r="BS56" s="24">
        <f t="shared" si="9"/>
        <v>11.308862077669643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18</v>
      </c>
      <c r="N57" s="14">
        <f>IF('Données projet'!$A$36&gt;35,N56+M57-V56,IF(A57&lt;'Données projet'!$A$36,$K$205^A57,IF(A57='Données projet'!$A$36,'Données projet'!$B$36,N56+M57-V56)))</f>
        <v>514</v>
      </c>
      <c r="O57" s="14">
        <f>N57*VLOOKUP('Données projet'!$B$9,Paramètres!$A$1:$I$88,3,0)*VLOOKUP('Données projet'!$B$9,Paramètres!$A$1:$I$88,5,0)</f>
        <v>287.32600000000002</v>
      </c>
      <c r="P57" s="14">
        <f t="shared" si="33"/>
        <v>68.512868389632061</v>
      </c>
      <c r="Q57" s="22">
        <f t="shared" si="53"/>
        <v>619.75269577860911</v>
      </c>
      <c r="R57" s="62">
        <f t="shared" si="0"/>
        <v>913.08602911194248</v>
      </c>
      <c r="S57" s="62">
        <f ca="1">AVERAGE(OFFSET($R$3,0,0,'Données projet'!$E$9+1,1))-AVERAGE(OFFSET($H$3,0,0,'Données projet'!$E$9+1,1))</f>
        <v>373.16487843768437</v>
      </c>
      <c r="T57" s="62">
        <f t="shared" si="34"/>
        <v>376.53494965377718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12.779469382277338</v>
      </c>
      <c r="AA57" s="23">
        <f>EXP(-LN(2)/25)*AA56+(1-EXP(-LN(2)/25))/(LN(2)/25)*Calculateur!V57*Calculateur!X57*VLOOKUP('Données projet'!$B$9,Paramètres!$A$1:$I$88,3,0)*0.475*44/12</f>
        <v>16.915100319208253</v>
      </c>
      <c r="AB57" s="23">
        <f>EXP(-LN(2)/2)*AB56+(1-EXP(-LN(2)/2))/(LN(2)/2)*V57*Y57*VLOOKUP('Données projet'!$B$9,Paramètres!$A$1:$I$88,3,0)*0.475*44/12</f>
        <v>6.1161327688467821E-3</v>
      </c>
      <c r="AC57" s="24">
        <f t="shared" si="3"/>
        <v>29.700685834254436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9.8000000000000007</v>
      </c>
      <c r="AI57" s="14">
        <f>IF('Données projet'!$A$62&gt;35,AI56+AH57-AQ56,IF(A57&lt;'Données projet'!$A$62,$AF$205^A57,IF(A57='Données projet'!$A$62,'Données projet'!$B$62,AI56+AH57-AQ56)))</f>
        <v>323.20000000000016</v>
      </c>
      <c r="AJ57" s="14">
        <f>AI57*VLOOKUP('Données projet'!$B$10,Paramètres!$A$1:$I$88,3,0)*VLOOKUP('Données projet'!$B$10,Paramètres!$A$1:$I$88,5,0)</f>
        <v>176.46720000000008</v>
      </c>
      <c r="AK57" s="14">
        <f t="shared" si="35"/>
        <v>44.535298821989436</v>
      </c>
      <c r="AL57" s="22">
        <f t="shared" si="4"/>
        <v>384.91268544829836</v>
      </c>
      <c r="AM57" s="62">
        <f t="shared" si="5"/>
        <v>678.24601878163162</v>
      </c>
      <c r="AN57" s="62">
        <f ca="1">AVERAGE(OFFSET($AM$3,0,0,'Données projet'!$E$10+1,1))-AVERAGE(OFFSET($H$3,0,0,'Données projet'!$E$10+1,1))</f>
        <v>210.04871822652808</v>
      </c>
      <c r="AO57" s="62">
        <f t="shared" si="36"/>
        <v>250.17540614049324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4.53900815269047</v>
      </c>
      <c r="AV57" s="23">
        <f>EXP(-LN(2)/25)*AV56+(1-EXP(-LN(2)/25))/(LN(2)/25)*Calculateur!AQ57*Calculateur!AS57*VLOOKUP('Données projet'!$B$10,Paramètres!$A$1:$I$88,3,0)*0.475*44/12</f>
        <v>14.306570720788535</v>
      </c>
      <c r="AW57" s="23">
        <f>EXP(-LN(2)/2)*AW56+(1-EXP(-LN(2)/2))/(LN(2)/2)*AQ57*AT57*VLOOKUP('Données projet'!$B$10,Paramètres!$A$1:$I$88,3,0)*0.475*44/12</f>
        <v>5.262179867517495E-3</v>
      </c>
      <c r="AX57" s="23">
        <f t="shared" si="6"/>
        <v>18.850841053346524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6.4</v>
      </c>
      <c r="BD57" s="13">
        <f>IF('Données projet'!$A$88&gt;35,BD56+BC57-BL56,IF(A57&lt;'Données projet'!$A$88,$BA$205^A57,IF(A57='Données projet'!$A$88,'Données projet'!$B$88,BD56+BC57-BL56)))</f>
        <v>206.59999999999994</v>
      </c>
      <c r="BE57" s="14">
        <f>BD57*VLOOKUP('Données projet'!$B$11,Paramètres!$A$1:$I$88,3,0)*VLOOKUP('Données projet'!$B$11,Paramètres!$A$1:$I$88,5,0)</f>
        <v>180.48575999999997</v>
      </c>
      <c r="BF57" s="14">
        <f t="shared" si="37"/>
        <v>45.430241859839398</v>
      </c>
      <c r="BG57" s="22">
        <f t="shared" si="7"/>
        <v>393.47036990588686</v>
      </c>
      <c r="BH57" s="62">
        <f t="shared" si="8"/>
        <v>686.80370323922011</v>
      </c>
      <c r="BI57" s="62">
        <f ca="1">AVERAGE(OFFSET($BH$3,0,0,'Données projet'!$E$11+1,1))-AVERAGE(OFFSET($H$3,0,0,'Données projet'!$E$11+1,1))</f>
        <v>223.81948236065614</v>
      </c>
      <c r="BJ57" s="62">
        <f t="shared" si="38"/>
        <v>320.1204011431372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1.9104661298758041</v>
      </c>
      <c r="BQ57" s="23">
        <f>EXP(-LN(2)/25)*BQ56+(1-EXP(-LN(2)/25))/(LN(2)/25)*Calculateur!BL57*Calculateur!BN57*VLOOKUP('Données projet'!$B$11,Paramètres!$A$1:$I$88,3,0)*0.475*44/12</f>
        <v>9.0949029587467578</v>
      </c>
      <c r="BR57" s="23">
        <f>EXP(-LN(2)/2)*BR56+(1-EXP(-LN(2)/2))/(LN(2)/2)*BL57*BO57*VLOOKUP('Données projet'!$B$11,Paramètres!$A$1:$I$88,3,0)*0.475*44/12</f>
        <v>6.7797868186437295E-3</v>
      </c>
      <c r="BS57" s="24">
        <f t="shared" si="9"/>
        <v>11.012148875441206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18</v>
      </c>
      <c r="N58" s="14">
        <f>IF('Données projet'!$A$36&gt;35,N57+M58-V57,IF(A58&lt;'Données projet'!$A$36,$K$205^A58,IF(A58='Données projet'!$A$36,'Données projet'!$B$36,N57+M58-V57)))</f>
        <v>532</v>
      </c>
      <c r="O58" s="14">
        <f>N58*VLOOKUP('Données projet'!$B$9,Paramètres!$A$1:$I$88,3,0)*VLOOKUP('Données projet'!$B$9,Paramètres!$A$1:$I$88,5,0)</f>
        <v>297.38799999999998</v>
      </c>
      <c r="P58" s="14">
        <f t="shared" si="33"/>
        <v>70.628609572625066</v>
      </c>
      <c r="Q58" s="22">
        <f t="shared" si="53"/>
        <v>640.96226167232192</v>
      </c>
      <c r="R58" s="62">
        <f t="shared" si="0"/>
        <v>934.29559500565529</v>
      </c>
      <c r="S58" s="62">
        <f ca="1">AVERAGE(OFFSET($R$3,0,0,'Données projet'!$E$9+1,1))-AVERAGE(OFFSET($H$3,0,0,'Données projet'!$E$9+1,1))</f>
        <v>373.16487843768437</v>
      </c>
      <c r="T58" s="62">
        <f t="shared" si="34"/>
        <v>376.53494965377718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12.528871782397539</v>
      </c>
      <c r="AA58" s="23">
        <f>EXP(-LN(2)/25)*AA57+(1-EXP(-LN(2)/25))/(LN(2)/25)*Calculateur!V58*Calculateur!X58*VLOOKUP('Données projet'!$B$9,Paramètres!$A$1:$I$88,3,0)*0.475*44/12</f>
        <v>16.452556011453037</v>
      </c>
      <c r="AB58" s="23">
        <f>EXP(-LN(2)/2)*AB57+(1-EXP(-LN(2)/2))/(LN(2)/2)*V58*Y58*VLOOKUP('Données projet'!$B$9,Paramètres!$A$1:$I$88,3,0)*0.475*44/12</f>
        <v>4.3247589554888145E-3</v>
      </c>
      <c r="AC58" s="24">
        <f t="shared" si="3"/>
        <v>28.985752552806066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9.8000000000000007</v>
      </c>
      <c r="AI58" s="14">
        <f>IF('Données projet'!$A$62&gt;35,AI57+AH58-AQ57,IF(A58&lt;'Données projet'!$A$62,$AF$205^A58,IF(A58='Données projet'!$A$62,'Données projet'!$B$62,AI57+AH58-AQ57)))</f>
        <v>333.00000000000017</v>
      </c>
      <c r="AJ58" s="14">
        <f>AI58*VLOOKUP('Données projet'!$B$10,Paramètres!$A$1:$I$88,3,0)*VLOOKUP('Données projet'!$B$10,Paramètres!$A$1:$I$88,5,0)</f>
        <v>181.8180000000001</v>
      </c>
      <c r="AK58" s="14">
        <f t="shared" si="35"/>
        <v>45.726420804334332</v>
      </c>
      <c r="AL58" s="22">
        <f t="shared" si="4"/>
        <v>396.30653290088247</v>
      </c>
      <c r="AM58" s="62">
        <f t="shared" si="5"/>
        <v>689.63986623421579</v>
      </c>
      <c r="AN58" s="62">
        <f ca="1">AVERAGE(OFFSET($AM$3,0,0,'Données projet'!$E$10+1,1))-AVERAGE(OFFSET($H$3,0,0,'Données projet'!$E$10+1,1))</f>
        <v>210.04871822652808</v>
      </c>
      <c r="AO58" s="62">
        <f t="shared" si="36"/>
        <v>250.17540614049324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4.4500009713378139</v>
      </c>
      <c r="AV58" s="23">
        <f>EXP(-LN(2)/25)*AV57+(1-EXP(-LN(2)/25))/(LN(2)/25)*Calculateur!AQ58*Calculateur!AS58*VLOOKUP('Données projet'!$B$10,Paramètres!$A$1:$I$88,3,0)*0.475*44/12</f>
        <v>13.915356792078716</v>
      </c>
      <c r="AW58" s="23">
        <f>EXP(-LN(2)/2)*AW57+(1-EXP(-LN(2)/2))/(LN(2)/2)*AQ58*AT58*VLOOKUP('Données projet'!$B$10,Paramètres!$A$1:$I$88,3,0)*0.475*44/12</f>
        <v>3.7209230681449494E-3</v>
      </c>
      <c r="AX58" s="23">
        <f t="shared" si="6"/>
        <v>18.369078686484674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6.4</v>
      </c>
      <c r="BD58" s="13">
        <f>IF('Données projet'!$A$88&gt;35,BD57+BC58-BL57,IF(A58&lt;'Données projet'!$A$88,$BA$205^A58,IF(A58='Données projet'!$A$88,'Données projet'!$B$88,BD57+BC58-BL57)))</f>
        <v>212.99999999999994</v>
      </c>
      <c r="BE58" s="14">
        <f>BD58*VLOOKUP('Données projet'!$B$11,Paramètres!$A$1:$I$88,3,0)*VLOOKUP('Données projet'!$B$11,Paramètres!$A$1:$I$88,5,0)</f>
        <v>186.07679999999996</v>
      </c>
      <c r="BF58" s="14">
        <f t="shared" si="37"/>
        <v>46.671538591528673</v>
      </c>
      <c r="BG58" s="22">
        <f t="shared" si="7"/>
        <v>405.37002304691237</v>
      </c>
      <c r="BH58" s="62">
        <f t="shared" si="8"/>
        <v>698.70335638024562</v>
      </c>
      <c r="BI58" s="62">
        <f ca="1">AVERAGE(OFFSET($BH$3,0,0,'Données projet'!$E$11+1,1))-AVERAGE(OFFSET($H$3,0,0,'Données projet'!$E$11+1,1))</f>
        <v>223.81948236065614</v>
      </c>
      <c r="BJ58" s="62">
        <f t="shared" si="38"/>
        <v>320.1204011431372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1.8730030543382181</v>
      </c>
      <c r="BQ58" s="23">
        <f>EXP(-LN(2)/25)*BQ57+(1-EXP(-LN(2)/25))/(LN(2)/25)*Calculateur!BL58*Calculateur!BN58*VLOOKUP('Données projet'!$B$11,Paramètres!$A$1:$I$88,3,0)*0.475*44/12</f>
        <v>8.8462023590596672</v>
      </c>
      <c r="BR58" s="23">
        <f>EXP(-LN(2)/2)*BR57+(1-EXP(-LN(2)/2))/(LN(2)/2)*BL58*BO58*VLOOKUP('Données projet'!$B$11,Paramètres!$A$1:$I$88,3,0)*0.475*44/12</f>
        <v>4.7940332344621507E-3</v>
      </c>
      <c r="BS58" s="24">
        <f t="shared" si="9"/>
        <v>10.723999446632348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18</v>
      </c>
      <c r="N59" s="14">
        <f>IF('Données projet'!$A$36&gt;35,N58+M59-V58,IF(A59&lt;'Données projet'!$A$36,$K$205^A59,IF(A59='Données projet'!$A$36,'Données projet'!$B$36,N58+M59-V58)))</f>
        <v>550</v>
      </c>
      <c r="O59" s="14">
        <f>N59*VLOOKUP('Données projet'!$B$9,Paramètres!$A$1:$I$88,3,0)*VLOOKUP('Données projet'!$B$9,Paramètres!$A$1:$I$88,5,0)</f>
        <v>307.45</v>
      </c>
      <c r="P59" s="14">
        <f t="shared" si="33"/>
        <v>72.736032945200179</v>
      </c>
      <c r="Q59" s="22">
        <f t="shared" si="53"/>
        <v>662.15734071289023</v>
      </c>
      <c r="R59" s="62">
        <f t="shared" si="0"/>
        <v>955.4906740462236</v>
      </c>
      <c r="S59" s="62">
        <f ca="1">AVERAGE(OFFSET($R$3,0,0,'Données projet'!$E$9+1,1))-AVERAGE(OFFSET($H$3,0,0,'Données projet'!$E$9+1,1))</f>
        <v>373.16487843768437</v>
      </c>
      <c r="T59" s="62">
        <f t="shared" si="34"/>
        <v>376.53494965377718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12.28318824860194</v>
      </c>
      <c r="AA59" s="23">
        <f>EXP(-LN(2)/25)*AA58+(1-EXP(-LN(2)/25))/(LN(2)/25)*Calculateur!V59*Calculateur!X59*VLOOKUP('Données projet'!$B$9,Paramètres!$A$1:$I$88,3,0)*0.475*44/12</f>
        <v>16.002660002117537</v>
      </c>
      <c r="AB59" s="23">
        <f>EXP(-LN(2)/2)*AB58+(1-EXP(-LN(2)/2))/(LN(2)/2)*V59*Y59*VLOOKUP('Données projet'!$B$9,Paramètres!$A$1:$I$88,3,0)*0.475*44/12</f>
        <v>3.058066384423391E-3</v>
      </c>
      <c r="AC59" s="24">
        <f t="shared" si="3"/>
        <v>28.288906317103898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9.8000000000000007</v>
      </c>
      <c r="AI59" s="14">
        <f>IF('Données projet'!$A$62&gt;35,AI58+AH59-AQ58,IF(A59&lt;'Données projet'!$A$62,$AF$205^A59,IF(A59='Données projet'!$A$62,'Données projet'!$B$62,AI58+AH59-AQ58)))</f>
        <v>342.80000000000018</v>
      </c>
      <c r="AJ59" s="14">
        <f>AI59*VLOOKUP('Données projet'!$B$10,Paramètres!$A$1:$I$88,3,0)*VLOOKUP('Données projet'!$B$10,Paramètres!$A$1:$I$88,5,0)</f>
        <v>187.16880000000012</v>
      </c>
      <c r="AK59" s="14">
        <f t="shared" si="35"/>
        <v>46.913468855747631</v>
      </c>
      <c r="AL59" s="22">
        <f t="shared" si="4"/>
        <v>407.6932849237607</v>
      </c>
      <c r="AM59" s="62">
        <f t="shared" si="5"/>
        <v>701.02661825709401</v>
      </c>
      <c r="AN59" s="62">
        <f ca="1">AVERAGE(OFFSET($AM$3,0,0,'Données projet'!$E$10+1,1))-AVERAGE(OFFSET($H$3,0,0,'Données projet'!$E$10+1,1))</f>
        <v>210.04871822652808</v>
      </c>
      <c r="AO59" s="62">
        <f t="shared" si="36"/>
        <v>250.17540614049324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4.3627391665224637</v>
      </c>
      <c r="AV59" s="23">
        <f>EXP(-LN(2)/25)*AV58+(1-EXP(-LN(2)/25))/(LN(2)/25)*Calculateur!AQ59*Calculateur!AS59*VLOOKUP('Données projet'!$B$10,Paramètres!$A$1:$I$88,3,0)*0.475*44/12</f>
        <v>13.534840628822515</v>
      </c>
      <c r="AW59" s="23">
        <f>EXP(-LN(2)/2)*AW58+(1-EXP(-LN(2)/2))/(LN(2)/2)*AQ59*AT59*VLOOKUP('Données projet'!$B$10,Paramètres!$A$1:$I$88,3,0)*0.475*44/12</f>
        <v>2.6310899337587479E-3</v>
      </c>
      <c r="AX59" s="23">
        <f t="shared" si="6"/>
        <v>17.900210885278735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6.4</v>
      </c>
      <c r="BD59" s="13">
        <f>IF('Données projet'!$A$88&gt;35,BD58+BC59-BL58,IF(A59&lt;'Données projet'!$A$88,$BA$205^A59,IF(A59='Données projet'!$A$88,'Données projet'!$B$88,BD58+BC59-BL58)))</f>
        <v>219.39999999999995</v>
      </c>
      <c r="BE59" s="14">
        <f>BD59*VLOOKUP('Données projet'!$B$11,Paramètres!$A$1:$I$88,3,0)*VLOOKUP('Données projet'!$B$11,Paramètres!$A$1:$I$88,5,0)</f>
        <v>191.66783999999998</v>
      </c>
      <c r="BF59" s="14">
        <f t="shared" si="37"/>
        <v>47.908500825580958</v>
      </c>
      <c r="BG59" s="22">
        <f t="shared" si="7"/>
        <v>417.26212693788676</v>
      </c>
      <c r="BH59" s="62">
        <f t="shared" si="8"/>
        <v>710.59546027122008</v>
      </c>
      <c r="BI59" s="62">
        <f ca="1">AVERAGE(OFFSET($BH$3,0,0,'Données projet'!$E$11+1,1))-AVERAGE(OFFSET($H$3,0,0,'Données projet'!$E$11+1,1))</f>
        <v>223.81948236065614</v>
      </c>
      <c r="BJ59" s="62">
        <f t="shared" si="38"/>
        <v>320.1204011431372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1.8362746068617044</v>
      </c>
      <c r="BQ59" s="23">
        <f>EXP(-LN(2)/25)*BQ58+(1-EXP(-LN(2)/25))/(LN(2)/25)*Calculateur!BL59*Calculateur!BN59*VLOOKUP('Données projet'!$B$11,Paramètres!$A$1:$I$88,3,0)*0.475*44/12</f>
        <v>8.6043024903496175</v>
      </c>
      <c r="BR59" s="23">
        <f>EXP(-LN(2)/2)*BR58+(1-EXP(-LN(2)/2))/(LN(2)/2)*BL59*BO59*VLOOKUP('Données projet'!$B$11,Paramètres!$A$1:$I$88,3,0)*0.475*44/12</f>
        <v>3.3898934093218648E-3</v>
      </c>
      <c r="BS59" s="24">
        <f t="shared" si="9"/>
        <v>10.443966990620643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18</v>
      </c>
      <c r="N60" s="14">
        <f>IF('Données projet'!$A$36&gt;35,N59+M60-V59,IF(A60&lt;'Données projet'!$A$36,$K$205^A60,IF(A60='Données projet'!$A$36,'Données projet'!$B$36,N59+M60-V59)))</f>
        <v>568</v>
      </c>
      <c r="O60" s="14">
        <f>N60*VLOOKUP('Données projet'!$B$9,Paramètres!$A$1:$I$88,3,0)*VLOOKUP('Données projet'!$B$9,Paramètres!$A$1:$I$88,5,0)</f>
        <v>317.512</v>
      </c>
      <c r="P60" s="14">
        <f t="shared" si="33"/>
        <v>74.835441944795136</v>
      </c>
      <c r="Q60" s="22">
        <f t="shared" si="53"/>
        <v>683.33846138718491</v>
      </c>
      <c r="R60" s="62">
        <f t="shared" si="0"/>
        <v>976.67179472051816</v>
      </c>
      <c r="S60" s="62">
        <f ca="1">AVERAGE(OFFSET($R$3,0,0,'Données projet'!$E$9+1,1))-AVERAGE(OFFSET($H$3,0,0,'Données projet'!$E$9+1,1))</f>
        <v>373.16487843768437</v>
      </c>
      <c r="T60" s="62">
        <f t="shared" si="34"/>
        <v>376.53494965377718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12.042322419051914</v>
      </c>
      <c r="AA60" s="23">
        <f>EXP(-LN(2)/25)*AA59+(1-EXP(-LN(2)/25))/(LN(2)/25)*Calculateur!V60*Calculateur!X60*VLOOKUP('Données projet'!$B$9,Paramètres!$A$1:$I$88,3,0)*0.475*44/12</f>
        <v>15.565066422816319</v>
      </c>
      <c r="AB60" s="23">
        <f>EXP(-LN(2)/2)*AB59+(1-EXP(-LN(2)/2))/(LN(2)/2)*V60*Y60*VLOOKUP('Données projet'!$B$9,Paramètres!$A$1:$I$88,3,0)*0.475*44/12</f>
        <v>2.1623794777444073E-3</v>
      </c>
      <c r="AC60" s="24">
        <f t="shared" si="3"/>
        <v>27.609551221345978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9.8000000000000007</v>
      </c>
      <c r="AI60" s="14">
        <f>IF('Données projet'!$A$62&gt;35,AI59+AH60-AQ59,IF(A60&lt;'Données projet'!$A$62,$AF$205^A60,IF(A60='Données projet'!$A$62,'Données projet'!$B$62,AI59+AH60-AQ59)))</f>
        <v>352.60000000000019</v>
      </c>
      <c r="AJ60" s="14">
        <f>AI60*VLOOKUP('Données projet'!$B$10,Paramètres!$A$1:$I$88,3,0)*VLOOKUP('Données projet'!$B$10,Paramètres!$A$1:$I$88,5,0)</f>
        <v>192.51960000000011</v>
      </c>
      <c r="AK60" s="14">
        <f t="shared" si="35"/>
        <v>48.096572818546932</v>
      </c>
      <c r="AL60" s="22">
        <f t="shared" si="4"/>
        <v>419.0731676589694</v>
      </c>
      <c r="AM60" s="62">
        <f t="shared" si="5"/>
        <v>712.40650099230265</v>
      </c>
      <c r="AN60" s="62">
        <f ca="1">AVERAGE(OFFSET($AM$3,0,0,'Données projet'!$E$10+1,1))-AVERAGE(OFFSET($H$3,0,0,'Données projet'!$E$10+1,1))</f>
        <v>210.04871822652808</v>
      </c>
      <c r="AO60" s="62">
        <f t="shared" si="36"/>
        <v>250.17540614049324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4.2771885124750968</v>
      </c>
      <c r="AV60" s="23">
        <f>EXP(-LN(2)/25)*AV59+(1-EXP(-LN(2)/25))/(LN(2)/25)*Calculateur!AQ60*Calculateur!AS60*VLOOKUP('Données projet'!$B$10,Paramètres!$A$1:$I$88,3,0)*0.475*44/12</f>
        <v>13.164729700061029</v>
      </c>
      <c r="AW60" s="23">
        <f>EXP(-LN(2)/2)*AW59+(1-EXP(-LN(2)/2))/(LN(2)/2)*AQ60*AT60*VLOOKUP('Données projet'!$B$10,Paramètres!$A$1:$I$88,3,0)*0.475*44/12</f>
        <v>1.8604615340724749E-3</v>
      </c>
      <c r="AX60" s="23">
        <f t="shared" si="6"/>
        <v>17.443778674070199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6.4</v>
      </c>
      <c r="BD60" s="13">
        <f>IF('Données projet'!$A$88&gt;35,BD59+BC60-BL59,IF(A60&lt;'Données projet'!$A$88,$BA$205^A60,IF(A60='Données projet'!$A$88,'Données projet'!$B$88,BD59+BC60-BL59)))</f>
        <v>225.79999999999995</v>
      </c>
      <c r="BE60" s="14">
        <f>BD60*VLOOKUP('Données projet'!$B$11,Paramètres!$A$1:$I$88,3,0)*VLOOKUP('Données projet'!$B$11,Paramètres!$A$1:$I$88,5,0)</f>
        <v>197.25888</v>
      </c>
      <c r="BF60" s="14">
        <f t="shared" si="37"/>
        <v>49.141269519991567</v>
      </c>
      <c r="BG60" s="22">
        <f t="shared" si="7"/>
        <v>429.14692708065195</v>
      </c>
      <c r="BH60" s="62">
        <f t="shared" si="8"/>
        <v>722.48026041398521</v>
      </c>
      <c r="BI60" s="62">
        <f ca="1">AVERAGE(OFFSET($BH$3,0,0,'Données projet'!$E$11+1,1))-AVERAGE(OFFSET($H$3,0,0,'Données projet'!$E$11+1,1))</f>
        <v>223.81948236065614</v>
      </c>
      <c r="BJ60" s="62">
        <f t="shared" si="38"/>
        <v>320.1204011431372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1.800266381838064</v>
      </c>
      <c r="BQ60" s="23">
        <f>EXP(-LN(2)/25)*BQ59+(1-EXP(-LN(2)/25))/(LN(2)/25)*Calculateur!BL60*Calculateur!BN60*VLOOKUP('Données projet'!$B$11,Paramètres!$A$1:$I$88,3,0)*0.475*44/12</f>
        <v>8.3690173862704054</v>
      </c>
      <c r="BR60" s="23">
        <f>EXP(-LN(2)/2)*BR59+(1-EXP(-LN(2)/2))/(LN(2)/2)*BL60*BO60*VLOOKUP('Données projet'!$B$11,Paramètres!$A$1:$I$88,3,0)*0.475*44/12</f>
        <v>2.3970166172310754E-3</v>
      </c>
      <c r="BS60" s="24">
        <f t="shared" si="9"/>
        <v>10.1716807847257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18</v>
      </c>
      <c r="N61" s="14">
        <f>IF('Données projet'!$A$36&gt;35,N60+M61-V60,IF(A61&lt;'Données projet'!$A$36,$K$205^A61,IF(A61='Données projet'!$A$36,'Données projet'!$B$36,N60+M61-V60)))</f>
        <v>586</v>
      </c>
      <c r="O61" s="14">
        <f>N61*VLOOKUP('Données projet'!$B$9,Paramètres!$A$1:$I$88,3,0)*VLOOKUP('Données projet'!$B$9,Paramètres!$A$1:$I$88,5,0)</f>
        <v>327.57400000000001</v>
      </c>
      <c r="P61" s="14">
        <f t="shared" si="33"/>
        <v>76.927119684760811</v>
      </c>
      <c r="Q61" s="22">
        <f t="shared" si="53"/>
        <v>704.50611678429186</v>
      </c>
      <c r="R61" s="62">
        <f t="shared" si="0"/>
        <v>997.83945011762512</v>
      </c>
      <c r="S61" s="62">
        <f ca="1">AVERAGE(OFFSET($R$3,0,0,'Données projet'!$E$9+1,1))-AVERAGE(OFFSET($H$3,0,0,'Données projet'!$E$9+1,1))</f>
        <v>373.16487843768437</v>
      </c>
      <c r="T61" s="62">
        <f t="shared" si="34"/>
        <v>376.53494965377718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11.806179821505713</v>
      </c>
      <c r="AA61" s="23">
        <f>EXP(-LN(2)/25)*AA60+(1-EXP(-LN(2)/25))/(LN(2)/25)*Calculateur!V61*Calculateur!X61*VLOOKUP('Données projet'!$B$9,Paramètres!$A$1:$I$88,3,0)*0.475*44/12</f>
        <v>15.139438862953138</v>
      </c>
      <c r="AB61" s="23">
        <f>EXP(-LN(2)/2)*AB60+(1-EXP(-LN(2)/2))/(LN(2)/2)*V61*Y61*VLOOKUP('Données projet'!$B$9,Paramètres!$A$1:$I$88,3,0)*0.475*44/12</f>
        <v>1.5290331922116955E-3</v>
      </c>
      <c r="AC61" s="24">
        <f t="shared" si="3"/>
        <v>26.947147717651063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9.8000000000000007</v>
      </c>
      <c r="AI61" s="14">
        <f>IF('Données projet'!$A$62&gt;35,AI60+AH61-AQ60,IF(A61&lt;'Données projet'!$A$62,$AF$205^A61,IF(A61='Données projet'!$A$62,'Données projet'!$B$62,AI60+AH61-AQ60)))</f>
        <v>362.4000000000002</v>
      </c>
      <c r="AJ61" s="14">
        <f>AI61*VLOOKUP('Données projet'!$B$10,Paramètres!$A$1:$I$88,3,0)*VLOOKUP('Données projet'!$B$10,Paramètres!$A$1:$I$88,5,0)</f>
        <v>197.8704000000001</v>
      </c>
      <c r="AK61" s="14">
        <f t="shared" si="35"/>
        <v>49.275854906806309</v>
      </c>
      <c r="AL61" s="22">
        <f t="shared" si="4"/>
        <v>430.44639396268781</v>
      </c>
      <c r="AM61" s="62">
        <f t="shared" si="5"/>
        <v>723.77972729602106</v>
      </c>
      <c r="AN61" s="62">
        <f ca="1">AVERAGE(OFFSET($AM$3,0,0,'Données projet'!$E$10+1,1))-AVERAGE(OFFSET($H$3,0,0,'Données projet'!$E$10+1,1))</f>
        <v>210.04871822652808</v>
      </c>
      <c r="AO61" s="62">
        <f t="shared" si="36"/>
        <v>250.17540614049324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4.1933154545728524</v>
      </c>
      <c r="AV61" s="23">
        <f>EXP(-LN(2)/25)*AV60+(1-EXP(-LN(2)/25))/(LN(2)/25)*Calculateur!AQ61*Calculateur!AS61*VLOOKUP('Données projet'!$B$10,Paramètres!$A$1:$I$88,3,0)*0.475*44/12</f>
        <v>12.804739474109814</v>
      </c>
      <c r="AW61" s="23">
        <f>EXP(-LN(2)/2)*AW60+(1-EXP(-LN(2)/2))/(LN(2)/2)*AQ61*AT61*VLOOKUP('Données projet'!$B$10,Paramètres!$A$1:$I$88,3,0)*0.475*44/12</f>
        <v>1.3155449668793742E-3</v>
      </c>
      <c r="AX61" s="23">
        <f t="shared" si="6"/>
        <v>16.999370473649545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6.4</v>
      </c>
      <c r="BD61" s="13">
        <f>IF('Données projet'!$A$88&gt;35,BD60+BC61-BL60,IF(A61&lt;'Données projet'!$A$88,$BA$205^A61,IF(A61='Données projet'!$A$88,'Données projet'!$B$88,BD60+BC61-BL60)))</f>
        <v>232.19999999999996</v>
      </c>
      <c r="BE61" s="14">
        <f>BD61*VLOOKUP('Données projet'!$B$11,Paramètres!$A$1:$I$88,3,0)*VLOOKUP('Données projet'!$B$11,Paramètres!$A$1:$I$88,5,0)</f>
        <v>202.84991999999997</v>
      </c>
      <c r="BF61" s="14">
        <f t="shared" si="37"/>
        <v>50.369977187686075</v>
      </c>
      <c r="BG61" s="22">
        <f t="shared" si="7"/>
        <v>441.02465426855321</v>
      </c>
      <c r="BH61" s="62">
        <f t="shared" si="8"/>
        <v>734.35798760188652</v>
      </c>
      <c r="BI61" s="62">
        <f ca="1">AVERAGE(OFFSET($BH$3,0,0,'Données projet'!$E$11+1,1))-AVERAGE(OFFSET($H$3,0,0,'Données projet'!$E$11+1,1))</f>
        <v>223.81948236065614</v>
      </c>
      <c r="BJ61" s="62">
        <f t="shared" si="38"/>
        <v>320.1204011431372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1.7649642561442886</v>
      </c>
      <c r="BQ61" s="23">
        <f>EXP(-LN(2)/25)*BQ60+(1-EXP(-LN(2)/25))/(LN(2)/25)*Calculateur!BL61*Calculateur!BN61*VLOOKUP('Données projet'!$B$11,Paramètres!$A$1:$I$88,3,0)*0.475*44/12</f>
        <v>8.1401661657353444</v>
      </c>
      <c r="BR61" s="23">
        <f>EXP(-LN(2)/2)*BR60+(1-EXP(-LN(2)/2))/(LN(2)/2)*BL61*BO61*VLOOKUP('Données projet'!$B$11,Paramètres!$A$1:$I$88,3,0)*0.475*44/12</f>
        <v>1.6949467046609324E-3</v>
      </c>
      <c r="BS61" s="24">
        <f t="shared" si="9"/>
        <v>9.9068253685842933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18</v>
      </c>
      <c r="N62" s="14">
        <f>IF('Données projet'!$A$36&gt;35,N61+M62-V61,IF(A62&lt;'Données projet'!$A$36,$K$205^A62,IF(A62='Données projet'!$A$36,'Données projet'!$B$36,N61+M62-V61)))</f>
        <v>604</v>
      </c>
      <c r="O62" s="14">
        <f>N62*VLOOKUP('Données projet'!$B$9,Paramètres!$A$1:$I$88,3,0)*VLOOKUP('Données projet'!$B$9,Paramètres!$A$1:$I$88,5,0)</f>
        <v>337.63599999999997</v>
      </c>
      <c r="P62" s="14">
        <f t="shared" si="33"/>
        <v>79.0113308976659</v>
      </c>
      <c r="Q62" s="22">
        <f t="shared" si="53"/>
        <v>725.66076798010135</v>
      </c>
      <c r="R62" s="62">
        <f t="shared" si="0"/>
        <v>1018.9941013134346</v>
      </c>
      <c r="S62" s="62">
        <f ca="1">AVERAGE(OFFSET($R$3,0,0,'Données projet'!$E$9+1,1))-AVERAGE(OFFSET($H$3,0,0,'Données projet'!$E$9+1,1))</f>
        <v>373.16487843768437</v>
      </c>
      <c r="T62" s="62">
        <f t="shared" si="34"/>
        <v>376.53494965377718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11.574667836264632</v>
      </c>
      <c r="AA62" s="23">
        <f>EXP(-LN(2)/25)*AA61+(1-EXP(-LN(2)/25))/(LN(2)/25)*Calculateur!V62*Calculateur!X62*VLOOKUP('Données projet'!$B$9,Paramètres!$A$1:$I$88,3,0)*0.475*44/12</f>
        <v>14.725450111097198</v>
      </c>
      <c r="AB62" s="23">
        <f>EXP(-LN(2)/2)*AB61+(1-EXP(-LN(2)/2))/(LN(2)/2)*V62*Y62*VLOOKUP('Données projet'!$B$9,Paramètres!$A$1:$I$88,3,0)*0.475*44/12</f>
        <v>1.0811897388722036E-3</v>
      </c>
      <c r="AC62" s="24">
        <f t="shared" si="3"/>
        <v>26.301199137100703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9.8000000000000007</v>
      </c>
      <c r="AI62" s="14">
        <f>IF('Données projet'!$A$62&gt;35,AI61+AH62-AQ61,IF(A62&lt;'Données projet'!$A$62,$AF$205^A62,IF(A62='Données projet'!$A$62,'Données projet'!$B$62,AI61+AH62-AQ61)))</f>
        <v>372.20000000000022</v>
      </c>
      <c r="AJ62" s="14">
        <f>AI62*VLOOKUP('Données projet'!$B$10,Paramètres!$A$1:$I$88,3,0)*VLOOKUP('Données projet'!$B$10,Paramètres!$A$1:$I$88,5,0)</f>
        <v>203.22120000000012</v>
      </c>
      <c r="AK62" s="14">
        <f t="shared" si="35"/>
        <v>50.451430348521406</v>
      </c>
      <c r="AL62" s="22">
        <f t="shared" si="4"/>
        <v>441.81316452367497</v>
      </c>
      <c r="AM62" s="62">
        <f t="shared" si="5"/>
        <v>735.14649785700828</v>
      </c>
      <c r="AN62" s="62">
        <f ca="1">AVERAGE(OFFSET($AM$3,0,0,'Données projet'!$E$10+1,1))-AVERAGE(OFFSET($H$3,0,0,'Données projet'!$E$10+1,1))</f>
        <v>210.04871822652808</v>
      </c>
      <c r="AO62" s="62">
        <f t="shared" si="36"/>
        <v>250.17540614049324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4.1110870961785571</v>
      </c>
      <c r="AV62" s="23">
        <f>EXP(-LN(2)/25)*AV61+(1-EXP(-LN(2)/25))/(LN(2)/25)*Calculateur!AQ62*Calculateur!AS62*VLOOKUP('Données projet'!$B$10,Paramètres!$A$1:$I$88,3,0)*0.475*44/12</f>
        <v>12.454593199818298</v>
      </c>
      <c r="AW62" s="23">
        <f>EXP(-LN(2)/2)*AW61+(1-EXP(-LN(2)/2))/(LN(2)/2)*AQ62*AT62*VLOOKUP('Données projet'!$B$10,Paramètres!$A$1:$I$88,3,0)*0.475*44/12</f>
        <v>9.3023076703623757E-4</v>
      </c>
      <c r="AX62" s="23">
        <f t="shared" si="6"/>
        <v>16.566610526763892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6.4</v>
      </c>
      <c r="BD62" s="13">
        <f>IF('Données projet'!$A$88&gt;35,BD61+BC62-BL61,IF(A62&lt;'Données projet'!$A$88,$BA$205^A62,IF(A62='Données projet'!$A$88,'Données projet'!$B$88,BD61+BC62-BL61)))</f>
        <v>238.59999999999997</v>
      </c>
      <c r="BE62" s="14">
        <f>BD62*VLOOKUP('Données projet'!$B$11,Paramètres!$A$1:$I$88,3,0)*VLOOKUP('Données projet'!$B$11,Paramètres!$A$1:$I$88,5,0)</f>
        <v>208.44095999999999</v>
      </c>
      <c r="BF62" s="14">
        <f t="shared" si="37"/>
        <v>51.594748621124211</v>
      </c>
      <c r="BG62" s="22">
        <f t="shared" si="7"/>
        <v>452.89552584845791</v>
      </c>
      <c r="BH62" s="62">
        <f t="shared" si="8"/>
        <v>746.22885918179122</v>
      </c>
      <c r="BI62" s="62">
        <f ca="1">AVERAGE(OFFSET($BH$3,0,0,'Données projet'!$E$11+1,1))-AVERAGE(OFFSET($H$3,0,0,'Données projet'!$E$11+1,1))</f>
        <v>223.81948236065614</v>
      </c>
      <c r="BJ62" s="62">
        <f t="shared" si="38"/>
        <v>320.1204011431372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1.7303543836031976</v>
      </c>
      <c r="BQ62" s="23">
        <f>EXP(-LN(2)/25)*BQ61+(1-EXP(-LN(2)/25))/(LN(2)/25)*Calculateur!BL62*Calculateur!BN62*VLOOKUP('Données projet'!$B$11,Paramètres!$A$1:$I$88,3,0)*0.475*44/12</f>
        <v>7.9175728938605774</v>
      </c>
      <c r="BR62" s="23">
        <f>EXP(-LN(2)/2)*BR61+(1-EXP(-LN(2)/2))/(LN(2)/2)*BL62*BO62*VLOOKUP('Données projet'!$B$11,Paramètres!$A$1:$I$88,3,0)*0.475*44/12</f>
        <v>1.1985083086155377E-3</v>
      </c>
      <c r="BS62" s="24">
        <f t="shared" si="9"/>
        <v>9.6491257857723909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622</v>
      </c>
      <c r="L63" s="13">
        <f>VLOOKUP(A63,'Données projet'!$A$35:$I$55,9,0)</f>
        <v>18</v>
      </c>
      <c r="M63" s="13">
        <f t="array" ref="M63">INDEX(L:L,MIN(IF(ISNUMBER(L63:L259),ROW(L63:L259),"")))</f>
        <v>18</v>
      </c>
      <c r="N63" s="14">
        <f>IF('Données projet'!$A$36&gt;35,N62+M63-V62,IF(A63&lt;'Données projet'!$A$36,$K$205^A63,IF(A63='Données projet'!$A$36,'Données projet'!$B$36,N62+M63-V62)))</f>
        <v>622</v>
      </c>
      <c r="O63" s="14">
        <f>N63*VLOOKUP('Données projet'!$B$9,Paramètres!$A$1:$I$88,3,0)*VLOOKUP('Données projet'!$B$9,Paramètres!$A$1:$I$88,5,0)</f>
        <v>347.69799999999998</v>
      </c>
      <c r="P63" s="14">
        <f t="shared" si="33"/>
        <v>81.088323640441374</v>
      </c>
      <c r="Q63" s="22">
        <f t="shared" si="53"/>
        <v>746.80284700710206</v>
      </c>
      <c r="R63" s="62">
        <f t="shared" si="0"/>
        <v>1040.1361803404354</v>
      </c>
      <c r="S63" s="62">
        <f ca="1">AVERAGE(OFFSET($R$3,0,0,'Données projet'!$E$9+1,1))-AVERAGE(OFFSET($H$3,0,0,'Données projet'!$E$9+1,1))</f>
        <v>373.16487843768437</v>
      </c>
      <c r="T63" s="62">
        <f t="shared" si="34"/>
        <v>376.53494965377718</v>
      </c>
      <c r="U63" s="16">
        <f>IF(ISNA(VLOOKUP(A63,'Données projet'!$A$35:$I$55,3,0)),0,VLOOKUP(A63,'Données projet'!$A$35:$I$55,3,0))</f>
        <v>6</v>
      </c>
      <c r="V63" s="16">
        <f>IF(ISNA(VLOOKUP(A63,'Données projet'!$A$35:$I$55,4,0)),0,VLOOKUP(A63,'Données projet'!$A$35:$I$55,4,0))</f>
        <v>90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11.34769565984576</v>
      </c>
      <c r="AA63" s="23">
        <f>EXP(-LN(2)/25)*AA62+(1-EXP(-LN(2)/25))/(LN(2)/25)*Calculateur!V63*Calculateur!X63*VLOOKUP('Données projet'!$B$9,Paramètres!$A$1:$I$88,3,0)*0.475*44/12</f>
        <v>14.322781903431478</v>
      </c>
      <c r="AB63" s="23">
        <f>EXP(-LN(2)/2)*AB62+(1-EXP(-LN(2)/2))/(LN(2)/2)*V63*Y63*VLOOKUP('Données projet'!$B$9,Paramètres!$A$1:$I$88,3,0)*0.475*44/12</f>
        <v>7.6451659610584776E-4</v>
      </c>
      <c r="AC63" s="24">
        <f t="shared" si="3"/>
        <v>25.671242079873345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382</v>
      </c>
      <c r="AG63" s="13">
        <f>VLOOKUP(A63,'Données projet'!$A$61:$I$81,9,0)</f>
        <v>9.8000000000000007</v>
      </c>
      <c r="AH63" s="13">
        <f t="array" ref="AH63">INDEX(AG:AG,MIN(IF(ISNUMBER(AG63:AG259),ROW(AG63:AG259),"")))</f>
        <v>9.8000000000000007</v>
      </c>
      <c r="AI63" s="14">
        <f>IF('Données projet'!$A$62&gt;35,AI62+AH63-AQ62,IF(A63&lt;'Données projet'!$A$62,$AF$205^A63,IF(A63='Données projet'!$A$62,'Données projet'!$B$62,AI62+AH63-AQ62)))</f>
        <v>382.00000000000023</v>
      </c>
      <c r="AJ63" s="14">
        <f>AI63*VLOOKUP('Données projet'!$B$10,Paramètres!$A$1:$I$88,3,0)*VLOOKUP('Données projet'!$B$10,Paramètres!$A$1:$I$88,5,0)</f>
        <v>208.57200000000012</v>
      </c>
      <c r="AK63" s="14">
        <f t="shared" si="35"/>
        <v>51.623407958239042</v>
      </c>
      <c r="AL63" s="22">
        <f t="shared" si="4"/>
        <v>453.17366886059989</v>
      </c>
      <c r="AM63" s="62">
        <f t="shared" si="5"/>
        <v>746.5070021939332</v>
      </c>
      <c r="AN63" s="62">
        <f ca="1">AVERAGE(OFFSET($AM$3,0,0,'Données projet'!$E$10+1,1))-AVERAGE(OFFSET($H$3,0,0,'Données projet'!$E$10+1,1))</f>
        <v>210.04871822652808</v>
      </c>
      <c r="AO63" s="62">
        <f t="shared" si="36"/>
        <v>250.17540614049324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56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4.030471185738028</v>
      </c>
      <c r="AV63" s="23">
        <f>EXP(-LN(2)/25)*AV62+(1-EXP(-LN(2)/25))/(LN(2)/25)*Calculateur!AQ63*Calculateur!AS63*VLOOKUP('Données projet'!$B$10,Paramètres!$A$1:$I$88,3,0)*0.475*44/12</f>
        <v>12.114021693810676</v>
      </c>
      <c r="AW63" s="23">
        <f>EXP(-LN(2)/2)*AW62+(1-EXP(-LN(2)/2))/(LN(2)/2)*AQ63*AT63*VLOOKUP('Données projet'!$B$10,Paramètres!$A$1:$I$88,3,0)*0.475*44/12</f>
        <v>6.577724834396872E-4</v>
      </c>
      <c r="AX63" s="23">
        <f t="shared" si="6"/>
        <v>16.145150652032143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245</v>
      </c>
      <c r="BB63" s="13">
        <f>VLOOKUP(A63,'Données projet'!$A$87:$I$107,9,0)</f>
        <v>6.4</v>
      </c>
      <c r="BC63" s="13">
        <f t="array" ref="BC63">INDEX(BB:BB,MIN(IF(ISNUMBER(BB63:BB259),ROW(BB63:BB259),"")))</f>
        <v>6.4</v>
      </c>
      <c r="BD63" s="13">
        <f>IF('Données projet'!$A$88&gt;35,BD62+BC63-BL62,IF(A63&lt;'Données projet'!$A$88,$BA$205^A63,IF(A63='Données projet'!$A$88,'Données projet'!$B$88,BD62+BC63-BL62)))</f>
        <v>244.99999999999997</v>
      </c>
      <c r="BE63" s="14">
        <f>BD63*VLOOKUP('Données projet'!$B$11,Paramètres!$A$1:$I$88,3,0)*VLOOKUP('Données projet'!$B$11,Paramètres!$A$1:$I$88,5,0)</f>
        <v>214.03199999999998</v>
      </c>
      <c r="BF63" s="14">
        <f t="shared" si="37"/>
        <v>52.815701536972242</v>
      </c>
      <c r="BG63" s="22">
        <f t="shared" si="7"/>
        <v>464.75974684355998</v>
      </c>
      <c r="BH63" s="62">
        <f t="shared" si="8"/>
        <v>758.0930801768933</v>
      </c>
      <c r="BI63" s="62">
        <f ca="1">AVERAGE(OFFSET($BH$3,0,0,'Données projet'!$E$11+1,1))-AVERAGE(OFFSET($H$3,0,0,'Données projet'!$E$11+1,1))</f>
        <v>223.81948236065614</v>
      </c>
      <c r="BJ63" s="62">
        <f t="shared" si="38"/>
        <v>320.1204011431372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47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1.6964231895526996</v>
      </c>
      <c r="BQ63" s="23">
        <f>EXP(-LN(2)/25)*BQ62+(1-EXP(-LN(2)/25))/(LN(2)/25)*Calculateur!BL63*Calculateur!BN63*VLOOKUP('Données projet'!$B$11,Paramètres!$A$1:$I$88,3,0)*0.475*44/12</f>
        <v>7.7010664467108976</v>
      </c>
      <c r="BR63" s="23">
        <f>EXP(-LN(2)/2)*BR62+(1-EXP(-LN(2)/2))/(LN(2)/2)*BL63*BO63*VLOOKUP('Données projet'!$B$11,Paramètres!$A$1:$I$88,3,0)*0.475*44/12</f>
        <v>8.4747335233046619E-4</v>
      </c>
      <c r="BS63" s="24">
        <f t="shared" si="9"/>
        <v>9.3983371096159267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14.5</v>
      </c>
      <c r="N64" s="14">
        <f>IF('Données projet'!$A$36&gt;35,N63+M64-V63,IF(A64&lt;'Données projet'!$A$36,$K$205^A64,IF(A64='Données projet'!$A$36,'Données projet'!$B$36,N63+M64-V63)))</f>
        <v>546.5</v>
      </c>
      <c r="O64" s="14">
        <f>N64*VLOOKUP('Données projet'!$B$9,Paramètres!$A$1:$I$88,3,0)*VLOOKUP('Données projet'!$B$9,Paramètres!$A$1:$I$88,5,0)</f>
        <v>305.49350000000004</v>
      </c>
      <c r="P64" s="14">
        <f t="shared" si="33"/>
        <v>72.326893010073533</v>
      </c>
      <c r="Q64" s="22">
        <f t="shared" si="53"/>
        <v>658.03718449254472</v>
      </c>
      <c r="R64" s="62">
        <f t="shared" si="0"/>
        <v>951.3705178258781</v>
      </c>
      <c r="S64" s="62">
        <f ca="1">AVERAGE(OFFSET($R$3,0,0,'Données projet'!$E$9+1,1))-AVERAGE(OFFSET($H$3,0,0,'Données projet'!$E$9+1,1))</f>
        <v>373.16487843768437</v>
      </c>
      <c r="T64" s="62">
        <f t="shared" si="34"/>
        <v>376.53494965377718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11.125174269367104</v>
      </c>
      <c r="AA64" s="23">
        <f>EXP(-LN(2)/25)*AA63+(1-EXP(-LN(2)/25))/(LN(2)/25)*Calculateur!V64*Calculateur!X64*VLOOKUP('Données projet'!$B$9,Paramètres!$A$1:$I$88,3,0)*0.475*44/12</f>
        <v>13.93112467907978</v>
      </c>
      <c r="AB64" s="23">
        <f>EXP(-LN(2)/2)*AB63+(1-EXP(-LN(2)/2))/(LN(2)/2)*V64*Y64*VLOOKUP('Données projet'!$B$9,Paramètres!$A$1:$I$88,3,0)*0.475*44/12</f>
        <v>5.4059486943610182E-4</v>
      </c>
      <c r="AC64" s="24">
        <f t="shared" si="3"/>
        <v>25.056839543316318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8.5</v>
      </c>
      <c r="AI64" s="14">
        <f>IF('Données projet'!$A$62&gt;35,AI63+AH64-AQ63,IF(A64&lt;'Données projet'!$A$62,$AF$205^A64,IF(A64='Données projet'!$A$62,'Données projet'!$B$62,AI63+AH64-AQ63)))</f>
        <v>334.50000000000023</v>
      </c>
      <c r="AJ64" s="14">
        <f>AI64*VLOOKUP('Données projet'!$B$10,Paramètres!$A$1:$I$88,3,0)*VLOOKUP('Données projet'!$B$10,Paramètres!$A$1:$I$88,5,0)</f>
        <v>182.63700000000014</v>
      </c>
      <c r="AK64" s="14">
        <f t="shared" si="35"/>
        <v>45.908372564566413</v>
      </c>
      <c r="AL64" s="22">
        <f t="shared" si="4"/>
        <v>398.04985721662001</v>
      </c>
      <c r="AM64" s="62">
        <f t="shared" si="5"/>
        <v>691.38319054995327</v>
      </c>
      <c r="AN64" s="62">
        <f ca="1">AVERAGE(OFFSET($AM$3,0,0,'Données projet'!$E$10+1,1))-AVERAGE(OFFSET($H$3,0,0,'Données projet'!$E$10+1,1))</f>
        <v>210.04871822652808</v>
      </c>
      <c r="AO64" s="62">
        <f t="shared" si="36"/>
        <v>250.17540614049324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3.9514361041303872</v>
      </c>
      <c r="AV64" s="23">
        <f>EXP(-LN(2)/25)*AV63+(1-EXP(-LN(2)/25))/(LN(2)/25)*Calculateur!AQ64*Calculateur!AS64*VLOOKUP('Données projet'!$B$10,Paramètres!$A$1:$I$88,3,0)*0.475*44/12</f>
        <v>11.782763133544709</v>
      </c>
      <c r="AW64" s="23">
        <f>EXP(-LN(2)/2)*AW63+(1-EXP(-LN(2)/2))/(LN(2)/2)*AQ64*AT64*VLOOKUP('Données projet'!$B$10,Paramètres!$A$1:$I$88,3,0)*0.475*44/12</f>
        <v>4.651153835181189E-4</v>
      </c>
      <c r="AX64" s="23">
        <f t="shared" si="6"/>
        <v>15.734664353058614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4.9000000000000004</v>
      </c>
      <c r="BD64" s="13">
        <f>IF('Données projet'!$A$88&gt;35,BD63+BC64-BL63,IF(A64&lt;'Données projet'!$A$88,$BA$205^A64,IF(A64='Données projet'!$A$88,'Données projet'!$B$88,BD63+BC64-BL63)))</f>
        <v>202.89999999999998</v>
      </c>
      <c r="BE64" s="14">
        <f>BD64*VLOOKUP('Données projet'!$B$11,Paramètres!$A$1:$I$88,3,0)*VLOOKUP('Données projet'!$B$11,Paramètres!$A$1:$I$88,5,0)</f>
        <v>177.25344000000001</v>
      </c>
      <c r="BF64" s="14">
        <f t="shared" si="37"/>
        <v>44.710581408854637</v>
      </c>
      <c r="BG64" s="22">
        <f t="shared" si="7"/>
        <v>386.58733728708853</v>
      </c>
      <c r="BH64" s="62">
        <f t="shared" si="8"/>
        <v>679.92067062042179</v>
      </c>
      <c r="BI64" s="62">
        <f ca="1">AVERAGE(OFFSET($BH$3,0,0,'Données projet'!$E$11+1,1))-AVERAGE(OFFSET($H$3,0,0,'Données projet'!$E$11+1,1))</f>
        <v>223.81948236065614</v>
      </c>
      <c r="BJ64" s="62">
        <f t="shared" si="38"/>
        <v>320.1204011431372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1.663157365521547</v>
      </c>
      <c r="BQ64" s="23">
        <f>EXP(-LN(2)/25)*BQ63+(1-EXP(-LN(2)/25))/(LN(2)/25)*Calculateur!BL64*Calculateur!BN64*VLOOKUP('Données projet'!$B$11,Paramètres!$A$1:$I$88,3,0)*0.475*44/12</f>
        <v>7.4904803797441044</v>
      </c>
      <c r="BR64" s="23">
        <f>EXP(-LN(2)/2)*BR63+(1-EXP(-LN(2)/2))/(LN(2)/2)*BL64*BO64*VLOOKUP('Données projet'!$B$11,Paramètres!$A$1:$I$88,3,0)*0.475*44/12</f>
        <v>5.9925415430776884E-4</v>
      </c>
      <c r="BS64" s="24">
        <f t="shared" si="9"/>
        <v>9.1542369994199593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14.5</v>
      </c>
      <c r="N65" s="14">
        <f>IF('Données projet'!$A$36&gt;35,N64+M65-V64,IF(A65&lt;'Données projet'!$A$36,$K$205^A65,IF(A65='Données projet'!$A$36,'Données projet'!$B$36,N64+M65-V64)))</f>
        <v>561</v>
      </c>
      <c r="O65" s="14">
        <f>N65*VLOOKUP('Données projet'!$B$9,Paramètres!$A$1:$I$88,3,0)*VLOOKUP('Données projet'!$B$9,Paramètres!$A$1:$I$88,5,0)</f>
        <v>313.59899999999999</v>
      </c>
      <c r="P65" s="14">
        <f t="shared" si="33"/>
        <v>74.019938943375337</v>
      </c>
      <c r="Q65" s="22">
        <f t="shared" si="53"/>
        <v>675.10298532637864</v>
      </c>
      <c r="R65" s="62">
        <f t="shared" si="0"/>
        <v>968.43631865971201</v>
      </c>
      <c r="S65" s="62">
        <f ca="1">AVERAGE(OFFSET($R$3,0,0,'Données projet'!$E$9+1,1))-AVERAGE(OFFSET($H$3,0,0,'Données projet'!$E$9+1,1))</f>
        <v>373.16487843768437</v>
      </c>
      <c r="T65" s="62">
        <f t="shared" si="34"/>
        <v>376.53494965377718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10.907016387631089</v>
      </c>
      <c r="AA65" s="23">
        <f>EXP(-LN(2)/25)*AA64+(1-EXP(-LN(2)/25))/(LN(2)/25)*Calculateur!V65*Calculateur!X65*VLOOKUP('Données projet'!$B$9,Paramètres!$A$1:$I$88,3,0)*0.475*44/12</f>
        <v>13.550177342124336</v>
      </c>
      <c r="AB65" s="23">
        <f>EXP(-LN(2)/2)*AB64+(1-EXP(-LN(2)/2))/(LN(2)/2)*V65*Y65*VLOOKUP('Données projet'!$B$9,Paramètres!$A$1:$I$88,3,0)*0.475*44/12</f>
        <v>3.8225829805292388E-4</v>
      </c>
      <c r="AC65" s="24">
        <f t="shared" si="3"/>
        <v>24.457575988053478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8.5</v>
      </c>
      <c r="AI65" s="14">
        <f>IF('Données projet'!$A$62&gt;35,AI64+AH65-AQ64,IF(A65&lt;'Données projet'!$A$62,$AF$205^A65,IF(A65='Données projet'!$A$62,'Données projet'!$B$62,AI64+AH65-AQ64)))</f>
        <v>343.00000000000023</v>
      </c>
      <c r="AJ65" s="14">
        <f>AI65*VLOOKUP('Données projet'!$B$10,Paramètres!$A$1:$I$88,3,0)*VLOOKUP('Données projet'!$B$10,Paramètres!$A$1:$I$88,5,0)</f>
        <v>187.27800000000013</v>
      </c>
      <c r="AK65" s="14">
        <f t="shared" si="35"/>
        <v>46.937652831145158</v>
      </c>
      <c r="AL65" s="22">
        <f t="shared" si="4"/>
        <v>407.92559534757805</v>
      </c>
      <c r="AM65" s="62">
        <f t="shared" si="5"/>
        <v>701.25892868091137</v>
      </c>
      <c r="AN65" s="62">
        <f ca="1">AVERAGE(OFFSET($AM$3,0,0,'Données projet'!$E$10+1,1))-AVERAGE(OFFSET($H$3,0,0,'Données projet'!$E$10+1,1))</f>
        <v>210.04871822652808</v>
      </c>
      <c r="AO65" s="62">
        <f t="shared" si="36"/>
        <v>250.17540614049324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3.8739508522664323</v>
      </c>
      <c r="AV65" s="23">
        <f>EXP(-LN(2)/25)*AV64+(1-EXP(-LN(2)/25))/(LN(2)/25)*Calculateur!AQ65*Calculateur!AS65*VLOOKUP('Données projet'!$B$10,Paramètres!$A$1:$I$88,3,0)*0.475*44/12</f>
        <v>11.460562856029345</v>
      </c>
      <c r="AW65" s="23">
        <f>EXP(-LN(2)/2)*AW64+(1-EXP(-LN(2)/2))/(LN(2)/2)*AQ65*AT65*VLOOKUP('Données projet'!$B$10,Paramètres!$A$1:$I$88,3,0)*0.475*44/12</f>
        <v>3.2888624171984365E-4</v>
      </c>
      <c r="AX65" s="23">
        <f t="shared" si="6"/>
        <v>15.334842594537497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4.9000000000000004</v>
      </c>
      <c r="BD65" s="13">
        <f>IF('Données projet'!$A$88&gt;35,BD64+BC65-BL64,IF(A65&lt;'Données projet'!$A$88,$BA$205^A65,IF(A65='Données projet'!$A$88,'Données projet'!$B$88,BD64+BC65-BL64)))</f>
        <v>207.79999999999998</v>
      </c>
      <c r="BE65" s="14">
        <f>BD65*VLOOKUP('Données projet'!$B$11,Paramètres!$A$1:$I$88,3,0)*VLOOKUP('Données projet'!$B$11,Paramètres!$A$1:$I$88,5,0)</f>
        <v>181.53407999999999</v>
      </c>
      <c r="BF65" s="14">
        <f t="shared" si="37"/>
        <v>45.663321943731901</v>
      </c>
      <c r="BG65" s="22">
        <f t="shared" si="7"/>
        <v>395.70214171866638</v>
      </c>
      <c r="BH65" s="62">
        <f t="shared" si="8"/>
        <v>689.0354750519997</v>
      </c>
      <c r="BI65" s="62">
        <f ca="1">AVERAGE(OFFSET($BH$3,0,0,'Données projet'!$E$11+1,1))-AVERAGE(OFFSET($H$3,0,0,'Données projet'!$E$11+1,1))</f>
        <v>223.81948236065614</v>
      </c>
      <c r="BJ65" s="62">
        <f t="shared" si="38"/>
        <v>320.1204011431372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1.6305438640094962</v>
      </c>
      <c r="BQ65" s="23">
        <f>EXP(-LN(2)/25)*BQ64+(1-EXP(-LN(2)/25))/(LN(2)/25)*Calculateur!BL65*Calculateur!BN65*VLOOKUP('Données projet'!$B$11,Paramètres!$A$1:$I$88,3,0)*0.475*44/12</f>
        <v>7.285652799852758</v>
      </c>
      <c r="BR65" s="23">
        <f>EXP(-LN(2)/2)*BR64+(1-EXP(-LN(2)/2))/(LN(2)/2)*BL65*BO65*VLOOKUP('Données projet'!$B$11,Paramètres!$A$1:$I$88,3,0)*0.475*44/12</f>
        <v>4.2373667616523309E-4</v>
      </c>
      <c r="BS65" s="24">
        <f t="shared" si="9"/>
        <v>8.9166204005384202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14.5</v>
      </c>
      <c r="N66" s="14">
        <f>IF('Données projet'!$A$36&gt;35,N65+M66-V65,IF(A66&lt;'Données projet'!$A$36,$K$205^A66,IF(A66='Données projet'!$A$36,'Données projet'!$B$36,N65+M66-V65)))</f>
        <v>575.5</v>
      </c>
      <c r="O66" s="14">
        <f>N66*VLOOKUP('Données projet'!$B$9,Paramètres!$A$1:$I$88,3,0)*VLOOKUP('Données projet'!$B$9,Paramètres!$A$1:$I$88,5,0)</f>
        <v>321.7045</v>
      </c>
      <c r="P66" s="14">
        <f t="shared" si="33"/>
        <v>75.707898308964985</v>
      </c>
      <c r="Q66" s="22">
        <f t="shared" si="53"/>
        <v>692.1599270547805</v>
      </c>
      <c r="R66" s="62">
        <f t="shared" si="0"/>
        <v>985.49326038811387</v>
      </c>
      <c r="S66" s="62">
        <f ca="1">AVERAGE(OFFSET($R$3,0,0,'Données projet'!$E$9+1,1))-AVERAGE(OFFSET($H$3,0,0,'Données projet'!$E$9+1,1))</f>
        <v>373.16487843768437</v>
      </c>
      <c r="T66" s="62">
        <f t="shared" si="34"/>
        <v>376.53494965377718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10.693136448892748</v>
      </c>
      <c r="AA66" s="23">
        <f>EXP(-LN(2)/25)*AA65+(1-EXP(-LN(2)/25))/(LN(2)/25)*Calculateur!V66*Calculateur!X66*VLOOKUP('Données projet'!$B$9,Paramètres!$A$1:$I$88,3,0)*0.475*44/12</f>
        <v>13.179647030131088</v>
      </c>
      <c r="AB66" s="23">
        <f>EXP(-LN(2)/2)*AB65+(1-EXP(-LN(2)/2))/(LN(2)/2)*V66*Y66*VLOOKUP('Données projet'!$B$9,Paramètres!$A$1:$I$88,3,0)*0.475*44/12</f>
        <v>2.7029743471805091E-4</v>
      </c>
      <c r="AC66" s="24">
        <f t="shared" si="3"/>
        <v>23.873053776458555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8.5</v>
      </c>
      <c r="AI66" s="14">
        <f>IF('Données projet'!$A$62&gt;35,AI65+AH66-AQ65,IF(A66&lt;'Données projet'!$A$62,$AF$205^A66,IF(A66='Données projet'!$A$62,'Données projet'!$B$62,AI65+AH66-AQ65)))</f>
        <v>351.50000000000023</v>
      </c>
      <c r="AJ66" s="14">
        <f>AI66*VLOOKUP('Données projet'!$B$10,Paramètres!$A$1:$I$88,3,0)*VLOOKUP('Données projet'!$B$10,Paramètres!$A$1:$I$88,5,0)</f>
        <v>191.91900000000012</v>
      </c>
      <c r="AK66" s="14">
        <f t="shared" si="35"/>
        <v>47.963968046563231</v>
      </c>
      <c r="AL66" s="22">
        <f t="shared" si="4"/>
        <v>417.79616934776453</v>
      </c>
      <c r="AM66" s="62">
        <f t="shared" si="5"/>
        <v>711.12950268109785</v>
      </c>
      <c r="AN66" s="62">
        <f ca="1">AVERAGE(OFFSET($AM$3,0,0,'Données projet'!$E$10+1,1))-AVERAGE(OFFSET($H$3,0,0,'Données projet'!$E$10+1,1))</f>
        <v>210.04871822652808</v>
      </c>
      <c r="AO66" s="62">
        <f t="shared" si="36"/>
        <v>250.17540614049324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3.7979850389301926</v>
      </c>
      <c r="AV66" s="23">
        <f>EXP(-LN(2)/25)*AV65+(1-EXP(-LN(2)/25))/(LN(2)/25)*Calculateur!AQ66*Calculateur!AS66*VLOOKUP('Données projet'!$B$10,Paramètres!$A$1:$I$88,3,0)*0.475*44/12</f>
        <v>11.147173162046416</v>
      </c>
      <c r="AW66" s="23">
        <f>EXP(-LN(2)/2)*AW65+(1-EXP(-LN(2)/2))/(LN(2)/2)*AQ66*AT66*VLOOKUP('Données projet'!$B$10,Paramètres!$A$1:$I$88,3,0)*0.475*44/12</f>
        <v>2.3255769175905947E-4</v>
      </c>
      <c r="AX66" s="23">
        <f t="shared" si="6"/>
        <v>14.945390758668369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4.9000000000000004</v>
      </c>
      <c r="BD66" s="13">
        <f>IF('Données projet'!$A$88&gt;35,BD65+BC66-BL65,IF(A66&lt;'Données projet'!$A$88,$BA$205^A66,IF(A66='Données projet'!$A$88,'Données projet'!$B$88,BD65+BC66-BL65)))</f>
        <v>212.7</v>
      </c>
      <c r="BE66" s="14">
        <f>BD66*VLOOKUP('Données projet'!$B$11,Paramètres!$A$1:$I$88,3,0)*VLOOKUP('Données projet'!$B$11,Paramètres!$A$1:$I$88,5,0)</f>
        <v>185.81472000000002</v>
      </c>
      <c r="BF66" s="14">
        <f t="shared" si="37"/>
        <v>46.613450769406725</v>
      </c>
      <c r="BG66" s="22">
        <f t="shared" si="7"/>
        <v>404.81239742338335</v>
      </c>
      <c r="BH66" s="62">
        <f t="shared" si="8"/>
        <v>698.1457307567166</v>
      </c>
      <c r="BI66" s="62">
        <f ca="1">AVERAGE(OFFSET($BH$3,0,0,'Données projet'!$E$11+1,1))-AVERAGE(OFFSET($H$3,0,0,'Données projet'!$E$11+1,1))</f>
        <v>223.81948236065614</v>
      </c>
      <c r="BJ66" s="62">
        <f t="shared" si="38"/>
        <v>320.1204011431372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1.5985698933698251</v>
      </c>
      <c r="BQ66" s="23">
        <f>EXP(-LN(2)/25)*BQ65+(1-EXP(-LN(2)/25))/(LN(2)/25)*Calculateur!BL66*Calculateur!BN66*VLOOKUP('Données projet'!$B$11,Paramètres!$A$1:$I$88,3,0)*0.475*44/12</f>
        <v>7.086426240904955</v>
      </c>
      <c r="BR66" s="23">
        <f>EXP(-LN(2)/2)*BR65+(1-EXP(-LN(2)/2))/(LN(2)/2)*BL66*BO66*VLOOKUP('Données projet'!$B$11,Paramètres!$A$1:$I$88,3,0)*0.475*44/12</f>
        <v>2.9962707715388442E-4</v>
      </c>
      <c r="BS66" s="24">
        <f t="shared" si="9"/>
        <v>8.6852957613519344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14.5</v>
      </c>
      <c r="N67" s="14">
        <f>IF('Données projet'!$A$36&gt;35,N66+M67-V66,IF(A67&lt;'Données projet'!$A$36,$K$205^A67,IF(A67='Données projet'!$A$36,'Données projet'!$B$36,N66+M67-V66)))</f>
        <v>590</v>
      </c>
      <c r="O67" s="14">
        <f>N67*VLOOKUP('Données projet'!$B$9,Paramètres!$A$1:$I$88,3,0)*VLOOKUP('Données projet'!$B$9,Paramètres!$A$1:$I$88,5,0)</f>
        <v>329.81</v>
      </c>
      <c r="P67" s="14">
        <f t="shared" si="33"/>
        <v>77.390914004010796</v>
      </c>
      <c r="Q67" s="22">
        <f t="shared" ref="Q67:Q98" si="54">(O67+P67)*0.475*44/12</f>
        <v>709.20825855698547</v>
      </c>
      <c r="R67" s="62">
        <f t="shared" ref="R67:R130" si="55">Q67+(I67+J67)*44/12</f>
        <v>1002.5415918903188</v>
      </c>
      <c r="S67" s="62">
        <f ca="1">AVERAGE(OFFSET($R$3,0,0,'Données projet'!$E$9+1,1))-AVERAGE(OFFSET($H$3,0,0,'Données projet'!$E$9+1,1))</f>
        <v>373.16487843768437</v>
      </c>
      <c r="T67" s="62">
        <f t="shared" si="34"/>
        <v>376.53494965377718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10.483450565299185</v>
      </c>
      <c r="AA67" s="23">
        <f>EXP(-LN(2)/25)*AA66+(1-EXP(-LN(2)/25))/(LN(2)/25)*Calculateur!V67*Calculateur!X67*VLOOKUP('Données projet'!$B$9,Paramètres!$A$1:$I$88,3,0)*0.475*44/12</f>
        <v>12.819248889004639</v>
      </c>
      <c r="AB67" s="23">
        <f>EXP(-LN(2)/2)*AB66+(1-EXP(-LN(2)/2))/(LN(2)/2)*V67*Y67*VLOOKUP('Données projet'!$B$9,Paramètres!$A$1:$I$88,3,0)*0.475*44/12</f>
        <v>1.9112914902646194E-4</v>
      </c>
      <c r="AC67" s="24">
        <f t="shared" si="3"/>
        <v>23.30289058345285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8.5</v>
      </c>
      <c r="AI67" s="14">
        <f>IF('Données projet'!$A$62&gt;35,AI66+AH67-AQ66,IF(A67&lt;'Données projet'!$A$62,$AF$205^A67,IF(A67='Données projet'!$A$62,'Données projet'!$B$62,AI66+AH67-AQ66)))</f>
        <v>360.00000000000023</v>
      </c>
      <c r="AJ67" s="14">
        <f>AI67*VLOOKUP('Données projet'!$B$10,Paramètres!$A$1:$I$88,3,0)*VLOOKUP('Données projet'!$B$10,Paramètres!$A$1:$I$88,5,0)</f>
        <v>196.56000000000014</v>
      </c>
      <c r="AK67" s="14">
        <f t="shared" si="35"/>
        <v>48.987398161128134</v>
      </c>
      <c r="AL67" s="22">
        <f t="shared" si="4"/>
        <v>427.66171846396509</v>
      </c>
      <c r="AM67" s="62">
        <f t="shared" si="5"/>
        <v>720.9950517972984</v>
      </c>
      <c r="AN67" s="62">
        <f ca="1">AVERAGE(OFFSET($AM$3,0,0,'Données projet'!$E$10+1,1))-AVERAGE(OFFSET($H$3,0,0,'Données projet'!$E$10+1,1))</f>
        <v>210.04871822652808</v>
      </c>
      <c r="AO67" s="62">
        <f t="shared" si="36"/>
        <v>250.17540614049324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3.7235088688589055</v>
      </c>
      <c r="AV67" s="23">
        <f>EXP(-LN(2)/25)*AV66+(1-EXP(-LN(2)/25))/(LN(2)/25)*Calculateur!AQ67*Calculateur!AS67*VLOOKUP('Données projet'!$B$10,Paramètres!$A$1:$I$88,3,0)*0.475*44/12</f>
        <v>10.842353125725896</v>
      </c>
      <c r="AW67" s="23">
        <f>EXP(-LN(2)/2)*AW66+(1-EXP(-LN(2)/2))/(LN(2)/2)*AQ67*AT67*VLOOKUP('Données projet'!$B$10,Paramètres!$A$1:$I$88,3,0)*0.475*44/12</f>
        <v>1.6444312085992185E-4</v>
      </c>
      <c r="AX67" s="23">
        <f t="shared" si="6"/>
        <v>14.566026437705663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4.9000000000000004</v>
      </c>
      <c r="BD67" s="13">
        <f>IF('Données projet'!$A$88&gt;35,BD66+BC67-BL66,IF(A67&lt;'Données projet'!$A$88,$BA$205^A67,IF(A67='Données projet'!$A$88,'Données projet'!$B$88,BD66+BC67-BL66)))</f>
        <v>217.6</v>
      </c>
      <c r="BE67" s="14">
        <f>BD67*VLOOKUP('Données projet'!$B$11,Paramètres!$A$1:$I$88,3,0)*VLOOKUP('Données projet'!$B$11,Paramètres!$A$1:$I$88,5,0)</f>
        <v>190.09536000000003</v>
      </c>
      <c r="BF67" s="14">
        <f t="shared" si="37"/>
        <v>47.56103497756866</v>
      </c>
      <c r="BG67" s="22">
        <f t="shared" si="7"/>
        <v>413.91822125259881</v>
      </c>
      <c r="BH67" s="62">
        <f t="shared" si="8"/>
        <v>707.25155458593213</v>
      </c>
      <c r="BI67" s="62">
        <f ca="1">AVERAGE(OFFSET($BH$3,0,0,'Données projet'!$E$11+1,1))-AVERAGE(OFFSET($H$3,0,0,'Données projet'!$E$11+1,1))</f>
        <v>223.81948236065614</v>
      </c>
      <c r="BJ67" s="62">
        <f t="shared" si="38"/>
        <v>320.1204011431372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1.5672229127922015</v>
      </c>
      <c r="BQ67" s="23">
        <f>EXP(-LN(2)/25)*BQ66+(1-EXP(-LN(2)/25))/(LN(2)/25)*Calculateur!BL67*Calculateur!BN67*VLOOKUP('Données projet'!$B$11,Paramètres!$A$1:$I$88,3,0)*0.475*44/12</f>
        <v>6.892647542688449</v>
      </c>
      <c r="BR67" s="23">
        <f>EXP(-LN(2)/2)*BR66+(1-EXP(-LN(2)/2))/(LN(2)/2)*BL67*BO67*VLOOKUP('Données projet'!$B$11,Paramètres!$A$1:$I$88,3,0)*0.475*44/12</f>
        <v>2.1186833808261655E-4</v>
      </c>
      <c r="BS67" s="24">
        <f t="shared" si="9"/>
        <v>8.4600823238187335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14.5</v>
      </c>
      <c r="N68" s="14">
        <f>IF('Données projet'!$A$36&gt;35,N67+M68-V67,IF(A68&lt;'Données projet'!$A$36,$K$205^A68,IF(A68='Données projet'!$A$36,'Données projet'!$B$36,N67+M68-V67)))</f>
        <v>604.5</v>
      </c>
      <c r="O68" s="14">
        <f>N68*VLOOKUP('Données projet'!$B$9,Paramètres!$A$1:$I$88,3,0)*VLOOKUP('Données projet'!$B$9,Paramètres!$A$1:$I$88,5,0)</f>
        <v>337.91550000000001</v>
      </c>
      <c r="P68" s="14">
        <f t="shared" si="33"/>
        <v>79.069121501508363</v>
      </c>
      <c r="Q68" s="22">
        <f t="shared" si="54"/>
        <v>726.24821578179365</v>
      </c>
      <c r="R68" s="62">
        <f t="shared" si="55"/>
        <v>1019.581549115127</v>
      </c>
      <c r="S68" s="62">
        <f ca="1">AVERAGE(OFFSET($R$3,0,0,'Données projet'!$E$9+1,1))-AVERAGE(OFFSET($H$3,0,0,'Données projet'!$E$9+1,1))</f>
        <v>373.16487843768437</v>
      </c>
      <c r="T68" s="62">
        <f t="shared" si="34"/>
        <v>376.53494965377718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10.277876493987131</v>
      </c>
      <c r="AA68" s="23">
        <f>EXP(-LN(2)/25)*AA67+(1-EXP(-LN(2)/25))/(LN(2)/25)*Calculateur!V68*Calculateur!X68*VLOOKUP('Données projet'!$B$9,Paramètres!$A$1:$I$88,3,0)*0.475*44/12</f>
        <v>12.468705853999806</v>
      </c>
      <c r="AB68" s="23">
        <f>EXP(-LN(2)/2)*AB67+(1-EXP(-LN(2)/2))/(LN(2)/2)*V68*Y68*VLOOKUP('Données projet'!$B$9,Paramètres!$A$1:$I$88,3,0)*0.475*44/12</f>
        <v>1.3514871735902545E-4</v>
      </c>
      <c r="AC68" s="24">
        <f t="shared" ref="AC68:AC131" si="57">SUM(Z68:AB68)</f>
        <v>22.746717496704296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8.5</v>
      </c>
      <c r="AI68" s="14">
        <f>IF('Données projet'!$A$62&gt;35,AI67+AH68-AQ67,IF(A68&lt;'Données projet'!$A$62,$AF$205^A68,IF(A68='Données projet'!$A$62,'Données projet'!$B$62,AI67+AH68-AQ67)))</f>
        <v>368.50000000000023</v>
      </c>
      <c r="AJ68" s="14">
        <f>AI68*VLOOKUP('Données projet'!$B$10,Paramètres!$A$1:$I$88,3,0)*VLOOKUP('Données projet'!$B$10,Paramètres!$A$1:$I$88,5,0)</f>
        <v>201.20100000000014</v>
      </c>
      <c r="AK68" s="14">
        <f t="shared" si="35"/>
        <v>50.008019134354747</v>
      </c>
      <c r="AL68" s="22">
        <f t="shared" ref="AL68:AL131" si="58">(AJ68+AK68)*0.475*44/12</f>
        <v>437.52237499233479</v>
      </c>
      <c r="AM68" s="62">
        <f t="shared" ref="AM68:AM131" si="59">AL68+(AD68+AE68)*44/12</f>
        <v>730.85570832566805</v>
      </c>
      <c r="AN68" s="62">
        <f ca="1">AVERAGE(OFFSET($AM$3,0,0,'Données projet'!$E$10+1,1))-AVERAGE(OFFSET($H$3,0,0,'Données projet'!$E$10+1,1))</f>
        <v>210.04871822652808</v>
      </c>
      <c r="AO68" s="62">
        <f t="shared" si="36"/>
        <v>250.17540614049324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3.6504931310567383</v>
      </c>
      <c r="AV68" s="23">
        <f>EXP(-LN(2)/25)*AV67+(1-EXP(-LN(2)/25))/(LN(2)/25)*Calculateur!AQ68*Calculateur!AS68*VLOOKUP('Données projet'!$B$10,Paramètres!$A$1:$I$88,3,0)*0.475*44/12</f>
        <v>10.545868409328351</v>
      </c>
      <c r="AW68" s="23">
        <f>EXP(-LN(2)/2)*AW67+(1-EXP(-LN(2)/2))/(LN(2)/2)*AQ68*AT68*VLOOKUP('Données projet'!$B$10,Paramètres!$A$1:$I$88,3,0)*0.475*44/12</f>
        <v>1.1627884587952976E-4</v>
      </c>
      <c r="AX68" s="23">
        <f t="shared" ref="AX68:AX131" si="60">SUM(AU68:AW68)</f>
        <v>14.196477819230969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4.9000000000000004</v>
      </c>
      <c r="BD68" s="13">
        <f>IF('Données projet'!$A$88&gt;35,BD67+BC68-BL67,IF(A68&lt;'Données projet'!$A$88,$BA$205^A68,IF(A68='Données projet'!$A$88,'Données projet'!$B$88,BD67+BC68-BL67)))</f>
        <v>222.5</v>
      </c>
      <c r="BE68" s="14">
        <f>BD68*VLOOKUP('Données projet'!$B$11,Paramètres!$A$1:$I$88,3,0)*VLOOKUP('Données projet'!$B$11,Paramètres!$A$1:$I$88,5,0)</f>
        <v>194.37600000000003</v>
      </c>
      <c r="BF68" s="14">
        <f t="shared" si="37"/>
        <v>48.506138465833132</v>
      </c>
      <c r="BG68" s="22">
        <f t="shared" ref="BG68:BG131" si="61">(BE68+BF68)*0.475*44/12</f>
        <v>423.01972449465944</v>
      </c>
      <c r="BH68" s="62">
        <f t="shared" ref="BH68:BH131" si="62">BG68+(AY68+AZ68)*44/12</f>
        <v>716.35305782799276</v>
      </c>
      <c r="BI68" s="62">
        <f ca="1">AVERAGE(OFFSET($BH$3,0,0,'Données projet'!$E$11+1,1))-AVERAGE(OFFSET($H$3,0,0,'Données projet'!$E$11+1,1))</f>
        <v>223.81948236065614</v>
      </c>
      <c r="BJ68" s="62">
        <f t="shared" si="38"/>
        <v>320.1204011431372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1.5364906273839347</v>
      </c>
      <c r="BQ68" s="23">
        <f>EXP(-LN(2)/25)*BQ67+(1-EXP(-LN(2)/25))/(LN(2)/25)*Calculateur!BL68*Calculateur!BN68*VLOOKUP('Données projet'!$B$11,Paramètres!$A$1:$I$88,3,0)*0.475*44/12</f>
        <v>6.7041677331650522</v>
      </c>
      <c r="BR68" s="23">
        <f>EXP(-LN(2)/2)*BR67+(1-EXP(-LN(2)/2))/(LN(2)/2)*BL68*BO68*VLOOKUP('Données projet'!$B$11,Paramètres!$A$1:$I$88,3,0)*0.475*44/12</f>
        <v>1.4981353857694221E-4</v>
      </c>
      <c r="BS68" s="24">
        <f t="shared" ref="BS68:BS131" si="63">SUM(BP68:BR68)</f>
        <v>8.2408081740875652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14.5</v>
      </c>
      <c r="N69" s="14">
        <f>IF('Données projet'!$A$36&gt;35,N68+M69-V68,IF(A69&lt;'Données projet'!$A$36,$K$205^A69,IF(A69='Données projet'!$A$36,'Données projet'!$B$36,N68+M69-V68)))</f>
        <v>619</v>
      </c>
      <c r="O69" s="14">
        <f>N69*VLOOKUP('Données projet'!$B$9,Paramètres!$A$1:$I$88,3,0)*VLOOKUP('Données projet'!$B$9,Paramètres!$A$1:$I$88,5,0)</f>
        <v>346.02100000000002</v>
      </c>
      <c r="P69" s="14">
        <f t="shared" ref="P69:P132" si="87">EXP(-1.0587+0.8836*LN(O69)+0.284)</f>
        <v>80.742649404694433</v>
      </c>
      <c r="Q69" s="22">
        <f t="shared" si="54"/>
        <v>743.28002271317609</v>
      </c>
      <c r="R69" s="62">
        <f t="shared" si="55"/>
        <v>1036.6133560465094</v>
      </c>
      <c r="S69" s="62">
        <f ca="1">AVERAGE(OFFSET($R$3,0,0,'Données projet'!$E$9+1,1))-AVERAGE(OFFSET($H$3,0,0,'Données projet'!$E$9+1,1))</f>
        <v>373.16487843768437</v>
      </c>
      <c r="T69" s="62">
        <f t="shared" ref="T69:T132" si="88">$T$3</f>
        <v>376.53494965377718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10.076333604825704</v>
      </c>
      <c r="AA69" s="23">
        <f>EXP(-LN(2)/25)*AA68+(1-EXP(-LN(2)/25))/(LN(2)/25)*Calculateur!V69*Calculateur!X69*VLOOKUP('Données projet'!$B$9,Paramètres!$A$1:$I$88,3,0)*0.475*44/12</f>
        <v>12.127748436721438</v>
      </c>
      <c r="AB69" s="23">
        <f>EXP(-LN(2)/2)*AB68+(1-EXP(-LN(2)/2))/(LN(2)/2)*V69*Y69*VLOOKUP('Données projet'!$B$9,Paramètres!$A$1:$I$88,3,0)*0.475*44/12</f>
        <v>9.556457451323097E-5</v>
      </c>
      <c r="AC69" s="24">
        <f t="shared" si="57"/>
        <v>22.204177606121654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8.5</v>
      </c>
      <c r="AI69" s="14">
        <f>IF('Données projet'!$A$62&gt;35,AI68+AH69-AQ68,IF(A69&lt;'Données projet'!$A$62,$AF$205^A69,IF(A69='Données projet'!$A$62,'Données projet'!$B$62,AI68+AH69-AQ68)))</f>
        <v>377.00000000000023</v>
      </c>
      <c r="AJ69" s="14">
        <f>AI69*VLOOKUP('Données projet'!$B$10,Paramètres!$A$1:$I$88,3,0)*VLOOKUP('Données projet'!$B$10,Paramètres!$A$1:$I$88,5,0)</f>
        <v>205.84200000000013</v>
      </c>
      <c r="AK69" s="14">
        <f t="shared" ref="AK69:AK132" si="89">EXP(-1.0587+0.8836*LN(AJ69)+0.284)</f>
        <v>51.02590322155848</v>
      </c>
      <c r="AL69" s="22">
        <f t="shared" si="58"/>
        <v>447.37826477754788</v>
      </c>
      <c r="AM69" s="62">
        <f t="shared" si="59"/>
        <v>740.71159811088114</v>
      </c>
      <c r="AN69" s="62">
        <f ca="1">AVERAGE(OFFSET($AM$3,0,0,'Données projet'!$E$10+1,1))-AVERAGE(OFFSET($H$3,0,0,'Données projet'!$E$10+1,1))</f>
        <v>210.04871822652808</v>
      </c>
      <c r="AO69" s="62">
        <f t="shared" ref="AO69:AO132" si="90">$AO$3</f>
        <v>250.17540614049324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3.5789091873376688</v>
      </c>
      <c r="AV69" s="23">
        <f>EXP(-LN(2)/25)*AV68+(1-EXP(-LN(2)/25))/(LN(2)/25)*Calculateur!AQ69*Calculateur!AS69*VLOOKUP('Données projet'!$B$10,Paramètres!$A$1:$I$88,3,0)*0.475*44/12</f>
        <v>10.25749108309215</v>
      </c>
      <c r="AW69" s="23">
        <f>EXP(-LN(2)/2)*AW68+(1-EXP(-LN(2)/2))/(LN(2)/2)*AQ69*AT69*VLOOKUP('Données projet'!$B$10,Paramètres!$A$1:$I$88,3,0)*0.475*44/12</f>
        <v>8.222156042996094E-5</v>
      </c>
      <c r="AX69" s="23">
        <f t="shared" si="60"/>
        <v>13.836482491990248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4.9000000000000004</v>
      </c>
      <c r="BD69" s="13">
        <f>IF('Données projet'!$A$88&gt;35,BD68+BC69-BL68,IF(A69&lt;'Données projet'!$A$88,$BA$205^A69,IF(A69='Données projet'!$A$88,'Données projet'!$B$88,BD68+BC69-BL68)))</f>
        <v>227.4</v>
      </c>
      <c r="BE69" s="14">
        <f>BD69*VLOOKUP('Données projet'!$B$11,Paramètres!$A$1:$I$88,3,0)*VLOOKUP('Données projet'!$B$11,Paramètres!$A$1:$I$88,5,0)</f>
        <v>198.65664000000001</v>
      </c>
      <c r="BF69" s="14">
        <f t="shared" ref="BF69:BF132" si="91">EXP(-1.0587+0.8836*LN(BE69)+0.284)</f>
        <v>49.448822156743425</v>
      </c>
      <c r="BG69" s="22">
        <f t="shared" si="61"/>
        <v>432.11701325632816</v>
      </c>
      <c r="BH69" s="62">
        <f t="shared" si="62"/>
        <v>725.45034658966142</v>
      </c>
      <c r="BI69" s="62">
        <f ca="1">AVERAGE(OFFSET($BH$3,0,0,'Données projet'!$E$11+1,1))-AVERAGE(OFFSET($H$3,0,0,'Données projet'!$E$11+1,1))</f>
        <v>223.81948236065614</v>
      </c>
      <c r="BJ69" s="62">
        <f t="shared" ref="BJ69:BJ132" si="92">$BJ$3</f>
        <v>320.1204011431372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1.506360983347681</v>
      </c>
      <c r="BQ69" s="23">
        <f>EXP(-LN(2)/25)*BQ68+(1-EXP(-LN(2)/25))/(LN(2)/25)*Calculateur!BL69*Calculateur!BN69*VLOOKUP('Données projet'!$B$11,Paramètres!$A$1:$I$88,3,0)*0.475*44/12</f>
        <v>6.5208419139447953</v>
      </c>
      <c r="BR69" s="23">
        <f>EXP(-LN(2)/2)*BR68+(1-EXP(-LN(2)/2))/(LN(2)/2)*BL69*BO69*VLOOKUP('Données projet'!$B$11,Paramètres!$A$1:$I$88,3,0)*0.475*44/12</f>
        <v>1.0593416904130827E-4</v>
      </c>
      <c r="BS69" s="24">
        <f t="shared" si="63"/>
        <v>8.027308831461518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14.5</v>
      </c>
      <c r="N70" s="14">
        <f>IF('Données projet'!$A$36&gt;35,N69+M70-V69,IF(A70&lt;'Données projet'!$A$36,$K$205^A70,IF(A70='Données projet'!$A$36,'Données projet'!$B$36,N69+M70-V69)))</f>
        <v>633.5</v>
      </c>
      <c r="O70" s="14">
        <f>N70*VLOOKUP('Données projet'!$B$9,Paramètres!$A$1:$I$88,3,0)*VLOOKUP('Données projet'!$B$9,Paramètres!$A$1:$I$88,5,0)</f>
        <v>354.12649999999996</v>
      </c>
      <c r="P70" s="14">
        <f t="shared" si="87"/>
        <v>82.411619948049463</v>
      </c>
      <c r="Q70" s="22">
        <f t="shared" si="54"/>
        <v>760.30389224285273</v>
      </c>
      <c r="R70" s="62">
        <f t="shared" si="55"/>
        <v>1053.637225576186</v>
      </c>
      <c r="S70" s="62">
        <f ca="1">AVERAGE(OFFSET($R$3,0,0,'Données projet'!$E$9+1,1))-AVERAGE(OFFSET($H$3,0,0,'Données projet'!$E$9+1,1))</f>
        <v>373.16487843768437</v>
      </c>
      <c r="T70" s="62">
        <f t="shared" si="88"/>
        <v>376.53494965377718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9.8787428487917079</v>
      </c>
      <c r="AA70" s="23">
        <f>EXP(-LN(2)/25)*AA69+(1-EXP(-LN(2)/25))/(LN(2)/25)*Calculateur!V70*Calculateur!X70*VLOOKUP('Données projet'!$B$9,Paramètres!$A$1:$I$88,3,0)*0.475*44/12</f>
        <v>11.796114517948718</v>
      </c>
      <c r="AB70" s="23">
        <f>EXP(-LN(2)/2)*AB69+(1-EXP(-LN(2)/2))/(LN(2)/2)*V70*Y70*VLOOKUP('Données projet'!$B$9,Paramètres!$A$1:$I$88,3,0)*0.475*44/12</f>
        <v>6.7574358679512727E-5</v>
      </c>
      <c r="AC70" s="24">
        <f t="shared" si="57"/>
        <v>21.674924941099107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8.5</v>
      </c>
      <c r="AI70" s="14">
        <f>IF('Données projet'!$A$62&gt;35,AI69+AH70-AQ69,IF(A70&lt;'Données projet'!$A$62,$AF$205^A70,IF(A70='Données projet'!$A$62,'Données projet'!$B$62,AI69+AH70-AQ69)))</f>
        <v>385.50000000000023</v>
      </c>
      <c r="AJ70" s="14">
        <f>AI70*VLOOKUP('Données projet'!$B$10,Paramètres!$A$1:$I$88,3,0)*VLOOKUP('Données projet'!$B$10,Paramètres!$A$1:$I$88,5,0)</f>
        <v>210.48300000000012</v>
      </c>
      <c r="AK70" s="14">
        <f t="shared" si="89"/>
        <v>52.041119233873296</v>
      </c>
      <c r="AL70" s="22">
        <f t="shared" si="58"/>
        <v>457.22950766566288</v>
      </c>
      <c r="AM70" s="62">
        <f t="shared" si="59"/>
        <v>750.56284099899619</v>
      </c>
      <c r="AN70" s="62">
        <f ca="1">AVERAGE(OFFSET($AM$3,0,0,'Données projet'!$E$10+1,1))-AVERAGE(OFFSET($H$3,0,0,'Données projet'!$E$10+1,1))</f>
        <v>210.04871822652808</v>
      </c>
      <c r="AO70" s="62">
        <f t="shared" si="90"/>
        <v>250.17540614049324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3.5087289610930359</v>
      </c>
      <c r="AV70" s="23">
        <f>EXP(-LN(2)/25)*AV69+(1-EXP(-LN(2)/25))/(LN(2)/25)*Calculateur!AQ70*Calculateur!AS70*VLOOKUP('Données projet'!$B$10,Paramètres!$A$1:$I$88,3,0)*0.475*44/12</f>
        <v>9.9769994500069821</v>
      </c>
      <c r="AW70" s="23">
        <f>EXP(-LN(2)/2)*AW69+(1-EXP(-LN(2)/2))/(LN(2)/2)*AQ70*AT70*VLOOKUP('Données projet'!$B$10,Paramètres!$A$1:$I$88,3,0)*0.475*44/12</f>
        <v>5.8139422939764889E-5</v>
      </c>
      <c r="AX70" s="23">
        <f t="shared" si="60"/>
        <v>13.485786550522958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4.9000000000000004</v>
      </c>
      <c r="BD70" s="13">
        <f>IF('Données projet'!$A$88&gt;35,BD69+BC70-BL69,IF(A70&lt;'Données projet'!$A$88,$BA$205^A70,IF(A70='Données projet'!$A$88,'Données projet'!$B$88,BD69+BC70-BL69)))</f>
        <v>232.3</v>
      </c>
      <c r="BE70" s="14">
        <f>BD70*VLOOKUP('Données projet'!$B$11,Paramètres!$A$1:$I$88,3,0)*VLOOKUP('Données projet'!$B$11,Paramètres!$A$1:$I$88,5,0)</f>
        <v>202.93728000000004</v>
      </c>
      <c r="BF70" s="14">
        <f t="shared" si="91"/>
        <v>50.389144197364736</v>
      </c>
      <c r="BG70" s="22">
        <f t="shared" si="61"/>
        <v>441.21018881041033</v>
      </c>
      <c r="BH70" s="62">
        <f t="shared" si="62"/>
        <v>734.54352214374364</v>
      </c>
      <c r="BI70" s="62">
        <f ca="1">AVERAGE(OFFSET($BH$3,0,0,'Données projet'!$E$11+1,1))-AVERAGE(OFFSET($H$3,0,0,'Données projet'!$E$11+1,1))</f>
        <v>223.81948236065614</v>
      </c>
      <c r="BJ70" s="62">
        <f t="shared" si="92"/>
        <v>320.1204011431372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1.47682216325371</v>
      </c>
      <c r="BQ70" s="23">
        <f>EXP(-LN(2)/25)*BQ69+(1-EXP(-LN(2)/25))/(LN(2)/25)*Calculateur!BL70*Calculateur!BN70*VLOOKUP('Données projet'!$B$11,Paramètres!$A$1:$I$88,3,0)*0.475*44/12</f>
        <v>6.3425291488918019</v>
      </c>
      <c r="BR70" s="23">
        <f>EXP(-LN(2)/2)*BR69+(1-EXP(-LN(2)/2))/(LN(2)/2)*BL70*BO70*VLOOKUP('Données projet'!$B$11,Paramètres!$A$1:$I$88,3,0)*0.475*44/12</f>
        <v>7.4906769288471105E-5</v>
      </c>
      <c r="BS70" s="24">
        <f t="shared" si="63"/>
        <v>7.8194262189148009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14.5</v>
      </c>
      <c r="N71" s="14">
        <f>IF('Données projet'!$A$36&gt;35,N70+M71-V70,IF(A71&lt;'Données projet'!$A$36,$K$205^A71,IF(A71='Données projet'!$A$36,'Données projet'!$B$36,N70+M71-V70)))</f>
        <v>648</v>
      </c>
      <c r="O71" s="14">
        <f>N71*VLOOKUP('Données projet'!$B$9,Paramètres!$A$1:$I$88,3,0)*VLOOKUP('Données projet'!$B$9,Paramètres!$A$1:$I$88,5,0)</f>
        <v>362.23199999999997</v>
      </c>
      <c r="P71" s="14">
        <f t="shared" si="87"/>
        <v>84.076149451138917</v>
      </c>
      <c r="Q71" s="22">
        <f t="shared" si="54"/>
        <v>777.32002696073357</v>
      </c>
      <c r="R71" s="62">
        <f t="shared" si="55"/>
        <v>1070.6533602940669</v>
      </c>
      <c r="S71" s="62">
        <f ca="1">AVERAGE(OFFSET($R$3,0,0,'Données projet'!$E$9+1,1))-AVERAGE(OFFSET($H$3,0,0,'Données projet'!$E$9+1,1))</f>
        <v>373.16487843768437</v>
      </c>
      <c r="T71" s="62">
        <f t="shared" si="88"/>
        <v>376.53494965377718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9.6850267269650772</v>
      </c>
      <c r="AA71" s="23">
        <f>EXP(-LN(2)/25)*AA70+(1-EXP(-LN(2)/25))/(LN(2)/25)*Calculateur!V71*Calculateur!X71*VLOOKUP('Données projet'!$B$9,Paramètres!$A$1:$I$88,3,0)*0.475*44/12</f>
        <v>11.473549146124707</v>
      </c>
      <c r="AB71" s="23">
        <f>EXP(-LN(2)/2)*AB70+(1-EXP(-LN(2)/2))/(LN(2)/2)*V71*Y71*VLOOKUP('Données projet'!$B$9,Paramètres!$A$1:$I$88,3,0)*0.475*44/12</f>
        <v>4.7782287256615485E-5</v>
      </c>
      <c r="AC71" s="24">
        <f t="shared" si="57"/>
        <v>21.158623655377042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8.5</v>
      </c>
      <c r="AI71" s="14">
        <f>IF('Données projet'!$A$62&gt;35,AI70+AH71-AQ70,IF(A71&lt;'Données projet'!$A$62,$AF$205^A71,IF(A71='Données projet'!$A$62,'Données projet'!$B$62,AI70+AH71-AQ70)))</f>
        <v>394.00000000000023</v>
      </c>
      <c r="AJ71" s="14">
        <f>AI71*VLOOKUP('Données projet'!$B$10,Paramètres!$A$1:$I$88,3,0)*VLOOKUP('Données projet'!$B$10,Paramètres!$A$1:$I$88,5,0)</f>
        <v>215.12400000000014</v>
      </c>
      <c r="AK71" s="14">
        <f t="shared" si="89"/>
        <v>53.053732774689799</v>
      </c>
      <c r="AL71" s="22">
        <f t="shared" si="58"/>
        <v>467.07621791591828</v>
      </c>
      <c r="AM71" s="62">
        <f t="shared" si="59"/>
        <v>760.40955124925154</v>
      </c>
      <c r="AN71" s="62">
        <f ca="1">AVERAGE(OFFSET($AM$3,0,0,'Données projet'!$E$10+1,1))-AVERAGE(OFFSET($H$3,0,0,'Données projet'!$E$10+1,1))</f>
        <v>210.04871822652808</v>
      </c>
      <c r="AO71" s="62">
        <f t="shared" si="90"/>
        <v>250.17540614049324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3.4399249262793492</v>
      </c>
      <c r="AV71" s="23">
        <f>EXP(-LN(2)/25)*AV70+(1-EXP(-LN(2)/25))/(LN(2)/25)*Calculateur!AQ71*Calculateur!AS71*VLOOKUP('Données projet'!$B$10,Paramètres!$A$1:$I$88,3,0)*0.475*44/12</f>
        <v>9.7041778753789423</v>
      </c>
      <c r="AW71" s="23">
        <f>EXP(-LN(2)/2)*AW70+(1-EXP(-LN(2)/2))/(LN(2)/2)*AQ71*AT71*VLOOKUP('Données projet'!$B$10,Paramètres!$A$1:$I$88,3,0)*0.475*44/12</f>
        <v>4.1110780214980477E-5</v>
      </c>
      <c r="AX71" s="23">
        <f t="shared" si="60"/>
        <v>13.144143912438507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4.9000000000000004</v>
      </c>
      <c r="BD71" s="13">
        <f>IF('Données projet'!$A$88&gt;35,BD70+BC71-BL70,IF(A71&lt;'Données projet'!$A$88,$BA$205^A71,IF(A71='Données projet'!$A$88,'Données projet'!$B$88,BD70+BC71-BL70)))</f>
        <v>237.20000000000002</v>
      </c>
      <c r="BE71" s="14">
        <f>BD71*VLOOKUP('Données projet'!$B$11,Paramètres!$A$1:$I$88,3,0)*VLOOKUP('Données projet'!$B$11,Paramètres!$A$1:$I$88,5,0)</f>
        <v>207.21792000000005</v>
      </c>
      <c r="BF71" s="14">
        <f t="shared" si="91"/>
        <v>51.327160141561521</v>
      </c>
      <c r="BG71" s="22">
        <f t="shared" si="61"/>
        <v>450.29934791321972</v>
      </c>
      <c r="BH71" s="62">
        <f t="shared" si="62"/>
        <v>743.63268124655303</v>
      </c>
      <c r="BI71" s="62">
        <f ca="1">AVERAGE(OFFSET($BH$3,0,0,'Données projet'!$E$11+1,1))-AVERAGE(OFFSET($H$3,0,0,'Données projet'!$E$11+1,1))</f>
        <v>223.81948236065614</v>
      </c>
      <c r="BJ71" s="62">
        <f t="shared" si="92"/>
        <v>320.1204011431372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1.4478625814048804</v>
      </c>
      <c r="BQ71" s="23">
        <f>EXP(-LN(2)/25)*BQ70+(1-EXP(-LN(2)/25))/(LN(2)/25)*Calculateur!BL71*Calculateur!BN71*VLOOKUP('Données projet'!$B$11,Paramètres!$A$1:$I$88,3,0)*0.475*44/12</f>
        <v>6.169092355776244</v>
      </c>
      <c r="BR71" s="23">
        <f>EXP(-LN(2)/2)*BR70+(1-EXP(-LN(2)/2))/(LN(2)/2)*BL71*BO71*VLOOKUP('Données projet'!$B$11,Paramètres!$A$1:$I$88,3,0)*0.475*44/12</f>
        <v>5.2967084520654137E-5</v>
      </c>
      <c r="BS71" s="24">
        <f t="shared" si="63"/>
        <v>7.6170079042656456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14.5</v>
      </c>
      <c r="N72" s="14">
        <f>IF('Données projet'!$A$36&gt;35,N71+M72-V71,IF(A72&lt;'Données projet'!$A$36,$K$205^A72,IF(A72='Données projet'!$A$36,'Données projet'!$B$36,N71+M72-V71)))</f>
        <v>662.5</v>
      </c>
      <c r="O72" s="14">
        <f>N72*VLOOKUP('Données projet'!$B$9,Paramètres!$A$1:$I$88,3,0)*VLOOKUP('Données projet'!$B$9,Paramètres!$A$1:$I$88,5,0)</f>
        <v>370.33750000000003</v>
      </c>
      <c r="P72" s="14">
        <f t="shared" si="87"/>
        <v>85.736348730685762</v>
      </c>
      <c r="Q72" s="22">
        <f t="shared" si="54"/>
        <v>794.32861987261094</v>
      </c>
      <c r="R72" s="62">
        <f t="shared" si="55"/>
        <v>1087.6619532059442</v>
      </c>
      <c r="S72" s="62">
        <f ca="1">AVERAGE(OFFSET($R$3,0,0,'Données projet'!$E$9+1,1))-AVERAGE(OFFSET($H$3,0,0,'Données projet'!$E$9+1,1))</f>
        <v>373.16487843768437</v>
      </c>
      <c r="T72" s="62">
        <f t="shared" si="88"/>
        <v>376.53494965377718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9.4951092601322991</v>
      </c>
      <c r="AA72" s="23">
        <f>EXP(-LN(2)/25)*AA71+(1-EXP(-LN(2)/25))/(LN(2)/25)*Calculateur!V72*Calculateur!X72*VLOOKUP('Données projet'!$B$9,Paramètres!$A$1:$I$88,3,0)*0.475*44/12</f>
        <v>11.159804341356201</v>
      </c>
      <c r="AB72" s="23">
        <f>EXP(-LN(2)/2)*AB71+(1-EXP(-LN(2)/2))/(LN(2)/2)*V72*Y72*VLOOKUP('Données projet'!$B$9,Paramètres!$A$1:$I$88,3,0)*0.475*44/12</f>
        <v>3.3787179339756364E-5</v>
      </c>
      <c r="AC72" s="24">
        <f t="shared" si="57"/>
        <v>20.654947388667843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8.5</v>
      </c>
      <c r="AI72" s="14">
        <f>IF('Données projet'!$A$62&gt;35,AI71+AH72-AQ71,IF(A72&lt;'Données projet'!$A$62,$AF$205^A72,IF(A72='Données projet'!$A$62,'Données projet'!$B$62,AI71+AH72-AQ71)))</f>
        <v>402.50000000000023</v>
      </c>
      <c r="AJ72" s="14">
        <f>AI72*VLOOKUP('Données projet'!$B$10,Paramètres!$A$1:$I$88,3,0)*VLOOKUP('Données projet'!$B$10,Paramètres!$A$1:$I$88,5,0)</f>
        <v>219.76500000000013</v>
      </c>
      <c r="AK72" s="14">
        <f t="shared" si="89"/>
        <v>54.063806455114872</v>
      </c>
      <c r="AL72" s="22">
        <f t="shared" si="58"/>
        <v>476.91850457599202</v>
      </c>
      <c r="AM72" s="62">
        <f t="shared" si="59"/>
        <v>770.25183790932533</v>
      </c>
      <c r="AN72" s="62">
        <f ca="1">AVERAGE(OFFSET($AM$3,0,0,'Données projet'!$E$10+1,1))-AVERAGE(OFFSET($H$3,0,0,'Données projet'!$E$10+1,1))</f>
        <v>210.04871822652808</v>
      </c>
      <c r="AO72" s="62">
        <f t="shared" si="90"/>
        <v>250.17540614049324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3.3724700966220413</v>
      </c>
      <c r="AV72" s="23">
        <f>EXP(-LN(2)/25)*AV71+(1-EXP(-LN(2)/25))/(LN(2)/25)*Calculateur!AQ72*Calculateur!AS72*VLOOKUP('Données projet'!$B$10,Paramètres!$A$1:$I$88,3,0)*0.475*44/12</f>
        <v>9.4388166210561693</v>
      </c>
      <c r="AW72" s="23">
        <f>EXP(-LN(2)/2)*AW71+(1-EXP(-LN(2)/2))/(LN(2)/2)*AQ72*AT72*VLOOKUP('Données projet'!$B$10,Paramètres!$A$1:$I$88,3,0)*0.475*44/12</f>
        <v>2.9069711469882448E-5</v>
      </c>
      <c r="AX72" s="23">
        <f t="shared" si="60"/>
        <v>12.811315787389681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4.9000000000000004</v>
      </c>
      <c r="BD72" s="13">
        <f>IF('Données projet'!$A$88&gt;35,BD71+BC72-BL71,IF(A72&lt;'Données projet'!$A$88,$BA$205^A72,IF(A72='Données projet'!$A$88,'Données projet'!$B$88,BD71+BC72-BL71)))</f>
        <v>242.10000000000002</v>
      </c>
      <c r="BE72" s="14">
        <f>BD72*VLOOKUP('Données projet'!$B$11,Paramètres!$A$1:$I$88,3,0)*VLOOKUP('Données projet'!$B$11,Paramètres!$A$1:$I$88,5,0)</f>
        <v>211.49856000000005</v>
      </c>
      <c r="BF72" s="14">
        <f t="shared" si="91"/>
        <v>52.262923116788812</v>
      </c>
      <c r="BG72" s="22">
        <f t="shared" si="61"/>
        <v>459.38458309507399</v>
      </c>
      <c r="BH72" s="62">
        <f t="shared" si="62"/>
        <v>752.71791642840731</v>
      </c>
      <c r="BI72" s="62">
        <f ca="1">AVERAGE(OFFSET($BH$3,0,0,'Données projet'!$E$11+1,1))-AVERAGE(OFFSET($H$3,0,0,'Données projet'!$E$11+1,1))</f>
        <v>223.81948236065614</v>
      </c>
      <c r="BJ72" s="62">
        <f t="shared" si="92"/>
        <v>320.1204011431372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1.4194708792925057</v>
      </c>
      <c r="BQ72" s="23">
        <f>EXP(-LN(2)/25)*BQ71+(1-EXP(-LN(2)/25))/(LN(2)/25)*Calculateur!BL72*Calculateur!BN72*VLOOKUP('Données projet'!$B$11,Paramètres!$A$1:$I$88,3,0)*0.475*44/12</f>
        <v>6.0003982008890757</v>
      </c>
      <c r="BR72" s="23">
        <f>EXP(-LN(2)/2)*BR71+(1-EXP(-LN(2)/2))/(LN(2)/2)*BL72*BO72*VLOOKUP('Données projet'!$B$11,Paramètres!$A$1:$I$88,3,0)*0.475*44/12</f>
        <v>3.7453384644235552E-5</v>
      </c>
      <c r="BS72" s="24">
        <f t="shared" si="63"/>
        <v>7.419906533566226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677</v>
      </c>
      <c r="L73" s="13">
        <f>VLOOKUP(A73,'Données projet'!$A$35:$I$55,9,0)</f>
        <v>14.5</v>
      </c>
      <c r="M73" s="13">
        <f t="array" ref="M73">INDEX(L:L,MIN(IF(ISNUMBER(L73:L269),ROW(L73:L269),"")))</f>
        <v>14.5</v>
      </c>
      <c r="N73" s="14">
        <f>IF('Données projet'!$A$36&gt;35,N72+M73-V72,IF(A73&lt;'Données projet'!$A$36,$K$205^A73,IF(A73='Données projet'!$A$36,'Données projet'!$B$36,N72+M73-V72)))</f>
        <v>677</v>
      </c>
      <c r="O73" s="14">
        <f>N73*VLOOKUP('Données projet'!$B$9,Paramètres!$A$1:$I$88,3,0)*VLOOKUP('Données projet'!$B$9,Paramètres!$A$1:$I$88,5,0)</f>
        <v>378.44300000000004</v>
      </c>
      <c r="P73" s="14">
        <f t="shared" si="87"/>
        <v>87.392323475551621</v>
      </c>
      <c r="Q73" s="22">
        <f t="shared" si="54"/>
        <v>811.32985505325234</v>
      </c>
      <c r="R73" s="62">
        <f t="shared" si="55"/>
        <v>1104.6631883865857</v>
      </c>
      <c r="S73" s="62">
        <f ca="1">AVERAGE(OFFSET($R$3,0,0,'Données projet'!$E$9+1,1))-AVERAGE(OFFSET($H$3,0,0,'Données projet'!$E$9+1,1))</f>
        <v>373.16487843768437</v>
      </c>
      <c r="T73" s="62">
        <f t="shared" si="88"/>
        <v>376.53494965377718</v>
      </c>
      <c r="U73" s="16">
        <f>IF(ISNA(VLOOKUP(A73,'Données projet'!$A$35:$I$55,3,0)),0,VLOOKUP(A73,'Données projet'!$A$35:$I$55,3,0))</f>
        <v>7</v>
      </c>
      <c r="V73" s="16">
        <f>IF(ISNA(VLOOKUP(A73,'Données projet'!$A$35:$I$55,4,0)),0,VLOOKUP(A73,'Données projet'!$A$35:$I$55,4,0))</f>
        <v>75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9.3089159589858959</v>
      </c>
      <c r="AA73" s="23">
        <f>EXP(-LN(2)/25)*AA72+(1-EXP(-LN(2)/25))/(LN(2)/25)*Calculateur!V73*Calculateur!X73*VLOOKUP('Données projet'!$B$9,Paramètres!$A$1:$I$88,3,0)*0.475*44/12</f>
        <v>10.854638904773212</v>
      </c>
      <c r="AB73" s="23">
        <f>EXP(-LN(2)/2)*AB72+(1-EXP(-LN(2)/2))/(LN(2)/2)*V73*Y73*VLOOKUP('Données projet'!$B$9,Paramètres!$A$1:$I$88,3,0)*0.475*44/12</f>
        <v>2.3891143628307742E-5</v>
      </c>
      <c r="AC73" s="24">
        <f t="shared" si="57"/>
        <v>20.163578754902737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411</v>
      </c>
      <c r="AG73" s="13">
        <f>VLOOKUP(A73,'Données projet'!$A$61:$I$81,9,0)</f>
        <v>8.5</v>
      </c>
      <c r="AH73" s="13">
        <f t="array" ref="AH73">INDEX(AG:AG,MIN(IF(ISNUMBER(AG73:AG269),ROW(AG73:AG269),"")))</f>
        <v>8.5</v>
      </c>
      <c r="AI73" s="14">
        <f>IF('Données projet'!$A$62&gt;35,AI72+AH73-AQ72,IF(A73&lt;'Données projet'!$A$62,$AF$205^A73,IF(A73='Données projet'!$A$62,'Données projet'!$B$62,AI72+AH73-AQ72)))</f>
        <v>411.00000000000023</v>
      </c>
      <c r="AJ73" s="14">
        <f>AI73*VLOOKUP('Données projet'!$B$10,Paramètres!$A$1:$I$88,3,0)*VLOOKUP('Données projet'!$B$10,Paramètres!$A$1:$I$88,5,0)</f>
        <v>224.40600000000012</v>
      </c>
      <c r="AK73" s="14">
        <f t="shared" si="89"/>
        <v>55.071400090717127</v>
      </c>
      <c r="AL73" s="22">
        <f t="shared" si="58"/>
        <v>486.75647182466588</v>
      </c>
      <c r="AM73" s="62">
        <f t="shared" si="59"/>
        <v>780.08980515799919</v>
      </c>
      <c r="AN73" s="62">
        <f ca="1">AVERAGE(OFFSET($AM$3,0,0,'Données projet'!$E$10+1,1))-AVERAGE(OFFSET($H$3,0,0,'Données projet'!$E$10+1,1))</f>
        <v>210.04871822652808</v>
      </c>
      <c r="AO73" s="62">
        <f t="shared" si="90"/>
        <v>250.17540614049324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52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3.3063380150309296</v>
      </c>
      <c r="AV73" s="23">
        <f>EXP(-LN(2)/25)*AV72+(1-EXP(-LN(2)/25))/(LN(2)/25)*Calculateur!AQ73*Calculateur!AS73*VLOOKUP('Données projet'!$B$10,Paramètres!$A$1:$I$88,3,0)*0.475*44/12</f>
        <v>9.1807116841875942</v>
      </c>
      <c r="AW73" s="23">
        <f>EXP(-LN(2)/2)*AW72+(1-EXP(-LN(2)/2))/(LN(2)/2)*AQ73*AT73*VLOOKUP('Données projet'!$B$10,Paramètres!$A$1:$I$88,3,0)*0.475*44/12</f>
        <v>2.0555390107490242E-5</v>
      </c>
      <c r="AX73" s="23">
        <f t="shared" si="60"/>
        <v>12.487070254608632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247</v>
      </c>
      <c r="BB73" s="13">
        <f>VLOOKUP(A73,'Données projet'!$A$87:$I$107,9,0)</f>
        <v>4.9000000000000004</v>
      </c>
      <c r="BC73" s="13">
        <f t="array" ref="BC73">INDEX(BB:BB,MIN(IF(ISNUMBER(BB73:BB269),ROW(BB73:BB269),"")))</f>
        <v>4.9000000000000004</v>
      </c>
      <c r="BD73" s="13">
        <f>IF('Données projet'!$A$88&gt;35,BD72+BC73-BL72,IF(A73&lt;'Données projet'!$A$88,$BA$205^A73,IF(A73='Données projet'!$A$88,'Données projet'!$B$88,BD72+BC73-BL72)))</f>
        <v>247.00000000000003</v>
      </c>
      <c r="BE73" s="14">
        <f>BD73*VLOOKUP('Données projet'!$B$11,Paramètres!$A$1:$I$88,3,0)*VLOOKUP('Données projet'!$B$11,Paramètres!$A$1:$I$88,5,0)</f>
        <v>215.77920000000003</v>
      </c>
      <c r="BF73" s="14">
        <f t="shared" si="91"/>
        <v>53.196483976998607</v>
      </c>
      <c r="BG73" s="22">
        <f t="shared" si="61"/>
        <v>468.46598292660593</v>
      </c>
      <c r="BH73" s="62">
        <f t="shared" si="62"/>
        <v>761.79931625993925</v>
      </c>
      <c r="BI73" s="62">
        <f ca="1">AVERAGE(OFFSET($BH$3,0,0,'Données projet'!$E$11+1,1))-AVERAGE(OFFSET($H$3,0,0,'Données projet'!$E$11+1,1))</f>
        <v>223.81948236065614</v>
      </c>
      <c r="BJ73" s="62">
        <f t="shared" si="92"/>
        <v>320.1204011431372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37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1.3916359211413263</v>
      </c>
      <c r="BQ73" s="23">
        <f>EXP(-LN(2)/25)*BQ72+(1-EXP(-LN(2)/25))/(LN(2)/25)*Calculateur!BL73*Calculateur!BN73*VLOOKUP('Données projet'!$B$11,Paramètres!$A$1:$I$88,3,0)*0.475*44/12</f>
        <v>5.8363169965385371</v>
      </c>
      <c r="BR73" s="23">
        <f>EXP(-LN(2)/2)*BR72+(1-EXP(-LN(2)/2))/(LN(2)/2)*BL73*BO73*VLOOKUP('Données projet'!$B$11,Paramètres!$A$1:$I$88,3,0)*0.475*44/12</f>
        <v>2.6483542260327068E-5</v>
      </c>
      <c r="BS73" s="24">
        <f t="shared" si="63"/>
        <v>7.2279794012221235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11.7</v>
      </c>
      <c r="N74" s="14">
        <f>IF('Données projet'!$A$36&gt;35,N73+M74-V73,IF(A74&lt;'Données projet'!$A$36,$K$205^A74,IF(A74='Données projet'!$A$36,'Données projet'!$B$36,N73+M74-V73)))</f>
        <v>613.70000000000005</v>
      </c>
      <c r="O74" s="14">
        <f>N74*VLOOKUP('Données projet'!$B$9,Paramètres!$A$1:$I$88,3,0)*VLOOKUP('Données projet'!$B$9,Paramètres!$A$1:$I$88,5,0)</f>
        <v>343.05830000000003</v>
      </c>
      <c r="P74" s="14">
        <f t="shared" si="87"/>
        <v>80.131480880405647</v>
      </c>
      <c r="Q74" s="22">
        <f t="shared" si="54"/>
        <v>737.0555350333733</v>
      </c>
      <c r="R74" s="62">
        <f t="shared" si="55"/>
        <v>1030.3888683667067</v>
      </c>
      <c r="S74" s="62">
        <f ca="1">AVERAGE(OFFSET($R$3,0,0,'Données projet'!$E$9+1,1))-AVERAGE(OFFSET($H$3,0,0,'Données projet'!$E$9+1,1))</f>
        <v>373.16487843768437</v>
      </c>
      <c r="T74" s="62">
        <f t="shared" si="88"/>
        <v>376.53494965377718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9.1263737949082735</v>
      </c>
      <c r="AA74" s="23">
        <f>EXP(-LN(2)/25)*AA73+(1-EXP(-LN(2)/25))/(LN(2)/25)*Calculateur!V74*Calculateur!X74*VLOOKUP('Données projet'!$B$9,Paramètres!$A$1:$I$88,3,0)*0.475*44/12</f>
        <v>10.557818233101537</v>
      </c>
      <c r="AB74" s="23">
        <f>EXP(-LN(2)/2)*AB73+(1-EXP(-LN(2)/2))/(LN(2)/2)*V74*Y74*VLOOKUP('Données projet'!$B$9,Paramètres!$A$1:$I$88,3,0)*0.475*44/12</f>
        <v>1.6893589669878182E-5</v>
      </c>
      <c r="AC74" s="24">
        <f t="shared" si="57"/>
        <v>19.684208921599481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7.4</v>
      </c>
      <c r="AI74" s="14">
        <f>IF('Données projet'!$A$62&gt;35,AI73+AH74-AQ73,IF(A74&lt;'Données projet'!$A$62,$AF$205^A74,IF(A74='Données projet'!$A$62,'Données projet'!$B$62,AI73+AH74-AQ73)))</f>
        <v>366.4000000000002</v>
      </c>
      <c r="AJ74" s="14">
        <f>AI74*VLOOKUP('Données projet'!$B$10,Paramètres!$A$1:$I$88,3,0)*VLOOKUP('Données projet'!$B$10,Paramètres!$A$1:$I$88,5,0)</f>
        <v>200.05440000000013</v>
      </c>
      <c r="AK74" s="14">
        <f t="shared" si="89"/>
        <v>49.756123009618236</v>
      </c>
      <c r="AL74" s="22">
        <f t="shared" si="58"/>
        <v>435.08666090841865</v>
      </c>
      <c r="AM74" s="62">
        <f t="shared" si="59"/>
        <v>728.41999424175197</v>
      </c>
      <c r="AN74" s="62">
        <f ca="1">AVERAGE(OFFSET($AM$3,0,0,'Données projet'!$E$10+1,1))-AVERAGE(OFFSET($H$3,0,0,'Données projet'!$E$10+1,1))</f>
        <v>210.04871822652808</v>
      </c>
      <c r="AO74" s="62">
        <f t="shared" si="90"/>
        <v>250.17540614049324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3.2415027432232328</v>
      </c>
      <c r="AV74" s="23">
        <f>EXP(-LN(2)/25)*AV73+(1-EXP(-LN(2)/25))/(LN(2)/25)*Calculateur!AQ74*Calculateur!AS74*VLOOKUP('Données projet'!$B$10,Paramètres!$A$1:$I$88,3,0)*0.475*44/12</f>
        <v>8.9296646403908397</v>
      </c>
      <c r="AW74" s="23">
        <f>EXP(-LN(2)/2)*AW73+(1-EXP(-LN(2)/2))/(LN(2)/2)*AQ74*AT74*VLOOKUP('Données projet'!$B$10,Paramètres!$A$1:$I$88,3,0)*0.475*44/12</f>
        <v>1.4534855734941227E-5</v>
      </c>
      <c r="AX74" s="23">
        <f t="shared" si="60"/>
        <v>12.171181918469808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3.7</v>
      </c>
      <c r="BD74" s="13">
        <f>IF('Données projet'!$A$88&gt;35,BD73+BC74-BL73,IF(A74&lt;'Données projet'!$A$88,$BA$205^A74,IF(A74='Données projet'!$A$88,'Données projet'!$B$88,BD73+BC74-BL73)))</f>
        <v>213.70000000000002</v>
      </c>
      <c r="BE74" s="14">
        <f>BD74*VLOOKUP('Données projet'!$B$11,Paramètres!$A$1:$I$88,3,0)*VLOOKUP('Données projet'!$B$11,Paramètres!$A$1:$I$88,5,0)</f>
        <v>186.68832000000003</v>
      </c>
      <c r="BF74" s="14">
        <f t="shared" si="91"/>
        <v>46.80703983760791</v>
      </c>
      <c r="BG74" s="22">
        <f t="shared" si="61"/>
        <v>406.67108505050049</v>
      </c>
      <c r="BH74" s="62">
        <f t="shared" si="62"/>
        <v>700.00441838383381</v>
      </c>
      <c r="BI74" s="62">
        <f ca="1">AVERAGE(OFFSET($BH$3,0,0,'Données projet'!$E$11+1,1))-AVERAGE(OFFSET($H$3,0,0,'Données projet'!$E$11+1,1))</f>
        <v>223.81948236065614</v>
      </c>
      <c r="BJ74" s="62">
        <f t="shared" si="92"/>
        <v>320.1204011431372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1.3643467895418433</v>
      </c>
      <c r="BQ74" s="23">
        <f>EXP(-LN(2)/25)*BQ73+(1-EXP(-LN(2)/25))/(LN(2)/25)*Calculateur!BL74*Calculateur!BN74*VLOOKUP('Données projet'!$B$11,Paramètres!$A$1:$I$88,3,0)*0.475*44/12</f>
        <v>5.6767226013496188</v>
      </c>
      <c r="BR74" s="23">
        <f>EXP(-LN(2)/2)*BR73+(1-EXP(-LN(2)/2))/(LN(2)/2)*BL74*BO74*VLOOKUP('Données projet'!$B$11,Paramètres!$A$1:$I$88,3,0)*0.475*44/12</f>
        <v>1.8726692322117776E-5</v>
      </c>
      <c r="BS74" s="24">
        <f t="shared" si="63"/>
        <v>7.0410881175837838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11.7</v>
      </c>
      <c r="N75" s="14">
        <f>IF('Données projet'!$A$36&gt;35,N74+M75-V74,IF(A75&lt;'Données projet'!$A$36,$K$205^A75,IF(A75='Données projet'!$A$36,'Données projet'!$B$36,N74+M75-V74)))</f>
        <v>625.40000000000009</v>
      </c>
      <c r="O75" s="14">
        <f>N75*VLOOKUP('Données projet'!$B$9,Paramètres!$A$1:$I$88,3,0)*VLOOKUP('Données projet'!$B$9,Paramètres!$A$1:$I$88,5,0)</f>
        <v>349.59860000000003</v>
      </c>
      <c r="P75" s="14">
        <f t="shared" si="87"/>
        <v>81.479853290144945</v>
      </c>
      <c r="Q75" s="22">
        <f t="shared" si="54"/>
        <v>750.79497281366912</v>
      </c>
      <c r="R75" s="62">
        <f t="shared" si="55"/>
        <v>1044.1283061470024</v>
      </c>
      <c r="S75" s="62">
        <f ca="1">AVERAGE(OFFSET($R$3,0,0,'Données projet'!$E$9+1,1))-AVERAGE(OFFSET($H$3,0,0,'Données projet'!$E$9+1,1))</f>
        <v>373.16487843768437</v>
      </c>
      <c r="T75" s="62">
        <f t="shared" si="88"/>
        <v>376.53494965377718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8.9474111713284863</v>
      </c>
      <c r="AA75" s="23">
        <f>EXP(-LN(2)/25)*AA74+(1-EXP(-LN(2)/25))/(LN(2)/25)*Calculateur!V75*Calculateur!X75*VLOOKUP('Données projet'!$B$9,Paramètres!$A$1:$I$88,3,0)*0.475*44/12</f>
        <v>10.269114138305845</v>
      </c>
      <c r="AB75" s="23">
        <f>EXP(-LN(2)/2)*AB74+(1-EXP(-LN(2)/2))/(LN(2)/2)*V75*Y75*VLOOKUP('Données projet'!$B$9,Paramètres!$A$1:$I$88,3,0)*0.475*44/12</f>
        <v>1.1945571814153871E-5</v>
      </c>
      <c r="AC75" s="24">
        <f t="shared" si="57"/>
        <v>19.216537255206145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7.4</v>
      </c>
      <c r="AI75" s="14">
        <f>IF('Données projet'!$A$62&gt;35,AI74+AH75-AQ74,IF(A75&lt;'Données projet'!$A$62,$AF$205^A75,IF(A75='Données projet'!$A$62,'Données projet'!$B$62,AI74+AH75-AQ74)))</f>
        <v>373.80000000000018</v>
      </c>
      <c r="AJ75" s="14">
        <f>AI75*VLOOKUP('Données projet'!$B$10,Paramètres!$A$1:$I$88,3,0)*VLOOKUP('Données projet'!$B$10,Paramètres!$A$1:$I$88,5,0)</f>
        <v>204.09480000000011</v>
      </c>
      <c r="AK75" s="14">
        <f t="shared" si="89"/>
        <v>50.643016586252969</v>
      </c>
      <c r="AL75" s="22">
        <f t="shared" si="58"/>
        <v>443.66836388772407</v>
      </c>
      <c r="AM75" s="62">
        <f t="shared" si="59"/>
        <v>737.00169722105738</v>
      </c>
      <c r="AN75" s="62">
        <f ca="1">AVERAGE(OFFSET($AM$3,0,0,'Données projet'!$E$10+1,1))-AVERAGE(OFFSET($H$3,0,0,'Données projet'!$E$10+1,1))</f>
        <v>210.04871822652808</v>
      </c>
      <c r="AO75" s="62">
        <f t="shared" si="90"/>
        <v>250.17540614049324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3.1779388515500742</v>
      </c>
      <c r="AV75" s="23">
        <f>EXP(-LN(2)/25)*AV74+(1-EXP(-LN(2)/25))/(LN(2)/25)*Calculateur!AQ75*Calculateur!AS75*VLOOKUP('Données projet'!$B$10,Paramètres!$A$1:$I$88,3,0)*0.475*44/12</f>
        <v>8.6854824912086972</v>
      </c>
      <c r="AW75" s="23">
        <f>EXP(-LN(2)/2)*AW74+(1-EXP(-LN(2)/2))/(LN(2)/2)*AQ75*AT75*VLOOKUP('Données projet'!$B$10,Paramètres!$A$1:$I$88,3,0)*0.475*44/12</f>
        <v>1.0277695053745123E-5</v>
      </c>
      <c r="AX75" s="23">
        <f t="shared" si="60"/>
        <v>11.863431620453825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3.7</v>
      </c>
      <c r="BD75" s="13">
        <f>IF('Données projet'!$A$88&gt;35,BD74+BC75-BL74,IF(A75&lt;'Données projet'!$A$88,$BA$205^A75,IF(A75='Données projet'!$A$88,'Données projet'!$B$88,BD74+BC75-BL74)))</f>
        <v>217.4</v>
      </c>
      <c r="BE75" s="14">
        <f>BD75*VLOOKUP('Données projet'!$B$11,Paramètres!$A$1:$I$88,3,0)*VLOOKUP('Données projet'!$B$11,Paramètres!$A$1:$I$88,5,0)</f>
        <v>189.92064000000002</v>
      </c>
      <c r="BF75" s="14">
        <f t="shared" si="91"/>
        <v>47.522407055417723</v>
      </c>
      <c r="BG75" s="22">
        <f t="shared" si="61"/>
        <v>413.54664028818587</v>
      </c>
      <c r="BH75" s="62">
        <f t="shared" si="62"/>
        <v>706.87997362151918</v>
      </c>
      <c r="BI75" s="62">
        <f ca="1">AVERAGE(OFFSET($BH$3,0,0,'Données projet'!$E$11+1,1))-AVERAGE(OFFSET($H$3,0,0,'Données projet'!$E$11+1,1))</f>
        <v>223.81948236065614</v>
      </c>
      <c r="BJ75" s="62">
        <f t="shared" si="92"/>
        <v>320.1204011431372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1.3375927811682995</v>
      </c>
      <c r="BQ75" s="23">
        <f>EXP(-LN(2)/25)*BQ74+(1-EXP(-LN(2)/25))/(LN(2)/25)*Calculateur!BL75*Calculateur!BN75*VLOOKUP('Données projet'!$B$11,Paramètres!$A$1:$I$88,3,0)*0.475*44/12</f>
        <v>5.5214923232898458</v>
      </c>
      <c r="BR75" s="23">
        <f>EXP(-LN(2)/2)*BR74+(1-EXP(-LN(2)/2))/(LN(2)/2)*BL75*BO75*VLOOKUP('Données projet'!$B$11,Paramètres!$A$1:$I$88,3,0)*0.475*44/12</f>
        <v>1.3241771130163534E-5</v>
      </c>
      <c r="BS75" s="24">
        <f t="shared" si="63"/>
        <v>6.8590983462292758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11.7</v>
      </c>
      <c r="N76" s="14">
        <f>IF('Données projet'!$A$36&gt;35,N75+M76-V75,IF(A76&lt;'Données projet'!$A$36,$K$205^A76,IF(A76='Données projet'!$A$36,'Données projet'!$B$36,N75+M76-V75)))</f>
        <v>637.10000000000014</v>
      </c>
      <c r="O76" s="14">
        <f>N76*VLOOKUP('Données projet'!$B$9,Paramètres!$A$1:$I$88,3,0)*VLOOKUP('Données projet'!$B$9,Paramètres!$A$1:$I$88,5,0)</f>
        <v>356.13890000000004</v>
      </c>
      <c r="P76" s="14">
        <f t="shared" si="87"/>
        <v>82.825292478605164</v>
      </c>
      <c r="Q76" s="22">
        <f t="shared" si="54"/>
        <v>764.52930190023733</v>
      </c>
      <c r="R76" s="62">
        <f t="shared" si="55"/>
        <v>1057.8626352335707</v>
      </c>
      <c r="S76" s="62">
        <f ca="1">AVERAGE(OFFSET($R$3,0,0,'Données projet'!$E$9+1,1))-AVERAGE(OFFSET($H$3,0,0,'Données projet'!$E$9+1,1))</f>
        <v>373.16487843768437</v>
      </c>
      <c r="T76" s="62">
        <f t="shared" si="88"/>
        <v>376.53494965377718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8.7719578956406767</v>
      </c>
      <c r="AA76" s="23">
        <f>EXP(-LN(2)/25)*AA75+(1-EXP(-LN(2)/25))/(LN(2)/25)*Calculateur!V76*Calculateur!X76*VLOOKUP('Données projet'!$B$9,Paramètres!$A$1:$I$88,3,0)*0.475*44/12</f>
        <v>9.9883046721646291</v>
      </c>
      <c r="AB76" s="23">
        <f>EXP(-LN(2)/2)*AB75+(1-EXP(-LN(2)/2))/(LN(2)/2)*V76*Y76*VLOOKUP('Données projet'!$B$9,Paramètres!$A$1:$I$88,3,0)*0.475*44/12</f>
        <v>8.4467948349390909E-6</v>
      </c>
      <c r="AC76" s="24">
        <f t="shared" si="57"/>
        <v>18.760271014600139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7.4</v>
      </c>
      <c r="AI76" s="14">
        <f>IF('Données projet'!$A$62&gt;35,AI75+AH76-AQ75,IF(A76&lt;'Données projet'!$A$62,$AF$205^A76,IF(A76='Données projet'!$A$62,'Données projet'!$B$62,AI75+AH76-AQ75)))</f>
        <v>381.20000000000016</v>
      </c>
      <c r="AJ76" s="14">
        <f>AI76*VLOOKUP('Données projet'!$B$10,Paramètres!$A$1:$I$88,3,0)*VLOOKUP('Données projet'!$B$10,Paramètres!$A$1:$I$88,5,0)</f>
        <v>208.13520000000011</v>
      </c>
      <c r="AK76" s="14">
        <f t="shared" si="89"/>
        <v>51.527868675898425</v>
      </c>
      <c r="AL76" s="22">
        <f t="shared" si="58"/>
        <v>452.24651127718994</v>
      </c>
      <c r="AM76" s="62">
        <f t="shared" si="59"/>
        <v>745.5798446105232</v>
      </c>
      <c r="AN76" s="62">
        <f ca="1">AVERAGE(OFFSET($AM$3,0,0,'Données projet'!$E$10+1,1))-AVERAGE(OFFSET($H$3,0,0,'Données projet'!$E$10+1,1))</f>
        <v>210.04871822652808</v>
      </c>
      <c r="AO76" s="62">
        <f t="shared" si="90"/>
        <v>250.17540614049324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3.1156214090224803</v>
      </c>
      <c r="AV76" s="23">
        <f>EXP(-LN(2)/25)*AV75+(1-EXP(-LN(2)/25))/(LN(2)/25)*Calculateur!AQ76*Calculateur!AS76*VLOOKUP('Données projet'!$B$10,Paramètres!$A$1:$I$88,3,0)*0.475*44/12</f>
        <v>8.4479775157369215</v>
      </c>
      <c r="AW76" s="23">
        <f>EXP(-LN(2)/2)*AW75+(1-EXP(-LN(2)/2))/(LN(2)/2)*AQ76*AT76*VLOOKUP('Données projet'!$B$10,Paramètres!$A$1:$I$88,3,0)*0.475*44/12</f>
        <v>7.2674278674706145E-6</v>
      </c>
      <c r="AX76" s="23">
        <f t="shared" si="60"/>
        <v>11.563606192187269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3.7</v>
      </c>
      <c r="BD76" s="13">
        <f>IF('Données projet'!$A$88&gt;35,BD75+BC76-BL75,IF(A76&lt;'Données projet'!$A$88,$BA$205^A76,IF(A76='Données projet'!$A$88,'Données projet'!$B$88,BD75+BC76-BL75)))</f>
        <v>221.1</v>
      </c>
      <c r="BE76" s="14">
        <f>BD76*VLOOKUP('Données projet'!$B$11,Paramètres!$A$1:$I$88,3,0)*VLOOKUP('Données projet'!$B$11,Paramètres!$A$1:$I$88,5,0)</f>
        <v>193.15296000000001</v>
      </c>
      <c r="BF76" s="14">
        <f t="shared" si="91"/>
        <v>48.236358426448142</v>
      </c>
      <c r="BG76" s="22">
        <f t="shared" si="61"/>
        <v>420.41972959273056</v>
      </c>
      <c r="BH76" s="62">
        <f t="shared" si="62"/>
        <v>713.75306292606388</v>
      </c>
      <c r="BI76" s="62">
        <f ca="1">AVERAGE(OFFSET($BH$3,0,0,'Données projet'!$E$11+1,1))-AVERAGE(OFFSET($H$3,0,0,'Données projet'!$E$11+1,1))</f>
        <v>223.81948236065614</v>
      </c>
      <c r="BJ76" s="62">
        <f t="shared" si="92"/>
        <v>320.1204011431372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1.3113634025806271</v>
      </c>
      <c r="BQ76" s="23">
        <f>EXP(-LN(2)/25)*BQ75+(1-EXP(-LN(2)/25))/(LN(2)/25)*Calculateur!BL76*Calculateur!BN76*VLOOKUP('Données projet'!$B$11,Paramètres!$A$1:$I$88,3,0)*0.475*44/12</f>
        <v>5.3705068253468236</v>
      </c>
      <c r="BR76" s="23">
        <f>EXP(-LN(2)/2)*BR75+(1-EXP(-LN(2)/2))/(LN(2)/2)*BL76*BO76*VLOOKUP('Données projet'!$B$11,Paramètres!$A$1:$I$88,3,0)*0.475*44/12</f>
        <v>9.3633461610588881E-6</v>
      </c>
      <c r="BS76" s="24">
        <f t="shared" si="63"/>
        <v>6.6818795912736118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11.7</v>
      </c>
      <c r="N77" s="14">
        <f>IF('Données projet'!$A$36&gt;35,N76+M77-V76,IF(A77&lt;'Données projet'!$A$36,$K$205^A77,IF(A77='Données projet'!$A$36,'Données projet'!$B$36,N76+M77-V76)))</f>
        <v>648.80000000000018</v>
      </c>
      <c r="O77" s="14">
        <f>N77*VLOOKUP('Données projet'!$B$9,Paramètres!$A$1:$I$88,3,0)*VLOOKUP('Données projet'!$B$9,Paramètres!$A$1:$I$88,5,0)</f>
        <v>362.67920000000015</v>
      </c>
      <c r="P77" s="14">
        <f t="shared" si="87"/>
        <v>84.167858525526952</v>
      </c>
      <c r="Q77" s="22">
        <f t="shared" si="54"/>
        <v>778.25862693195984</v>
      </c>
      <c r="R77" s="62">
        <f t="shared" si="55"/>
        <v>1071.5919602652932</v>
      </c>
      <c r="S77" s="62">
        <f ca="1">AVERAGE(OFFSET($R$3,0,0,'Données projet'!$E$9+1,1))-AVERAGE(OFFSET($H$3,0,0,'Données projet'!$E$9+1,1))</f>
        <v>373.16487843768437</v>
      </c>
      <c r="T77" s="62">
        <f t="shared" si="88"/>
        <v>376.53494965377718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8.5999451516731753</v>
      </c>
      <c r="AA77" s="23">
        <f>EXP(-LN(2)/25)*AA76+(1-EXP(-LN(2)/25))/(LN(2)/25)*Calculateur!V77*Calculateur!X77*VLOOKUP('Données projet'!$B$9,Paramètres!$A$1:$I$88,3,0)*0.475*44/12</f>
        <v>9.7151739556421735</v>
      </c>
      <c r="AB77" s="23">
        <f>EXP(-LN(2)/2)*AB76+(1-EXP(-LN(2)/2))/(LN(2)/2)*V77*Y77*VLOOKUP('Données projet'!$B$9,Paramètres!$A$1:$I$88,3,0)*0.475*44/12</f>
        <v>5.9727859070769356E-6</v>
      </c>
      <c r="AC77" s="24">
        <f t="shared" si="57"/>
        <v>18.315125080101254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7.4</v>
      </c>
      <c r="AI77" s="14">
        <f>IF('Données projet'!$A$62&gt;35,AI76+AH77-AQ76,IF(A77&lt;'Données projet'!$A$62,$AF$205^A77,IF(A77='Données projet'!$A$62,'Données projet'!$B$62,AI76+AH77-AQ76)))</f>
        <v>388.60000000000014</v>
      </c>
      <c r="AJ77" s="14">
        <f>AI77*VLOOKUP('Données projet'!$B$10,Paramètres!$A$1:$I$88,3,0)*VLOOKUP('Données projet'!$B$10,Paramètres!$A$1:$I$88,5,0)</f>
        <v>212.17560000000006</v>
      </c>
      <c r="AK77" s="14">
        <f t="shared" si="89"/>
        <v>52.410723477279205</v>
      </c>
      <c r="AL77" s="22">
        <f t="shared" si="58"/>
        <v>460.82118005626143</v>
      </c>
      <c r="AM77" s="62">
        <f t="shared" si="59"/>
        <v>754.15451338959474</v>
      </c>
      <c r="AN77" s="62">
        <f ca="1">AVERAGE(OFFSET($AM$3,0,0,'Données projet'!$E$10+1,1))-AVERAGE(OFFSET($H$3,0,0,'Données projet'!$E$10+1,1))</f>
        <v>210.04871822652808</v>
      </c>
      <c r="AO77" s="62">
        <f t="shared" si="90"/>
        <v>250.17540614049324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3.0545259735329657</v>
      </c>
      <c r="AV77" s="23">
        <f>EXP(-LN(2)/25)*AV76+(1-EXP(-LN(2)/25))/(LN(2)/25)*Calculateur!AQ77*Calculateur!AS77*VLOOKUP('Données projet'!$B$10,Paramètres!$A$1:$I$88,3,0)*0.475*44/12</f>
        <v>8.2169671263092656</v>
      </c>
      <c r="AW77" s="23">
        <f>EXP(-LN(2)/2)*AW76+(1-EXP(-LN(2)/2))/(LN(2)/2)*AQ77*AT77*VLOOKUP('Données projet'!$B$10,Paramètres!$A$1:$I$88,3,0)*0.475*44/12</f>
        <v>5.1388475268725622E-6</v>
      </c>
      <c r="AX77" s="23">
        <f t="shared" si="60"/>
        <v>11.271498238689759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3.7</v>
      </c>
      <c r="BD77" s="13">
        <f>IF('Données projet'!$A$88&gt;35,BD76+BC77-BL76,IF(A77&lt;'Données projet'!$A$88,$BA$205^A77,IF(A77='Données projet'!$A$88,'Données projet'!$B$88,BD76+BC77-BL76)))</f>
        <v>224.79999999999998</v>
      </c>
      <c r="BE77" s="14">
        <f>BD77*VLOOKUP('Données projet'!$B$11,Paramètres!$A$1:$I$88,3,0)*VLOOKUP('Données projet'!$B$11,Paramètres!$A$1:$I$88,5,0)</f>
        <v>196.38528000000002</v>
      </c>
      <c r="BF77" s="14">
        <f t="shared" si="91"/>
        <v>48.948920378863868</v>
      </c>
      <c r="BG77" s="22">
        <f t="shared" si="61"/>
        <v>427.29039899318792</v>
      </c>
      <c r="BH77" s="62">
        <f t="shared" si="62"/>
        <v>720.62373232652124</v>
      </c>
      <c r="BI77" s="62">
        <f ca="1">AVERAGE(OFFSET($BH$3,0,0,'Données projet'!$E$11+1,1))-AVERAGE(OFFSET($H$3,0,0,'Données projet'!$E$11+1,1))</f>
        <v>223.81948236065614</v>
      </c>
      <c r="BJ77" s="62">
        <f t="shared" si="92"/>
        <v>320.1204011431372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1.2856483661087177</v>
      </c>
      <c r="BQ77" s="23">
        <f>EXP(-LN(2)/25)*BQ76+(1-EXP(-LN(2)/25))/(LN(2)/25)*Calculateur!BL77*Calculateur!BN77*VLOOKUP('Données projet'!$B$11,Paramètres!$A$1:$I$88,3,0)*0.475*44/12</f>
        <v>5.2236500337850353</v>
      </c>
      <c r="BR77" s="23">
        <f>EXP(-LN(2)/2)*BR76+(1-EXP(-LN(2)/2))/(LN(2)/2)*BL77*BO77*VLOOKUP('Données projet'!$B$11,Paramètres!$A$1:$I$88,3,0)*0.475*44/12</f>
        <v>6.6208855650817671E-6</v>
      </c>
      <c r="BS77" s="24">
        <f t="shared" si="63"/>
        <v>6.5093050207793182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11.7</v>
      </c>
      <c r="N78" s="14">
        <f>IF('Données projet'!$A$36&gt;35,N77+M78-V77,IF(A78&lt;'Données projet'!$A$36,$K$205^A78,IF(A78='Données projet'!$A$36,'Données projet'!$B$36,N77+M78-V77)))</f>
        <v>660.50000000000023</v>
      </c>
      <c r="O78" s="14">
        <f>N78*VLOOKUP('Données projet'!$B$9,Paramètres!$A$1:$I$88,3,0)*VLOOKUP('Données projet'!$B$9,Paramètres!$A$1:$I$88,5,0)</f>
        <v>369.21950000000015</v>
      </c>
      <c r="P78" s="14">
        <f t="shared" si="87"/>
        <v>85.507609219700839</v>
      </c>
      <c r="Q78" s="22">
        <f t="shared" si="54"/>
        <v>791.98304855764582</v>
      </c>
      <c r="R78" s="62">
        <f t="shared" si="55"/>
        <v>1085.3163818909791</v>
      </c>
      <c r="S78" s="62">
        <f ca="1">AVERAGE(OFFSET($R$3,0,0,'Données projet'!$E$9+1,1))-AVERAGE(OFFSET($H$3,0,0,'Données projet'!$E$9+1,1))</f>
        <v>373.16487843768437</v>
      </c>
      <c r="T78" s="62">
        <f t="shared" si="88"/>
        <v>376.53494965377718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8.4313054726974617</v>
      </c>
      <c r="AA78" s="23">
        <f>EXP(-LN(2)/25)*AA77+(1-EXP(-LN(2)/25))/(LN(2)/25)*Calculateur!V78*Calculateur!X78*VLOOKUP('Données projet'!$B$9,Paramètres!$A$1:$I$88,3,0)*0.475*44/12</f>
        <v>9.4495120129263448</v>
      </c>
      <c r="AB78" s="23">
        <f>EXP(-LN(2)/2)*AB77+(1-EXP(-LN(2)/2))/(LN(2)/2)*V78*Y78*VLOOKUP('Données projet'!$B$9,Paramètres!$A$1:$I$88,3,0)*0.475*44/12</f>
        <v>4.2233974174695454E-6</v>
      </c>
      <c r="AC78" s="24">
        <f t="shared" si="57"/>
        <v>17.880821709021227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7.4</v>
      </c>
      <c r="AI78" s="14">
        <f>IF('Données projet'!$A$62&gt;35,AI77+AH78-AQ77,IF(A78&lt;'Données projet'!$A$62,$AF$205^A78,IF(A78='Données projet'!$A$62,'Données projet'!$B$62,AI77+AH78-AQ77)))</f>
        <v>396.00000000000011</v>
      </c>
      <c r="AJ78" s="14">
        <f>AI78*VLOOKUP('Données projet'!$B$10,Paramètres!$A$1:$I$88,3,0)*VLOOKUP('Données projet'!$B$10,Paramètres!$A$1:$I$88,5,0)</f>
        <v>216.21600000000007</v>
      </c>
      <c r="AK78" s="14">
        <f t="shared" si="89"/>
        <v>53.291623409473033</v>
      </c>
      <c r="AL78" s="22">
        <f t="shared" si="58"/>
        <v>469.39244410483235</v>
      </c>
      <c r="AM78" s="62">
        <f t="shared" si="59"/>
        <v>762.72577743816566</v>
      </c>
      <c r="AN78" s="62">
        <f ca="1">AVERAGE(OFFSET($AM$3,0,0,'Données projet'!$E$10+1,1))-AVERAGE(OFFSET($H$3,0,0,'Données projet'!$E$10+1,1))</f>
        <v>210.04871822652808</v>
      </c>
      <c r="AO78" s="62">
        <f t="shared" si="90"/>
        <v>250.17540614049324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2.9946285822688647</v>
      </c>
      <c r="AV78" s="23">
        <f>EXP(-LN(2)/25)*AV77+(1-EXP(-LN(2)/25))/(LN(2)/25)*Calculateur!AQ78*Calculateur!AS78*VLOOKUP('Données projet'!$B$10,Paramètres!$A$1:$I$88,3,0)*0.475*44/12</f>
        <v>7.9922737281288176</v>
      </c>
      <c r="AW78" s="23">
        <f>EXP(-LN(2)/2)*AW77+(1-EXP(-LN(2)/2))/(LN(2)/2)*AQ78*AT78*VLOOKUP('Données projet'!$B$10,Paramètres!$A$1:$I$88,3,0)*0.475*44/12</f>
        <v>3.6337139337353081E-6</v>
      </c>
      <c r="AX78" s="23">
        <f t="shared" si="60"/>
        <v>10.986905944111616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3.7</v>
      </c>
      <c r="BD78" s="13">
        <f>IF('Données projet'!$A$88&gt;35,BD77+BC78-BL77,IF(A78&lt;'Données projet'!$A$88,$BA$205^A78,IF(A78='Données projet'!$A$88,'Données projet'!$B$88,BD77+BC78-BL77)))</f>
        <v>228.49999999999997</v>
      </c>
      <c r="BE78" s="14">
        <f>BD78*VLOOKUP('Données projet'!$B$11,Paramètres!$A$1:$I$88,3,0)*VLOOKUP('Données projet'!$B$11,Paramètres!$A$1:$I$88,5,0)</f>
        <v>199.61760000000001</v>
      </c>
      <c r="BF78" s="14">
        <f t="shared" si="91"/>
        <v>49.66011842098839</v>
      </c>
      <c r="BG78" s="22">
        <f t="shared" si="61"/>
        <v>434.1586929165548</v>
      </c>
      <c r="BH78" s="62">
        <f t="shared" si="62"/>
        <v>727.49202624988811</v>
      </c>
      <c r="BI78" s="62">
        <f ca="1">AVERAGE(OFFSET($BH$3,0,0,'Données projet'!$E$11+1,1))-AVERAGE(OFFSET($H$3,0,0,'Données projet'!$E$11+1,1))</f>
        <v>223.81948236065614</v>
      </c>
      <c r="BJ78" s="62">
        <f t="shared" si="92"/>
        <v>320.1204011431372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1.2604375858173988</v>
      </c>
      <c r="BQ78" s="23">
        <f>EXP(-LN(2)/25)*BQ77+(1-EXP(-LN(2)/25))/(LN(2)/25)*Calculateur!BL78*Calculateur!BN78*VLOOKUP('Données projet'!$B$11,Paramètres!$A$1:$I$88,3,0)*0.475*44/12</f>
        <v>5.0808090489113669</v>
      </c>
      <c r="BR78" s="23">
        <f>EXP(-LN(2)/2)*BR77+(1-EXP(-LN(2)/2))/(LN(2)/2)*BL78*BO78*VLOOKUP('Données projet'!$B$11,Paramètres!$A$1:$I$88,3,0)*0.475*44/12</f>
        <v>4.6816730805294441E-6</v>
      </c>
      <c r="BS78" s="24">
        <f t="shared" si="63"/>
        <v>6.3412513164018458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11.7</v>
      </c>
      <c r="N79" s="14">
        <f>IF('Données projet'!$A$36&gt;35,N78+M79-V78,IF(A79&lt;'Données projet'!$A$36,$K$205^A79,IF(A79='Données projet'!$A$36,'Données projet'!$B$36,N78+M79-V78)))</f>
        <v>672.20000000000027</v>
      </c>
      <c r="O79" s="14">
        <f>N79*VLOOKUP('Données projet'!$B$9,Paramètres!$A$1:$I$88,3,0)*VLOOKUP('Données projet'!$B$9,Paramètres!$A$1:$I$88,5,0)</f>
        <v>375.75980000000015</v>
      </c>
      <c r="P79" s="14">
        <f t="shared" si="87"/>
        <v>86.844600185332411</v>
      </c>
      <c r="Q79" s="22">
        <f t="shared" si="54"/>
        <v>805.70266365612088</v>
      </c>
      <c r="R79" s="62">
        <f t="shared" si="55"/>
        <v>1099.0359969894541</v>
      </c>
      <c r="S79" s="62">
        <f ca="1">AVERAGE(OFFSET($R$3,0,0,'Données projet'!$E$9+1,1))-AVERAGE(OFFSET($H$3,0,0,'Données projet'!$E$9+1,1))</f>
        <v>373.16487843768437</v>
      </c>
      <c r="T79" s="62">
        <f t="shared" si="88"/>
        <v>376.53494965377718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8.2659727149664146</v>
      </c>
      <c r="AA79" s="23">
        <f>EXP(-LN(2)/25)*AA78+(1-EXP(-LN(2)/25))/(LN(2)/25)*Calculateur!V79*Calculateur!X79*VLOOKUP('Données projet'!$B$9,Paramètres!$A$1:$I$88,3,0)*0.475*44/12</f>
        <v>9.1911146100046341</v>
      </c>
      <c r="AB79" s="23">
        <f>EXP(-LN(2)/2)*AB78+(1-EXP(-LN(2)/2))/(LN(2)/2)*V79*Y79*VLOOKUP('Données projet'!$B$9,Paramètres!$A$1:$I$88,3,0)*0.475*44/12</f>
        <v>2.9863929535384678E-6</v>
      </c>
      <c r="AC79" s="24">
        <f t="shared" si="57"/>
        <v>17.457090311364002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7.4</v>
      </c>
      <c r="AI79" s="14">
        <f>IF('Données projet'!$A$62&gt;35,AI78+AH79-AQ78,IF(A79&lt;'Données projet'!$A$62,$AF$205^A79,IF(A79='Données projet'!$A$62,'Données projet'!$B$62,AI78+AH79-AQ78)))</f>
        <v>403.40000000000009</v>
      </c>
      <c r="AJ79" s="14">
        <f>AI79*VLOOKUP('Données projet'!$B$10,Paramètres!$A$1:$I$88,3,0)*VLOOKUP('Données projet'!$B$10,Paramètres!$A$1:$I$88,5,0)</f>
        <v>220.25640000000004</v>
      </c>
      <c r="AK79" s="14">
        <f t="shared" si="89"/>
        <v>54.170609215461226</v>
      </c>
      <c r="AL79" s="22">
        <f t="shared" si="58"/>
        <v>477.96037438359508</v>
      </c>
      <c r="AM79" s="62">
        <f t="shared" si="59"/>
        <v>771.29370771692834</v>
      </c>
      <c r="AN79" s="62">
        <f ca="1">AVERAGE(OFFSET($AM$3,0,0,'Données projet'!$E$10+1,1))-AVERAGE(OFFSET($H$3,0,0,'Données projet'!$E$10+1,1))</f>
        <v>210.04871822652808</v>
      </c>
      <c r="AO79" s="62">
        <f t="shared" si="90"/>
        <v>250.17540614049324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2.9359057423136514</v>
      </c>
      <c r="AV79" s="23">
        <f>EXP(-LN(2)/25)*AV78+(1-EXP(-LN(2)/25))/(LN(2)/25)*Calculateur!AQ79*Calculateur!AS79*VLOOKUP('Données projet'!$B$10,Paramètres!$A$1:$I$88,3,0)*0.475*44/12</f>
        <v>7.7737245827377262</v>
      </c>
      <c r="AW79" s="23">
        <f>EXP(-LN(2)/2)*AW78+(1-EXP(-LN(2)/2))/(LN(2)/2)*AQ79*AT79*VLOOKUP('Données projet'!$B$10,Paramètres!$A$1:$I$88,3,0)*0.475*44/12</f>
        <v>2.5694237634362815E-6</v>
      </c>
      <c r="AX79" s="23">
        <f t="shared" si="60"/>
        <v>10.709632894475142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3.7</v>
      </c>
      <c r="BD79" s="13">
        <f>IF('Données projet'!$A$88&gt;35,BD78+BC79-BL78,IF(A79&lt;'Données projet'!$A$88,$BA$205^A79,IF(A79='Données projet'!$A$88,'Données projet'!$B$88,BD78+BC79-BL78)))</f>
        <v>232.19999999999996</v>
      </c>
      <c r="BE79" s="14">
        <f>BD79*VLOOKUP('Données projet'!$B$11,Paramètres!$A$1:$I$88,3,0)*VLOOKUP('Données projet'!$B$11,Paramètres!$A$1:$I$88,5,0)</f>
        <v>202.84991999999997</v>
      </c>
      <c r="BF79" s="14">
        <f t="shared" si="91"/>
        <v>50.369977187686075</v>
      </c>
      <c r="BG79" s="22">
        <f t="shared" si="61"/>
        <v>441.02465426855321</v>
      </c>
      <c r="BH79" s="62">
        <f t="shared" si="62"/>
        <v>734.35798760188652</v>
      </c>
      <c r="BI79" s="62">
        <f ca="1">AVERAGE(OFFSET($BH$3,0,0,'Données projet'!$E$11+1,1))-AVERAGE(OFFSET($H$3,0,0,'Données projet'!$E$11+1,1))</f>
        <v>223.81948236065614</v>
      </c>
      <c r="BJ79" s="62">
        <f t="shared" si="92"/>
        <v>320.1204011431372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1.2357211735505351</v>
      </c>
      <c r="BQ79" s="23">
        <f>EXP(-LN(2)/25)*BQ78+(1-EXP(-LN(2)/25))/(LN(2)/25)*Calculateur!BL79*Calculateur!BN79*VLOOKUP('Données projet'!$B$11,Paramètres!$A$1:$I$88,3,0)*0.475*44/12</f>
        <v>4.9418740582807503</v>
      </c>
      <c r="BR79" s="23">
        <f>EXP(-LN(2)/2)*BR78+(1-EXP(-LN(2)/2))/(LN(2)/2)*BL79*BO79*VLOOKUP('Données projet'!$B$11,Paramètres!$A$1:$I$88,3,0)*0.475*44/12</f>
        <v>3.3104427825408836E-6</v>
      </c>
      <c r="BS79" s="24">
        <f t="shared" si="63"/>
        <v>6.1775985422740671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11.7</v>
      </c>
      <c r="N80" s="14">
        <f>IF('Données projet'!$A$36&gt;35,N79+M80-V79,IF(A80&lt;'Données projet'!$A$36,$K$205^A80,IF(A80='Données projet'!$A$36,'Données projet'!$B$36,N79+M80-V79)))</f>
        <v>683.90000000000032</v>
      </c>
      <c r="O80" s="14">
        <f>N80*VLOOKUP('Données projet'!$B$9,Paramètres!$A$1:$I$88,3,0)*VLOOKUP('Données projet'!$B$9,Paramètres!$A$1:$I$88,5,0)</f>
        <v>382.30010000000016</v>
      </c>
      <c r="P80" s="14">
        <f t="shared" si="87"/>
        <v>88.178884999359013</v>
      </c>
      <c r="Q80" s="22">
        <f t="shared" si="54"/>
        <v>819.41756554055053</v>
      </c>
      <c r="R80" s="62">
        <f t="shared" si="55"/>
        <v>1112.7508988738839</v>
      </c>
      <c r="S80" s="62">
        <f ca="1">AVERAGE(OFFSET($R$3,0,0,'Données projet'!$E$9+1,1))-AVERAGE(OFFSET($H$3,0,0,'Données projet'!$E$9+1,1))</f>
        <v>373.16487843768437</v>
      </c>
      <c r="T80" s="62">
        <f t="shared" si="88"/>
        <v>376.53494965377718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8.1038820317714482</v>
      </c>
      <c r="AA80" s="23">
        <f>EXP(-LN(2)/25)*AA79+(1-EXP(-LN(2)/25))/(LN(2)/25)*Calculateur!V80*Calculateur!X80*VLOOKUP('Données projet'!$B$9,Paramètres!$A$1:$I$88,3,0)*0.475*44/12</f>
        <v>8.9397830976543471</v>
      </c>
      <c r="AB80" s="23">
        <f>EXP(-LN(2)/2)*AB79+(1-EXP(-LN(2)/2))/(LN(2)/2)*V80*Y80*VLOOKUP('Données projet'!$B$9,Paramètres!$A$1:$I$88,3,0)*0.475*44/12</f>
        <v>2.1116987087347727E-6</v>
      </c>
      <c r="AC80" s="24">
        <f t="shared" si="57"/>
        <v>17.043667241124506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7.4</v>
      </c>
      <c r="AI80" s="14">
        <f>IF('Données projet'!$A$62&gt;35,AI79+AH80-AQ79,IF(A80&lt;'Données projet'!$A$62,$AF$205^A80,IF(A80='Données projet'!$A$62,'Données projet'!$B$62,AI79+AH80-AQ79)))</f>
        <v>410.80000000000007</v>
      </c>
      <c r="AJ80" s="14">
        <f>AI80*VLOOKUP('Données projet'!$B$10,Paramètres!$A$1:$I$88,3,0)*VLOOKUP('Données projet'!$B$10,Paramètres!$A$1:$I$88,5,0)</f>
        <v>224.29680000000005</v>
      </c>
      <c r="AK80" s="14">
        <f t="shared" si="89"/>
        <v>55.047720057866165</v>
      </c>
      <c r="AL80" s="22">
        <f t="shared" si="58"/>
        <v>486.52503910078366</v>
      </c>
      <c r="AM80" s="62">
        <f t="shared" si="59"/>
        <v>779.85837243411697</v>
      </c>
      <c r="AN80" s="62">
        <f ca="1">AVERAGE(OFFSET($AM$3,0,0,'Données projet'!$E$10+1,1))-AVERAGE(OFFSET($H$3,0,0,'Données projet'!$E$10+1,1))</f>
        <v>210.04871822652808</v>
      </c>
      <c r="AO80" s="62">
        <f t="shared" si="90"/>
        <v>250.17540614049324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2.8783344214325641</v>
      </c>
      <c r="AV80" s="23">
        <f>EXP(-LN(2)/25)*AV79+(1-EXP(-LN(2)/25))/(LN(2)/25)*Calculateur!AQ80*Calculateur!AS80*VLOOKUP('Données projet'!$B$10,Paramètres!$A$1:$I$88,3,0)*0.475*44/12</f>
        <v>7.561151675220354</v>
      </c>
      <c r="AW80" s="23">
        <f>EXP(-LN(2)/2)*AW79+(1-EXP(-LN(2)/2))/(LN(2)/2)*AQ80*AT80*VLOOKUP('Données projet'!$B$10,Paramètres!$A$1:$I$88,3,0)*0.475*44/12</f>
        <v>1.8168569668676543E-6</v>
      </c>
      <c r="AX80" s="23">
        <f t="shared" si="60"/>
        <v>10.439487913509884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3.7</v>
      </c>
      <c r="BD80" s="13">
        <f>IF('Données projet'!$A$88&gt;35,BD79+BC80-BL79,IF(A80&lt;'Données projet'!$A$88,$BA$205^A80,IF(A80='Données projet'!$A$88,'Données projet'!$B$88,BD79+BC80-BL79)))</f>
        <v>235.89999999999995</v>
      </c>
      <c r="BE80" s="14">
        <f>BD80*VLOOKUP('Données projet'!$B$11,Paramètres!$A$1:$I$88,3,0)*VLOOKUP('Données projet'!$B$11,Paramètres!$A$1:$I$88,5,0)</f>
        <v>206.08223999999998</v>
      </c>
      <c r="BF80" s="14">
        <f t="shared" si="91"/>
        <v>51.078520483703407</v>
      </c>
      <c r="BG80" s="22">
        <f t="shared" si="61"/>
        <v>447.88832450911667</v>
      </c>
      <c r="BH80" s="62">
        <f t="shared" si="62"/>
        <v>741.22165784244999</v>
      </c>
      <c r="BI80" s="62">
        <f ca="1">AVERAGE(OFFSET($BH$3,0,0,'Données projet'!$E$11+1,1))-AVERAGE(OFFSET($H$3,0,0,'Données projet'!$E$11+1,1))</f>
        <v>223.81948236065614</v>
      </c>
      <c r="BJ80" s="62">
        <f t="shared" si="92"/>
        <v>320.1204011431372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1.2114894350527017</v>
      </c>
      <c r="BQ80" s="23">
        <f>EXP(-LN(2)/25)*BQ79+(1-EXP(-LN(2)/25))/(LN(2)/25)*Calculateur!BL80*Calculateur!BN80*VLOOKUP('Données projet'!$B$11,Paramètres!$A$1:$I$88,3,0)*0.475*44/12</f>
        <v>4.8067382522752009</v>
      </c>
      <c r="BR80" s="23">
        <f>EXP(-LN(2)/2)*BR79+(1-EXP(-LN(2)/2))/(LN(2)/2)*BL80*BO80*VLOOKUP('Données projet'!$B$11,Paramètres!$A$1:$I$88,3,0)*0.475*44/12</f>
        <v>2.340836540264722E-6</v>
      </c>
      <c r="BS80" s="24">
        <f t="shared" si="63"/>
        <v>6.0182300281644432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11.7</v>
      </c>
      <c r="N81" s="14">
        <f>IF('Données projet'!$A$36&gt;35,N80+M81-V80,IF(A81&lt;'Données projet'!$A$36,$K$205^A81,IF(A81='Données projet'!$A$36,'Données projet'!$B$36,N80+M81-V80)))</f>
        <v>695.60000000000036</v>
      </c>
      <c r="O81" s="14">
        <f>N81*VLOOKUP('Données projet'!$B$9,Paramètres!$A$1:$I$88,3,0)*VLOOKUP('Données projet'!$B$9,Paramètres!$A$1:$I$88,5,0)</f>
        <v>388.84040000000022</v>
      </c>
      <c r="P81" s="14">
        <f t="shared" si="87"/>
        <v>89.510515300512282</v>
      </c>
      <c r="Q81" s="22">
        <f t="shared" si="54"/>
        <v>833.12784414839268</v>
      </c>
      <c r="R81" s="62">
        <f t="shared" si="55"/>
        <v>1126.4611774817261</v>
      </c>
      <c r="S81" s="62">
        <f ca="1">AVERAGE(OFFSET($R$3,0,0,'Données projet'!$E$9+1,1))-AVERAGE(OFFSET($H$3,0,0,'Données projet'!$E$9+1,1))</f>
        <v>373.16487843768437</v>
      </c>
      <c r="T81" s="62">
        <f t="shared" si="88"/>
        <v>376.53494965377718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7.9449698480083804</v>
      </c>
      <c r="AA81" s="23">
        <f>EXP(-LN(2)/25)*AA80+(1-EXP(-LN(2)/25))/(LN(2)/25)*Calculateur!V81*Calculateur!X81*VLOOKUP('Données projet'!$B$9,Paramètres!$A$1:$I$88,3,0)*0.475*44/12</f>
        <v>8.6953242587262274</v>
      </c>
      <c r="AB81" s="23">
        <f>EXP(-LN(2)/2)*AB80+(1-EXP(-LN(2)/2))/(LN(2)/2)*V81*Y81*VLOOKUP('Données projet'!$B$9,Paramètres!$A$1:$I$88,3,0)*0.475*44/12</f>
        <v>1.4931964767692339E-6</v>
      </c>
      <c r="AC81" s="24">
        <f t="shared" si="57"/>
        <v>16.640295599931086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7.4</v>
      </c>
      <c r="AI81" s="14">
        <f>IF('Données projet'!$A$62&gt;35,AI80+AH81-AQ80,IF(A81&lt;'Données projet'!$A$62,$AF$205^A81,IF(A81='Données projet'!$A$62,'Données projet'!$B$62,AI80+AH81-AQ80)))</f>
        <v>418.20000000000005</v>
      </c>
      <c r="AJ81" s="14">
        <f>AI81*VLOOKUP('Données projet'!$B$10,Paramètres!$A$1:$I$88,3,0)*VLOOKUP('Données projet'!$B$10,Paramètres!$A$1:$I$88,5,0)</f>
        <v>228.33720000000002</v>
      </c>
      <c r="AK81" s="14">
        <f t="shared" si="89"/>
        <v>55.922993607595103</v>
      </c>
      <c r="AL81" s="22">
        <f t="shared" si="58"/>
        <v>495.08650386656154</v>
      </c>
      <c r="AM81" s="62">
        <f t="shared" si="59"/>
        <v>788.4198371998948</v>
      </c>
      <c r="AN81" s="62">
        <f ca="1">AVERAGE(OFFSET($AM$3,0,0,'Données projet'!$E$10+1,1))-AVERAGE(OFFSET($H$3,0,0,'Données projet'!$E$10+1,1))</f>
        <v>210.04871822652808</v>
      </c>
      <c r="AO81" s="62">
        <f t="shared" si="90"/>
        <v>250.17540614049324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2.8218920390389166</v>
      </c>
      <c r="AV81" s="23">
        <f>EXP(-LN(2)/25)*AV80+(1-EXP(-LN(2)/25))/(LN(2)/25)*Calculateur!AQ81*Calculateur!AS81*VLOOKUP('Données projet'!$B$10,Paramètres!$A$1:$I$88,3,0)*0.475*44/12</f>
        <v>7.3543915850377681</v>
      </c>
      <c r="AW81" s="23">
        <f>EXP(-LN(2)/2)*AW80+(1-EXP(-LN(2)/2))/(LN(2)/2)*AQ81*AT81*VLOOKUP('Données projet'!$B$10,Paramètres!$A$1:$I$88,3,0)*0.475*44/12</f>
        <v>1.284711881718141E-6</v>
      </c>
      <c r="AX81" s="23">
        <f t="shared" si="60"/>
        <v>10.176284908788567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3.7</v>
      </c>
      <c r="BD81" s="13">
        <f>IF('Données projet'!$A$88&gt;35,BD80+BC81-BL80,IF(A81&lt;'Données projet'!$A$88,$BA$205^A81,IF(A81='Données projet'!$A$88,'Données projet'!$B$88,BD80+BC81-BL80)))</f>
        <v>239.59999999999994</v>
      </c>
      <c r="BE81" s="14">
        <f>BD81*VLOOKUP('Données projet'!$B$11,Paramètres!$A$1:$I$88,3,0)*VLOOKUP('Données projet'!$B$11,Paramètres!$A$1:$I$88,5,0)</f>
        <v>209.31456</v>
      </c>
      <c r="BF81" s="14">
        <f t="shared" si="91"/>
        <v>51.78577132421475</v>
      </c>
      <c r="BG81" s="22">
        <f t="shared" si="61"/>
        <v>454.74974372300727</v>
      </c>
      <c r="BH81" s="62">
        <f t="shared" si="62"/>
        <v>748.08307705634058</v>
      </c>
      <c r="BI81" s="62">
        <f ca="1">AVERAGE(OFFSET($BH$3,0,0,'Données projet'!$E$11+1,1))-AVERAGE(OFFSET($H$3,0,0,'Données projet'!$E$11+1,1))</f>
        <v>223.81948236065614</v>
      </c>
      <c r="BJ81" s="62">
        <f t="shared" si="92"/>
        <v>320.1204011431372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1.1877328661669098</v>
      </c>
      <c r="BQ81" s="23">
        <f>EXP(-LN(2)/25)*BQ80+(1-EXP(-LN(2)/25))/(LN(2)/25)*Calculateur!BL81*Calculateur!BN81*VLOOKUP('Données projet'!$B$11,Paramètres!$A$1:$I$88,3,0)*0.475*44/12</f>
        <v>4.6752977419913568</v>
      </c>
      <c r="BR81" s="23">
        <f>EXP(-LN(2)/2)*BR80+(1-EXP(-LN(2)/2))/(LN(2)/2)*BL81*BO81*VLOOKUP('Données projet'!$B$11,Paramètres!$A$1:$I$88,3,0)*0.475*44/12</f>
        <v>1.6552213912704418E-6</v>
      </c>
      <c r="BS81" s="24">
        <f t="shared" si="63"/>
        <v>5.8630322633796581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11.7</v>
      </c>
      <c r="N82" s="14">
        <f>IF('Données projet'!$A$36&gt;35,N81+M82-V81,IF(A82&lt;'Données projet'!$A$36,$K$205^A82,IF(A82='Données projet'!$A$36,'Données projet'!$B$36,N81+M82-V81)))</f>
        <v>707.30000000000041</v>
      </c>
      <c r="O82" s="14">
        <f>N82*VLOOKUP('Données projet'!$B$9,Paramètres!$A$1:$I$88,3,0)*VLOOKUP('Données projet'!$B$9,Paramètres!$A$1:$I$88,5,0)</f>
        <v>395.38070000000027</v>
      </c>
      <c r="P82" s="14">
        <f t="shared" si="87"/>
        <v>90.839540890834357</v>
      </c>
      <c r="Q82" s="22">
        <f t="shared" si="54"/>
        <v>846.83358621820355</v>
      </c>
      <c r="R82" s="62">
        <f t="shared" si="55"/>
        <v>1140.1669195515369</v>
      </c>
      <c r="S82" s="62">
        <f ca="1">AVERAGE(OFFSET($R$3,0,0,'Données projet'!$E$9+1,1))-AVERAGE(OFFSET($H$3,0,0,'Données projet'!$E$9+1,1))</f>
        <v>373.16487843768437</v>
      </c>
      <c r="T82" s="62">
        <f t="shared" si="88"/>
        <v>376.53494965377718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7.7891738352420452</v>
      </c>
      <c r="AA82" s="23">
        <f>EXP(-LN(2)/25)*AA81+(1-EXP(-LN(2)/25))/(LN(2)/25)*Calculateur!V82*Calculateur!X82*VLOOKUP('Données projet'!$B$9,Paramètres!$A$1:$I$88,3,0)*0.475*44/12</f>
        <v>8.4575501596041285</v>
      </c>
      <c r="AB82" s="23">
        <f>EXP(-LN(2)/2)*AB81+(1-EXP(-LN(2)/2))/(LN(2)/2)*V82*Y82*VLOOKUP('Données projet'!$B$9,Paramètres!$A$1:$I$88,3,0)*0.475*44/12</f>
        <v>1.0558493543673864E-6</v>
      </c>
      <c r="AC82" s="24">
        <f t="shared" si="57"/>
        <v>16.246725050695527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7.4</v>
      </c>
      <c r="AI82" s="14">
        <f>IF('Données projet'!$A$62&gt;35,AI81+AH82-AQ81,IF(A82&lt;'Données projet'!$A$62,$AF$205^A82,IF(A82='Données projet'!$A$62,'Données projet'!$B$62,AI81+AH82-AQ81)))</f>
        <v>425.6</v>
      </c>
      <c r="AJ82" s="14">
        <f>AI82*VLOOKUP('Données projet'!$B$10,Paramètres!$A$1:$I$88,3,0)*VLOOKUP('Données projet'!$B$10,Paramètres!$A$1:$I$88,5,0)</f>
        <v>232.37760000000003</v>
      </c>
      <c r="AK82" s="14">
        <f t="shared" si="89"/>
        <v>56.7964661260323</v>
      </c>
      <c r="AL82" s="22">
        <f t="shared" si="58"/>
        <v>503.64483183617295</v>
      </c>
      <c r="AM82" s="62">
        <f t="shared" si="59"/>
        <v>796.97816516950627</v>
      </c>
      <c r="AN82" s="62">
        <f ca="1">AVERAGE(OFFSET($AM$3,0,0,'Données projet'!$E$10+1,1))-AVERAGE(OFFSET($H$3,0,0,'Données projet'!$E$10+1,1))</f>
        <v>210.04871822652808</v>
      </c>
      <c r="AO82" s="62">
        <f t="shared" si="90"/>
        <v>250.17540614049324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2.7665564573375545</v>
      </c>
      <c r="AV82" s="23">
        <f>EXP(-LN(2)/25)*AV81+(1-EXP(-LN(2)/25))/(LN(2)/25)*Calculateur!AQ82*Calculateur!AS82*VLOOKUP('Données projet'!$B$10,Paramètres!$A$1:$I$88,3,0)*0.475*44/12</f>
        <v>7.1532853603942659</v>
      </c>
      <c r="AW82" s="23">
        <f>EXP(-LN(2)/2)*AW81+(1-EXP(-LN(2)/2))/(LN(2)/2)*AQ82*AT82*VLOOKUP('Données projet'!$B$10,Paramètres!$A$1:$I$88,3,0)*0.475*44/12</f>
        <v>9.0842848343382724E-7</v>
      </c>
      <c r="AX82" s="23">
        <f t="shared" si="60"/>
        <v>9.9198427261603026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3.7</v>
      </c>
      <c r="BD82" s="13">
        <f>IF('Données projet'!$A$88&gt;35,BD81+BC82-BL81,IF(A82&lt;'Données projet'!$A$88,$BA$205^A82,IF(A82='Données projet'!$A$88,'Données projet'!$B$88,BD81+BC82-BL81)))</f>
        <v>243.29999999999993</v>
      </c>
      <c r="BE82" s="14">
        <f>BD82*VLOOKUP('Données projet'!$B$11,Paramètres!$A$1:$I$88,3,0)*VLOOKUP('Données projet'!$B$11,Paramètres!$A$1:$I$88,5,0)</f>
        <v>212.54687999999996</v>
      </c>
      <c r="BF82" s="14">
        <f t="shared" si="91"/>
        <v>52.491751972791846</v>
      </c>
      <c r="BG82" s="22">
        <f t="shared" si="61"/>
        <v>461.60895068594567</v>
      </c>
      <c r="BH82" s="62">
        <f t="shared" si="62"/>
        <v>754.94228401927899</v>
      </c>
      <c r="BI82" s="62">
        <f ca="1">AVERAGE(OFFSET($BH$3,0,0,'Données projet'!$E$11+1,1))-AVERAGE(OFFSET($H$3,0,0,'Données projet'!$E$11+1,1))</f>
        <v>223.81948236065614</v>
      </c>
      <c r="BJ82" s="62">
        <f t="shared" si="92"/>
        <v>320.1204011431372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1.1644421491068919</v>
      </c>
      <c r="BQ82" s="23">
        <f>EXP(-LN(2)/25)*BQ81+(1-EXP(-LN(2)/25))/(LN(2)/25)*Calculateur!BL82*Calculateur!BN82*VLOOKUP('Données projet'!$B$11,Paramètres!$A$1:$I$88,3,0)*0.475*44/12</f>
        <v>4.5474514793733807</v>
      </c>
      <c r="BR82" s="23">
        <f>EXP(-LN(2)/2)*BR81+(1-EXP(-LN(2)/2))/(LN(2)/2)*BL82*BO82*VLOOKUP('Données projet'!$B$11,Paramètres!$A$1:$I$88,3,0)*0.475*44/12</f>
        <v>1.170418270132361E-6</v>
      </c>
      <c r="BS82" s="24">
        <f t="shared" si="63"/>
        <v>5.711894798898542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719</v>
      </c>
      <c r="L83" s="13">
        <f>VLOOKUP(A83,'Données projet'!$A$35:$I$55,9,0)</f>
        <v>11.7</v>
      </c>
      <c r="M83" s="13">
        <f t="array" ref="M83">INDEX(L:L,MIN(IF(ISNUMBER(L83:L279),ROW(L83:L279),"")))</f>
        <v>11.7</v>
      </c>
      <c r="N83" s="14">
        <f>IF('Données projet'!$A$36&gt;35,N82+M83-V82,IF(A83&lt;'Données projet'!$A$36,$K$205^A83,IF(A83='Données projet'!$A$36,'Données projet'!$B$36,N82+M83-V82)))</f>
        <v>719.00000000000045</v>
      </c>
      <c r="O83" s="14">
        <f>N83*VLOOKUP('Données projet'!$B$9,Paramètres!$A$1:$I$88,3,0)*VLOOKUP('Données projet'!$B$9,Paramètres!$A$1:$I$88,5,0)</f>
        <v>401.92100000000028</v>
      </c>
      <c r="P83" s="14">
        <f t="shared" si="87"/>
        <v>92.166009830286299</v>
      </c>
      <c r="Q83" s="22">
        <f t="shared" si="54"/>
        <v>860.53487545441567</v>
      </c>
      <c r="R83" s="62">
        <f t="shared" si="55"/>
        <v>1153.8682087877489</v>
      </c>
      <c r="S83" s="62">
        <f ca="1">AVERAGE(OFFSET($R$3,0,0,'Données projet'!$E$9+1,1))-AVERAGE(OFFSET($H$3,0,0,'Données projet'!$E$9+1,1))</f>
        <v>373.16487843768437</v>
      </c>
      <c r="T83" s="62">
        <f t="shared" si="88"/>
        <v>376.53494965377718</v>
      </c>
      <c r="U83" s="16">
        <f>IF(ISNA(VLOOKUP(A83,'Données projet'!$A$35:$I$55,3,0)),0,VLOOKUP(A83,'Données projet'!$A$35:$I$55,3,0))</f>
        <v>8</v>
      </c>
      <c r="V83" s="16">
        <f>IF(ISNA(VLOOKUP(A83,'Données projet'!$A$35:$I$55,4,0)),0,VLOOKUP(A83,'Données projet'!$A$35:$I$55,4,0))</f>
        <v>719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7.6364328872598728</v>
      </c>
      <c r="AA83" s="23">
        <f>EXP(-LN(2)/25)*AA82+(1-EXP(-LN(2)/25))/(LN(2)/25)*Calculateur!V83*Calculateur!X83*VLOOKUP('Données projet'!$B$9,Paramètres!$A$1:$I$88,3,0)*0.475*44/12</f>
        <v>8.2262780057265203</v>
      </c>
      <c r="AB83" s="23">
        <f>EXP(-LN(2)/2)*AB82+(1-EXP(-LN(2)/2))/(LN(2)/2)*V83*Y83*VLOOKUP('Données projet'!$B$9,Paramètres!$A$1:$I$88,3,0)*0.475*44/12</f>
        <v>7.4659823838461695E-7</v>
      </c>
      <c r="AC83" s="24">
        <f t="shared" si="57"/>
        <v>15.862711639584631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433</v>
      </c>
      <c r="AG83" s="13">
        <f>VLOOKUP(A83,'Données projet'!$A$61:$I$81,9,0)</f>
        <v>7.4</v>
      </c>
      <c r="AH83" s="13">
        <f t="array" ref="AH83">INDEX(AG:AG,MIN(IF(ISNUMBER(AG83:AG279),ROW(AG83:AG279),"")))</f>
        <v>7.4</v>
      </c>
      <c r="AI83" s="14">
        <f>IF('Données projet'!$A$62&gt;35,AI82+AH83-AQ82,IF(A83&lt;'Données projet'!$A$62,$AF$205^A83,IF(A83='Données projet'!$A$62,'Données projet'!$B$62,AI82+AH83-AQ82)))</f>
        <v>433</v>
      </c>
      <c r="AJ83" s="14">
        <f>AI83*VLOOKUP('Données projet'!$B$10,Paramètres!$A$1:$I$88,3,0)*VLOOKUP('Données projet'!$B$10,Paramètres!$A$1:$I$88,5,0)</f>
        <v>236.41799999999998</v>
      </c>
      <c r="AK83" s="14">
        <f t="shared" si="89"/>
        <v>57.668172541352746</v>
      </c>
      <c r="AL83" s="22">
        <f t="shared" si="58"/>
        <v>512.20008384285597</v>
      </c>
      <c r="AM83" s="62">
        <f t="shared" si="59"/>
        <v>805.53341717618923</v>
      </c>
      <c r="AN83" s="62">
        <f ca="1">AVERAGE(OFFSET($AM$3,0,0,'Données projet'!$E$10+1,1))-AVERAGE(OFFSET($H$3,0,0,'Données projet'!$E$10+1,1))</f>
        <v>210.04871822652808</v>
      </c>
      <c r="AO83" s="62">
        <f t="shared" si="90"/>
        <v>250.17540614049324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433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2.712305972641984</v>
      </c>
      <c r="AV83" s="23">
        <f>EXP(-LN(2)/25)*AV82+(1-EXP(-LN(2)/25))/(LN(2)/25)*Calculateur!AQ83*Calculateur!AS83*VLOOKUP('Données projet'!$B$10,Paramètres!$A$1:$I$88,3,0)*0.475*44/12</f>
        <v>6.9576783960393564</v>
      </c>
      <c r="AW83" s="23">
        <f>EXP(-LN(2)/2)*AW82+(1-EXP(-LN(2)/2))/(LN(2)/2)*AQ83*AT83*VLOOKUP('Données projet'!$B$10,Paramètres!$A$1:$I$88,3,0)*0.475*44/12</f>
        <v>6.4235594085907048E-7</v>
      </c>
      <c r="AX83" s="23">
        <f t="shared" si="60"/>
        <v>9.6699850110372818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247</v>
      </c>
      <c r="BB83" s="13">
        <f>VLOOKUP(A83,'Données projet'!$A$87:$I$107,9,0)</f>
        <v>3.7</v>
      </c>
      <c r="BC83" s="13">
        <f t="array" ref="BC83">INDEX(BB:BB,MIN(IF(ISNUMBER(BB83:BB279),ROW(BB83:BB279),"")))</f>
        <v>3.7</v>
      </c>
      <c r="BD83" s="13">
        <f>IF('Données projet'!$A$88&gt;35,BD82+BC83-BL82,IF(A83&lt;'Données projet'!$A$88,$BA$205^A83,IF(A83='Données projet'!$A$88,'Données projet'!$B$88,BD82+BC83-BL82)))</f>
        <v>246.99999999999991</v>
      </c>
      <c r="BE83" s="14">
        <f>BD83*VLOOKUP('Données projet'!$B$11,Paramètres!$A$1:$I$88,3,0)*VLOOKUP('Données projet'!$B$11,Paramètres!$A$1:$I$88,5,0)</f>
        <v>215.77919999999995</v>
      </c>
      <c r="BF83" s="14">
        <f t="shared" si="91"/>
        <v>53.196483976998607</v>
      </c>
      <c r="BG83" s="22">
        <f t="shared" si="61"/>
        <v>468.4659829266057</v>
      </c>
      <c r="BH83" s="62">
        <f t="shared" si="62"/>
        <v>761.79931625993902</v>
      </c>
      <c r="BI83" s="62">
        <f ca="1">AVERAGE(OFFSET($BH$3,0,0,'Données projet'!$E$11+1,1))-AVERAGE(OFFSET($H$3,0,0,'Données projet'!$E$11+1,1))</f>
        <v>223.81948236065614</v>
      </c>
      <c r="BJ83" s="62">
        <f t="shared" si="92"/>
        <v>320.1204011431372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1.1416081488024863</v>
      </c>
      <c r="BQ83" s="23">
        <f>EXP(-LN(2)/25)*BQ82+(1-EXP(-LN(2)/25))/(LN(2)/25)*Calculateur!BL83*Calculateur!BN83*VLOOKUP('Données projet'!$B$11,Paramètres!$A$1:$I$88,3,0)*0.475*44/12</f>
        <v>4.4231011795298354</v>
      </c>
      <c r="BR83" s="23">
        <f>EXP(-LN(2)/2)*BR82+(1-EXP(-LN(2)/2))/(LN(2)/2)*BL83*BO83*VLOOKUP('Données projet'!$B$11,Paramètres!$A$1:$I$88,3,0)*0.475*44/12</f>
        <v>8.2761069563522089E-7</v>
      </c>
      <c r="BS83" s="24">
        <f t="shared" si="63"/>
        <v>5.5647101559430174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4.5474735088646412E-13</v>
      </c>
      <c r="O84" s="14">
        <f>N84*VLOOKUP('Données projet'!$B$9,Paramètres!$A$1:$I$88,3,0)*VLOOKUP('Données projet'!$B$9,Paramètres!$A$1:$I$88,5,0)</f>
        <v>2.5420376914553347E-13</v>
      </c>
      <c r="P84" s="14">
        <f t="shared" si="87"/>
        <v>3.4258699088369875E-12</v>
      </c>
      <c r="Q84" s="22">
        <f t="shared" si="54"/>
        <v>6.4094616558195571E-12</v>
      </c>
      <c r="R84" s="62">
        <f t="shared" si="55"/>
        <v>293.33333333333974</v>
      </c>
      <c r="S84" s="62">
        <f ca="1">AVERAGE(OFFSET($R$3,0,0,'Données projet'!$E$9+1,1))-AVERAGE(OFFSET($H$3,0,0,'Données projet'!$E$9+1,1))</f>
        <v>373.16487843768437</v>
      </c>
      <c r="T84" s="62">
        <f t="shared" si="88"/>
        <v>376.53494965377718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7.4866870961048519</v>
      </c>
      <c r="AA84" s="23">
        <f>EXP(-LN(2)/25)*AA83+(1-EXP(-LN(2)/25))/(LN(2)/25)*Calculateur!V84*Calculateur!X84*VLOOKUP('Données projet'!$B$9,Paramètres!$A$1:$I$88,3,0)*0.475*44/12</f>
        <v>8.0013300010587702</v>
      </c>
      <c r="AB84" s="23">
        <f>EXP(-LN(2)/2)*AB83+(1-EXP(-LN(2)/2))/(LN(2)/2)*V84*Y84*VLOOKUP('Données projet'!$B$9,Paramètres!$A$1:$I$88,3,0)*0.475*44/12</f>
        <v>5.2792467718369318E-7</v>
      </c>
      <c r="AC84" s="24">
        <f t="shared" si="57"/>
        <v>15.488017625088299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projet'!$B$10,Paramètres!$A$1:$I$88,3,0)*VLOOKUP('Données projet'!$B$10,Paramètres!$A$1:$I$88,5,0)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210.04871822652808</v>
      </c>
      <c r="AO84" s="62">
        <f t="shared" si="90"/>
        <v>250.17540614049324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2.6591193068617653</v>
      </c>
      <c r="AV84" s="23">
        <f>EXP(-LN(2)/25)*AV83+(1-EXP(-LN(2)/25))/(LN(2)/25)*Calculateur!AQ84*Calculateur!AS84*VLOOKUP('Données projet'!$B$10,Paramètres!$A$1:$I$88,3,0)*0.475*44/12</f>
        <v>6.7674203144112557</v>
      </c>
      <c r="AW84" s="23">
        <f>EXP(-LN(2)/2)*AW83+(1-EXP(-LN(2)/2))/(LN(2)/2)*AQ84*AT84*VLOOKUP('Données projet'!$B$10,Paramètres!$A$1:$I$88,3,0)*0.475*44/12</f>
        <v>4.5421424171691362E-7</v>
      </c>
      <c r="AX84" s="23">
        <f t="shared" si="60"/>
        <v>9.4265400754872619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2.9</v>
      </c>
      <c r="BD84" s="13">
        <f>IF('Données projet'!$A$88&gt;35,BD83+BC84-BL83,IF(A84&lt;'Données projet'!$A$88,$BA$205^A84,IF(A84='Données projet'!$A$88,'Données projet'!$B$88,BD83+BC84-BL83)))</f>
        <v>221.89999999999992</v>
      </c>
      <c r="BE84" s="14">
        <f>BD84*VLOOKUP('Données projet'!$B$11,Paramètres!$A$1:$I$88,3,0)*VLOOKUP('Données projet'!$B$11,Paramètres!$A$1:$I$88,5,0)</f>
        <v>193.85183999999995</v>
      </c>
      <c r="BF84" s="14">
        <f t="shared" si="91"/>
        <v>48.390542715745532</v>
      </c>
      <c r="BG84" s="22">
        <f t="shared" si="61"/>
        <v>421.90548322992339</v>
      </c>
      <c r="BH84" s="62">
        <f t="shared" si="62"/>
        <v>715.23881656325671</v>
      </c>
      <c r="BI84" s="62">
        <f ca="1">AVERAGE(OFFSET($BH$3,0,0,'Données projet'!$E$11+1,1))-AVERAGE(OFFSET($H$3,0,0,'Données projet'!$E$11+1,1))</f>
        <v>223.81948236065614</v>
      </c>
      <c r="BJ84" s="62">
        <f t="shared" si="92"/>
        <v>320.1204011431372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1.1192219093166851</v>
      </c>
      <c r="BQ84" s="23">
        <f>EXP(-LN(2)/25)*BQ83+(1-EXP(-LN(2)/25))/(LN(2)/25)*Calculateur!BL84*Calculateur!BN84*VLOOKUP('Données projet'!$B$11,Paramètres!$A$1:$I$88,3,0)*0.475*44/12</f>
        <v>4.3021512451748105</v>
      </c>
      <c r="BR84" s="23">
        <f>EXP(-LN(2)/2)*BR83+(1-EXP(-LN(2)/2))/(LN(2)/2)*BL84*BO84*VLOOKUP('Données projet'!$B$11,Paramètres!$A$1:$I$88,3,0)*0.475*44/12</f>
        <v>5.8520913506618051E-7</v>
      </c>
      <c r="BS84" s="24">
        <f t="shared" si="63"/>
        <v>5.4213737397006314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4.5474735088646412E-13</v>
      </c>
      <c r="O85" s="14">
        <f>N85*VLOOKUP('Données projet'!$B$9,Paramètres!$A$1:$I$88,3,0)*VLOOKUP('Données projet'!$B$9,Paramètres!$A$1:$I$88,5,0)</f>
        <v>2.5420376914553347E-13</v>
      </c>
      <c r="P85" s="14">
        <f t="shared" si="87"/>
        <v>3.4258699088369875E-12</v>
      </c>
      <c r="Q85" s="22">
        <f t="shared" si="54"/>
        <v>6.4094616558195571E-12</v>
      </c>
      <c r="R85" s="62">
        <f t="shared" si="55"/>
        <v>293.33333333333974</v>
      </c>
      <c r="S85" s="62">
        <f ca="1">AVERAGE(OFFSET($R$3,0,0,'Données projet'!$E$9+1,1))-AVERAGE(OFFSET($H$3,0,0,'Données projet'!$E$9+1,1))</f>
        <v>373.16487843768437</v>
      </c>
      <c r="T85" s="62">
        <f t="shared" si="88"/>
        <v>376.53494965377718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7.3398777285784673</v>
      </c>
      <c r="AA85" s="23">
        <f>EXP(-LN(2)/25)*AA84+(1-EXP(-LN(2)/25))/(LN(2)/25)*Calculateur!V85*Calculateur!X85*VLOOKUP('Données projet'!$B$9,Paramètres!$A$1:$I$88,3,0)*0.475*44/12</f>
        <v>7.7825332114081611</v>
      </c>
      <c r="AB85" s="23">
        <f>EXP(-LN(2)/2)*AB84+(1-EXP(-LN(2)/2))/(LN(2)/2)*V85*Y85*VLOOKUP('Données projet'!$B$9,Paramètres!$A$1:$I$88,3,0)*0.475*44/12</f>
        <v>3.7329911919230848E-7</v>
      </c>
      <c r="AC85" s="24">
        <f t="shared" si="57"/>
        <v>15.122411313285749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projet'!$B$10,Paramètres!$A$1:$I$88,3,0)*VLOOKUP('Données projet'!$B$10,Paramètres!$A$1:$I$88,5,0)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210.04871822652808</v>
      </c>
      <c r="AO85" s="62">
        <f t="shared" si="90"/>
        <v>250.17540614049324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2.6069755991568337</v>
      </c>
      <c r="AV85" s="23">
        <f>EXP(-LN(2)/25)*AV84+(1-EXP(-LN(2)/25))/(LN(2)/25)*Calculateur!AQ85*Calculateur!AS85*VLOOKUP('Données projet'!$B$10,Paramètres!$A$1:$I$88,3,0)*0.475*44/12</f>
        <v>6.5823648500305127</v>
      </c>
      <c r="AW85" s="23">
        <f>EXP(-LN(2)/2)*AW84+(1-EXP(-LN(2)/2))/(LN(2)/2)*AQ85*AT85*VLOOKUP('Données projet'!$B$10,Paramètres!$A$1:$I$88,3,0)*0.475*44/12</f>
        <v>3.2117797042953524E-7</v>
      </c>
      <c r="AX85" s="23">
        <f t="shared" si="60"/>
        <v>9.189340770365316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2.9</v>
      </c>
      <c r="BD85" s="13">
        <f>IF('Données projet'!$A$88&gt;35,BD84+BC85-BL84,IF(A85&lt;'Données projet'!$A$88,$BA$205^A85,IF(A85='Données projet'!$A$88,'Données projet'!$B$88,BD84+BC85-BL84)))</f>
        <v>224.79999999999993</v>
      </c>
      <c r="BE85" s="14">
        <f>BD85*VLOOKUP('Données projet'!$B$11,Paramètres!$A$1:$I$88,3,0)*VLOOKUP('Données projet'!$B$11,Paramètres!$A$1:$I$88,5,0)</f>
        <v>196.38527999999997</v>
      </c>
      <c r="BF85" s="14">
        <f t="shared" si="91"/>
        <v>48.948920378863868</v>
      </c>
      <c r="BG85" s="22">
        <f t="shared" si="61"/>
        <v>427.29039899318786</v>
      </c>
      <c r="BH85" s="62">
        <f t="shared" si="62"/>
        <v>720.62373232652112</v>
      </c>
      <c r="BI85" s="62">
        <f ca="1">AVERAGE(OFFSET($BH$3,0,0,'Données projet'!$E$11+1,1))-AVERAGE(OFFSET($H$3,0,0,'Données projet'!$E$11+1,1))</f>
        <v>223.81948236065614</v>
      </c>
      <c r="BJ85" s="62">
        <f t="shared" si="92"/>
        <v>320.1204011431372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1.0972746503329427</v>
      </c>
      <c r="BQ85" s="23">
        <f>EXP(-LN(2)/25)*BQ84+(1-EXP(-LN(2)/25))/(LN(2)/25)*Calculateur!BL85*Calculateur!BN85*VLOOKUP('Données projet'!$B$11,Paramètres!$A$1:$I$88,3,0)*0.475*44/12</f>
        <v>4.1845086931352045</v>
      </c>
      <c r="BR85" s="23">
        <f>EXP(-LN(2)/2)*BR84+(1-EXP(-LN(2)/2))/(LN(2)/2)*BL85*BO85*VLOOKUP('Données projet'!$B$11,Paramètres!$A$1:$I$88,3,0)*0.475*44/12</f>
        <v>4.1380534781761044E-7</v>
      </c>
      <c r="BS85" s="24">
        <f t="shared" si="63"/>
        <v>5.2817837572734954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4.5474735088646412E-13</v>
      </c>
      <c r="O86" s="14">
        <f>N86*VLOOKUP('Données projet'!$B$9,Paramètres!$A$1:$I$88,3,0)*VLOOKUP('Données projet'!$B$9,Paramètres!$A$1:$I$88,5,0)</f>
        <v>2.5420376914553347E-13</v>
      </c>
      <c r="P86" s="14">
        <f t="shared" si="87"/>
        <v>3.4258699088369875E-12</v>
      </c>
      <c r="Q86" s="22">
        <f t="shared" si="54"/>
        <v>6.4094616558195571E-12</v>
      </c>
      <c r="R86" s="62">
        <f t="shared" si="55"/>
        <v>293.33333333333974</v>
      </c>
      <c r="S86" s="62">
        <f ca="1">AVERAGE(OFFSET($R$3,0,0,'Données projet'!$E$9+1,1))-AVERAGE(OFFSET($H$3,0,0,'Données projet'!$E$9+1,1))</f>
        <v>373.16487843768437</v>
      </c>
      <c r="T86" s="62">
        <f t="shared" si="88"/>
        <v>376.53494965377718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7.1959472032044021</v>
      </c>
      <c r="AA86" s="23">
        <f>EXP(-LN(2)/25)*AA85+(1-EXP(-LN(2)/25))/(LN(2)/25)*Calculateur!V86*Calculateur!X86*VLOOKUP('Données projet'!$B$9,Paramètres!$A$1:$I$88,3,0)*0.475*44/12</f>
        <v>7.569719431476571</v>
      </c>
      <c r="AB86" s="23">
        <f>EXP(-LN(2)/2)*AB85+(1-EXP(-LN(2)/2))/(LN(2)/2)*V86*Y86*VLOOKUP('Données projet'!$B$9,Paramètres!$A$1:$I$88,3,0)*0.475*44/12</f>
        <v>2.6396233859184659E-7</v>
      </c>
      <c r="AC86" s="24">
        <f t="shared" si="57"/>
        <v>14.76566689864331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projet'!$B$10,Paramètres!$A$1:$I$88,3,0)*VLOOKUP('Données projet'!$B$10,Paramètres!$A$1:$I$88,5,0)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210.04871822652808</v>
      </c>
      <c r="AO86" s="62">
        <f t="shared" si="90"/>
        <v>250.17540614049324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2.5558543977554744</v>
      </c>
      <c r="AV86" s="23">
        <f>EXP(-LN(2)/25)*AV85+(1-EXP(-LN(2)/25))/(LN(2)/25)*Calculateur!AQ86*Calculateur!AS86*VLOOKUP('Données projet'!$B$10,Paramètres!$A$1:$I$88,3,0)*0.475*44/12</f>
        <v>6.4023697370549053</v>
      </c>
      <c r="AW86" s="23">
        <f>EXP(-LN(2)/2)*AW85+(1-EXP(-LN(2)/2))/(LN(2)/2)*AQ86*AT86*VLOOKUP('Données projet'!$B$10,Paramètres!$A$1:$I$88,3,0)*0.475*44/12</f>
        <v>2.2710712085845681E-7</v>
      </c>
      <c r="AX86" s="23">
        <f t="shared" si="60"/>
        <v>8.9582243619174999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2.9</v>
      </c>
      <c r="BD86" s="13">
        <f>IF('Données projet'!$A$88&gt;35,BD85+BC86-BL85,IF(A86&lt;'Données projet'!$A$88,$BA$205^A86,IF(A86='Données projet'!$A$88,'Données projet'!$B$88,BD85+BC86-BL85)))</f>
        <v>227.69999999999993</v>
      </c>
      <c r="BE86" s="14">
        <f>BD86*VLOOKUP('Données projet'!$B$11,Paramètres!$A$1:$I$88,3,0)*VLOOKUP('Données projet'!$B$11,Paramètres!$A$1:$I$88,5,0)</f>
        <v>198.91871999999995</v>
      </c>
      <c r="BF86" s="14">
        <f t="shared" si="91"/>
        <v>49.506460185916012</v>
      </c>
      <c r="BG86" s="22">
        <f t="shared" si="61"/>
        <v>432.67385549047032</v>
      </c>
      <c r="BH86" s="62">
        <f t="shared" si="62"/>
        <v>726.00718882380363</v>
      </c>
      <c r="BI86" s="62">
        <f ca="1">AVERAGE(OFFSET($BH$3,0,0,'Données projet'!$E$11+1,1))-AVERAGE(OFFSET($H$3,0,0,'Données projet'!$E$11+1,1))</f>
        <v>223.81948236065614</v>
      </c>
      <c r="BJ86" s="62">
        <f t="shared" si="92"/>
        <v>320.1204011431372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1.0757577637113653</v>
      </c>
      <c r="BQ86" s="23">
        <f>EXP(-LN(2)/25)*BQ85+(1-EXP(-LN(2)/25))/(LN(2)/25)*Calculateur!BL86*Calculateur!BN86*VLOOKUP('Données projet'!$B$11,Paramètres!$A$1:$I$88,3,0)*0.475*44/12</f>
        <v>4.070083082867674</v>
      </c>
      <c r="BR86" s="23">
        <f>EXP(-LN(2)/2)*BR85+(1-EXP(-LN(2)/2))/(LN(2)/2)*BL86*BO86*VLOOKUP('Données projet'!$B$11,Paramètres!$A$1:$I$88,3,0)*0.475*44/12</f>
        <v>2.9260456753309025E-7</v>
      </c>
      <c r="BS86" s="24">
        <f t="shared" si="63"/>
        <v>5.1458411391836067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4.5474735088646412E-13</v>
      </c>
      <c r="O87" s="14">
        <f>N87*VLOOKUP('Données projet'!$B$9,Paramètres!$A$1:$I$88,3,0)*VLOOKUP('Données projet'!$B$9,Paramètres!$A$1:$I$88,5,0)</f>
        <v>2.5420376914553347E-13</v>
      </c>
      <c r="P87" s="14">
        <f t="shared" si="87"/>
        <v>3.4258699088369875E-12</v>
      </c>
      <c r="Q87" s="22">
        <f t="shared" si="54"/>
        <v>6.4094616558195571E-12</v>
      </c>
      <c r="R87" s="62">
        <f t="shared" si="55"/>
        <v>293.33333333333974</v>
      </c>
      <c r="S87" s="62">
        <f ca="1">AVERAGE(OFFSET($R$3,0,0,'Données projet'!$E$9+1,1))-AVERAGE(OFFSET($H$3,0,0,'Données projet'!$E$9+1,1))</f>
        <v>373.16487843768437</v>
      </c>
      <c r="T87" s="62">
        <f t="shared" si="88"/>
        <v>376.53494965377718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7.0548390676439707</v>
      </c>
      <c r="AA87" s="23">
        <f>EXP(-LN(2)/25)*AA86+(1-EXP(-LN(2)/25))/(LN(2)/25)*Calculateur!V87*Calculateur!X87*VLOOKUP('Données projet'!$B$9,Paramètres!$A$1:$I$88,3,0)*0.475*44/12</f>
        <v>7.3627250555485997</v>
      </c>
      <c r="AB87" s="23">
        <f>EXP(-LN(2)/2)*AB86+(1-EXP(-LN(2)/2))/(LN(2)/2)*V87*Y87*VLOOKUP('Données projet'!$B$9,Paramètres!$A$1:$I$88,3,0)*0.475*44/12</f>
        <v>1.8664955959615424E-7</v>
      </c>
      <c r="AC87" s="24">
        <f t="shared" si="57"/>
        <v>14.417564309842129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projet'!$B$10,Paramètres!$A$1:$I$88,3,0)*VLOOKUP('Données projet'!$B$10,Paramètres!$A$1:$I$88,5,0)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210.04871822652808</v>
      </c>
      <c r="AO87" s="62">
        <f t="shared" si="90"/>
        <v>250.17540614049324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2.5057356519327421</v>
      </c>
      <c r="AV87" s="23">
        <f>EXP(-LN(2)/25)*AV86+(1-EXP(-LN(2)/25))/(LN(2)/25)*Calculateur!AQ87*Calculateur!AS87*VLOOKUP('Données projet'!$B$10,Paramètres!$A$1:$I$88,3,0)*0.475*44/12</f>
        <v>6.2272965999091472</v>
      </c>
      <c r="AW87" s="23">
        <f>EXP(-LN(2)/2)*AW86+(1-EXP(-LN(2)/2))/(LN(2)/2)*AQ87*AT87*VLOOKUP('Données projet'!$B$10,Paramètres!$A$1:$I$88,3,0)*0.475*44/12</f>
        <v>1.6058898521476762E-7</v>
      </c>
      <c r="AX87" s="23">
        <f t="shared" si="60"/>
        <v>8.7330324124308749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2.9</v>
      </c>
      <c r="BD87" s="13">
        <f>IF('Données projet'!$A$88&gt;35,BD86+BC87-BL86,IF(A87&lt;'Données projet'!$A$88,$BA$205^A87,IF(A87='Données projet'!$A$88,'Données projet'!$B$88,BD86+BC87-BL86)))</f>
        <v>230.59999999999994</v>
      </c>
      <c r="BE87" s="14">
        <f>BD87*VLOOKUP('Données projet'!$B$11,Paramètres!$A$1:$I$88,3,0)*VLOOKUP('Données projet'!$B$11,Paramètres!$A$1:$I$88,5,0)</f>
        <v>201.45215999999996</v>
      </c>
      <c r="BF87" s="14">
        <f t="shared" si="91"/>
        <v>50.063174041807549</v>
      </c>
      <c r="BG87" s="22">
        <f t="shared" si="61"/>
        <v>438.05587345614805</v>
      </c>
      <c r="BH87" s="62">
        <f t="shared" si="62"/>
        <v>731.38920678948136</v>
      </c>
      <c r="BI87" s="62">
        <f ca="1">AVERAGE(OFFSET($BH$3,0,0,'Données projet'!$E$11+1,1))-AVERAGE(OFFSET($H$3,0,0,'Données projet'!$E$11+1,1))</f>
        <v>223.81948236065614</v>
      </c>
      <c r="BJ87" s="62">
        <f t="shared" si="92"/>
        <v>320.1204011431372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1.0546628101124322</v>
      </c>
      <c r="BQ87" s="23">
        <f>EXP(-LN(2)/25)*BQ86+(1-EXP(-LN(2)/25))/(LN(2)/25)*Calculateur!BL87*Calculateur!BN87*VLOOKUP('Données projet'!$B$11,Paramètres!$A$1:$I$88,3,0)*0.475*44/12</f>
        <v>3.9587864469302905</v>
      </c>
      <c r="BR87" s="23">
        <f>EXP(-LN(2)/2)*BR86+(1-EXP(-LN(2)/2))/(LN(2)/2)*BL87*BO87*VLOOKUP('Données projet'!$B$11,Paramètres!$A$1:$I$88,3,0)*0.475*44/12</f>
        <v>2.0690267390880522E-7</v>
      </c>
      <c r="BS87" s="24">
        <f t="shared" si="63"/>
        <v>5.0134494639453964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4.5474735088646412E-13</v>
      </c>
      <c r="O88" s="14">
        <f>N88*VLOOKUP('Données projet'!$B$9,Paramètres!$A$1:$I$88,3,0)*VLOOKUP('Données projet'!$B$9,Paramètres!$A$1:$I$88,5,0)</f>
        <v>2.5420376914553347E-13</v>
      </c>
      <c r="P88" s="14">
        <f t="shared" si="87"/>
        <v>3.4258699088369875E-12</v>
      </c>
      <c r="Q88" s="22">
        <f t="shared" si="54"/>
        <v>6.4094616558195571E-12</v>
      </c>
      <c r="R88" s="62">
        <f t="shared" si="55"/>
        <v>293.33333333333974</v>
      </c>
      <c r="S88" s="62">
        <f ca="1">AVERAGE(OFFSET($R$3,0,0,'Données projet'!$E$9+1,1))-AVERAGE(OFFSET($H$3,0,0,'Données projet'!$E$9+1,1))</f>
        <v>373.16487843768437</v>
      </c>
      <c r="T88" s="62">
        <f t="shared" si="88"/>
        <v>376.53494965377718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6.9164979765544148</v>
      </c>
      <c r="AA88" s="23">
        <f>EXP(-LN(2)/25)*AA87+(1-EXP(-LN(2)/25))/(LN(2)/25)*Calculateur!V88*Calculateur!X88*VLOOKUP('Données projet'!$B$9,Paramètres!$A$1:$I$88,3,0)*0.475*44/12</f>
        <v>7.1613909517157399</v>
      </c>
      <c r="AB88" s="23">
        <f>EXP(-LN(2)/2)*AB87+(1-EXP(-LN(2)/2))/(LN(2)/2)*V88*Y88*VLOOKUP('Données projet'!$B$9,Paramètres!$A$1:$I$88,3,0)*0.475*44/12</f>
        <v>1.319811692959233E-7</v>
      </c>
      <c r="AC88" s="24">
        <f t="shared" si="57"/>
        <v>14.077889060251325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projet'!$B$10,Paramètres!$A$1:$I$88,3,0)*VLOOKUP('Données projet'!$B$10,Paramètres!$A$1:$I$88,5,0)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210.04871822652808</v>
      </c>
      <c r="AO88" s="62">
        <f t="shared" si="90"/>
        <v>250.17540614049324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2.4565997041461767</v>
      </c>
      <c r="AV88" s="23">
        <f>EXP(-LN(2)/25)*AV87+(1-EXP(-LN(2)/25))/(LN(2)/25)*Calculateur!AQ88*Calculateur!AS88*VLOOKUP('Données projet'!$B$10,Paramètres!$A$1:$I$88,3,0)*0.475*44/12</f>
        <v>6.0570108469053361</v>
      </c>
      <c r="AW88" s="23">
        <f>EXP(-LN(2)/2)*AW87+(1-EXP(-LN(2)/2))/(LN(2)/2)*AQ88*AT88*VLOOKUP('Données projet'!$B$10,Paramètres!$A$1:$I$88,3,0)*0.475*44/12</f>
        <v>1.135535604292284E-7</v>
      </c>
      <c r="AX88" s="23">
        <f t="shared" si="60"/>
        <v>8.5136106646050749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2.9</v>
      </c>
      <c r="BD88" s="13">
        <f>IF('Données projet'!$A$88&gt;35,BD87+BC88-BL87,IF(A88&lt;'Données projet'!$A$88,$BA$205^A88,IF(A88='Données projet'!$A$88,'Données projet'!$B$88,BD87+BC88-BL87)))</f>
        <v>233.49999999999994</v>
      </c>
      <c r="BE88" s="14">
        <f>BD88*VLOOKUP('Données projet'!$B$11,Paramètres!$A$1:$I$88,3,0)*VLOOKUP('Données projet'!$B$11,Paramètres!$A$1:$I$88,5,0)</f>
        <v>203.98560000000001</v>
      </c>
      <c r="BF88" s="14">
        <f t="shared" si="91"/>
        <v>50.619073534794722</v>
      </c>
      <c r="BG88" s="22">
        <f t="shared" si="61"/>
        <v>443.43647307310084</v>
      </c>
      <c r="BH88" s="62">
        <f t="shared" si="62"/>
        <v>736.7698064064341</v>
      </c>
      <c r="BI88" s="62">
        <f ca="1">AVERAGE(OFFSET($BH$3,0,0,'Données projet'!$E$11+1,1))-AVERAGE(OFFSET($H$3,0,0,'Données projet'!$E$11+1,1))</f>
        <v>223.81948236065614</v>
      </c>
      <c r="BJ88" s="62">
        <f t="shared" si="92"/>
        <v>320.1204011431372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1.033981515686923</v>
      </c>
      <c r="BQ88" s="23">
        <f>EXP(-LN(2)/25)*BQ87+(1-EXP(-LN(2)/25))/(LN(2)/25)*Calculateur!BL88*Calculateur!BN88*VLOOKUP('Données projet'!$B$11,Paramètres!$A$1:$I$88,3,0)*0.475*44/12</f>
        <v>3.8505332233554506</v>
      </c>
      <c r="BR88" s="23">
        <f>EXP(-LN(2)/2)*BR87+(1-EXP(-LN(2)/2))/(LN(2)/2)*BL88*BO88*VLOOKUP('Données projet'!$B$11,Paramètres!$A$1:$I$88,3,0)*0.475*44/12</f>
        <v>1.4630228376654513E-7</v>
      </c>
      <c r="BS88" s="24">
        <f t="shared" si="63"/>
        <v>4.8845148853446574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4.5474735088646412E-13</v>
      </c>
      <c r="O89" s="14">
        <f>N89*VLOOKUP('Données projet'!$B$9,Paramètres!$A$1:$I$88,3,0)*VLOOKUP('Données projet'!$B$9,Paramètres!$A$1:$I$88,5,0)</f>
        <v>2.5420376914553347E-13</v>
      </c>
      <c r="P89" s="14">
        <f t="shared" si="87"/>
        <v>3.4258699088369875E-12</v>
      </c>
      <c r="Q89" s="22">
        <f t="shared" si="54"/>
        <v>6.4094616558195571E-12</v>
      </c>
      <c r="R89" s="62">
        <f t="shared" si="55"/>
        <v>293.33333333333974</v>
      </c>
      <c r="S89" s="62">
        <f ca="1">AVERAGE(OFFSET($R$3,0,0,'Données projet'!$E$9+1,1))-AVERAGE(OFFSET($H$3,0,0,'Données projet'!$E$9+1,1))</f>
        <v>373.16487843768437</v>
      </c>
      <c r="T89" s="62">
        <f t="shared" si="88"/>
        <v>376.53494965377718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6.7808696698813913</v>
      </c>
      <c r="AA89" s="23">
        <f>EXP(-LN(2)/25)*AA88+(1-EXP(-LN(2)/25))/(LN(2)/25)*Calculateur!V89*Calculateur!X89*VLOOKUP('Données projet'!$B$9,Paramètres!$A$1:$I$88,3,0)*0.475*44/12</f>
        <v>6.9655623395398907</v>
      </c>
      <c r="AB89" s="23">
        <f>EXP(-LN(2)/2)*AB88+(1-EXP(-LN(2)/2))/(LN(2)/2)*V89*Y89*VLOOKUP('Données projet'!$B$9,Paramètres!$A$1:$I$88,3,0)*0.475*44/12</f>
        <v>9.3324779798077119E-8</v>
      </c>
      <c r="AC89" s="24">
        <f t="shared" si="57"/>
        <v>13.746432102746061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projet'!$B$10,Paramètres!$A$1:$I$88,3,0)*VLOOKUP('Données projet'!$B$10,Paramètres!$A$1:$I$88,5,0)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210.04871822652808</v>
      </c>
      <c r="AO89" s="62">
        <f t="shared" si="90"/>
        <v>250.17540614049324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2.4084272823257371</v>
      </c>
      <c r="AV89" s="23">
        <f>EXP(-LN(2)/25)*AV88+(1-EXP(-LN(2)/25))/(LN(2)/25)*Calculateur!AQ89*Calculateur!AS89*VLOOKUP('Données projet'!$B$10,Paramètres!$A$1:$I$88,3,0)*0.475*44/12</f>
        <v>5.8913815667723526</v>
      </c>
      <c r="AW89" s="23">
        <f>EXP(-LN(2)/2)*AW88+(1-EXP(-LN(2)/2))/(LN(2)/2)*AQ89*AT89*VLOOKUP('Données projet'!$B$10,Paramètres!$A$1:$I$88,3,0)*0.475*44/12</f>
        <v>8.029449260738381E-8</v>
      </c>
      <c r="AX89" s="23">
        <f t="shared" si="60"/>
        <v>8.299808929392583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2.9</v>
      </c>
      <c r="BD89" s="13">
        <f>IF('Données projet'!$A$88&gt;35,BD88+BC89-BL88,IF(A89&lt;'Données projet'!$A$88,$BA$205^A89,IF(A89='Données projet'!$A$88,'Données projet'!$B$88,BD88+BC89-BL88)))</f>
        <v>236.39999999999995</v>
      </c>
      <c r="BE89" s="14">
        <f>BD89*VLOOKUP('Données projet'!$B$11,Paramètres!$A$1:$I$88,3,0)*VLOOKUP('Données projet'!$B$11,Paramètres!$A$1:$I$88,5,0)</f>
        <v>206.51903999999999</v>
      </c>
      <c r="BF89" s="14">
        <f t="shared" si="91"/>
        <v>51.174169948732491</v>
      </c>
      <c r="BG89" s="22">
        <f t="shared" si="61"/>
        <v>448.81567399404236</v>
      </c>
      <c r="BH89" s="62">
        <f t="shared" si="62"/>
        <v>742.14900732737567</v>
      </c>
      <c r="BI89" s="62">
        <f ca="1">AVERAGE(OFFSET($BH$3,0,0,'Données projet'!$E$11+1,1))-AVERAGE(OFFSET($H$3,0,0,'Données projet'!$E$11+1,1))</f>
        <v>223.81948236065614</v>
      </c>
      <c r="BJ89" s="62">
        <f t="shared" si="92"/>
        <v>320.1204011431372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1.0137057688307538</v>
      </c>
      <c r="BQ89" s="23">
        <f>EXP(-LN(2)/25)*BQ88+(1-EXP(-LN(2)/25))/(LN(2)/25)*Calculateur!BL89*Calculateur!BN89*VLOOKUP('Données projet'!$B$11,Paramètres!$A$1:$I$88,3,0)*0.475*44/12</f>
        <v>3.745240189872054</v>
      </c>
      <c r="BR89" s="23">
        <f>EXP(-LN(2)/2)*BR88+(1-EXP(-LN(2)/2))/(LN(2)/2)*BL89*BO89*VLOOKUP('Données projet'!$B$11,Paramètres!$A$1:$I$88,3,0)*0.475*44/12</f>
        <v>1.0345133695440261E-7</v>
      </c>
      <c r="BS89" s="24">
        <f t="shared" si="63"/>
        <v>4.7589460621541448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4.5474735088646412E-13</v>
      </c>
      <c r="O90" s="14">
        <f>N90*VLOOKUP('Données projet'!$B$9,Paramètres!$A$1:$I$88,3,0)*VLOOKUP('Données projet'!$B$9,Paramètres!$A$1:$I$88,5,0)</f>
        <v>2.5420376914553347E-13</v>
      </c>
      <c r="P90" s="14">
        <f t="shared" si="87"/>
        <v>3.4258699088369875E-12</v>
      </c>
      <c r="Q90" s="22">
        <f t="shared" si="54"/>
        <v>6.4094616558195571E-12</v>
      </c>
      <c r="R90" s="62">
        <f t="shared" si="55"/>
        <v>293.33333333333974</v>
      </c>
      <c r="S90" s="62">
        <f ca="1">AVERAGE(OFFSET($R$3,0,0,'Données projet'!$E$9+1,1))-AVERAGE(OFFSET($H$3,0,0,'Données projet'!$E$9+1,1))</f>
        <v>373.16487843768437</v>
      </c>
      <c r="T90" s="62">
        <f t="shared" si="88"/>
        <v>376.53494965377718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6.6479009515771272</v>
      </c>
      <c r="AA90" s="23">
        <f>EXP(-LN(2)/25)*AA89+(1-EXP(-LN(2)/25))/(LN(2)/25)*Calculateur!V90*Calculateur!X90*VLOOKUP('Données projet'!$B$9,Paramètres!$A$1:$I$88,3,0)*0.475*44/12</f>
        <v>6.7750886710621687</v>
      </c>
      <c r="AB90" s="23">
        <f>EXP(-LN(2)/2)*AB89+(1-EXP(-LN(2)/2))/(LN(2)/2)*V90*Y90*VLOOKUP('Données projet'!$B$9,Paramètres!$A$1:$I$88,3,0)*0.475*44/12</f>
        <v>6.5990584647961648E-8</v>
      </c>
      <c r="AC90" s="24">
        <f t="shared" si="57"/>
        <v>13.422989688629881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projet'!$B$10,Paramètres!$A$1:$I$88,3,0)*VLOOKUP('Données projet'!$B$10,Paramètres!$A$1:$I$88,5,0)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210.04871822652808</v>
      </c>
      <c r="AO90" s="62">
        <f t="shared" si="90"/>
        <v>250.17540614049324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2.3611994923149204</v>
      </c>
      <c r="AV90" s="23">
        <f>EXP(-LN(2)/25)*AV89+(1-EXP(-LN(2)/25))/(LN(2)/25)*Calculateur!AQ90*Calculateur!AS90*VLOOKUP('Données projet'!$B$10,Paramètres!$A$1:$I$88,3,0)*0.475*44/12</f>
        <v>5.7302814280146706</v>
      </c>
      <c r="AW90" s="23">
        <f>EXP(-LN(2)/2)*AW89+(1-EXP(-LN(2)/2))/(LN(2)/2)*AQ90*AT90*VLOOKUP('Données projet'!$B$10,Paramètres!$A$1:$I$88,3,0)*0.475*44/12</f>
        <v>5.6776780214614202E-8</v>
      </c>
      <c r="AX90" s="23">
        <f t="shared" si="60"/>
        <v>8.0914809771063716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2.9</v>
      </c>
      <c r="BD90" s="13">
        <f>IF('Données projet'!$A$88&gt;35,BD89+BC90-BL89,IF(A90&lt;'Données projet'!$A$88,$BA$205^A90,IF(A90='Données projet'!$A$88,'Données projet'!$B$88,BD89+BC90-BL89)))</f>
        <v>239.29999999999995</v>
      </c>
      <c r="BE90" s="14">
        <f>BD90*VLOOKUP('Données projet'!$B$11,Paramètres!$A$1:$I$88,3,0)*VLOOKUP('Données projet'!$B$11,Paramètres!$A$1:$I$88,5,0)</f>
        <v>209.05247999999997</v>
      </c>
      <c r="BF90" s="14">
        <f t="shared" si="91"/>
        <v>51.728474274704773</v>
      </c>
      <c r="BG90" s="22">
        <f t="shared" si="61"/>
        <v>454.19349536177742</v>
      </c>
      <c r="BH90" s="62">
        <f t="shared" si="62"/>
        <v>747.52682869511068</v>
      </c>
      <c r="BI90" s="62">
        <f ca="1">AVERAGE(OFFSET($BH$3,0,0,'Données projet'!$E$11+1,1))-AVERAGE(OFFSET($H$3,0,0,'Données projet'!$E$11+1,1))</f>
        <v>223.81948236065614</v>
      </c>
      <c r="BJ90" s="62">
        <f t="shared" si="92"/>
        <v>320.1204011431372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0.99382761700344968</v>
      </c>
      <c r="BQ90" s="23">
        <f>EXP(-LN(2)/25)*BQ89+(1-EXP(-LN(2)/25))/(LN(2)/25)*Calculateur!BL90*Calculateur!BN90*VLOOKUP('Données projet'!$B$11,Paramètres!$A$1:$I$88,3,0)*0.475*44/12</f>
        <v>3.6428263999263808</v>
      </c>
      <c r="BR90" s="23">
        <f>EXP(-LN(2)/2)*BR89+(1-EXP(-LN(2)/2))/(LN(2)/2)*BL90*BO90*VLOOKUP('Données projet'!$B$11,Paramètres!$A$1:$I$88,3,0)*0.475*44/12</f>
        <v>7.3151141883272563E-8</v>
      </c>
      <c r="BS90" s="24">
        <f t="shared" si="63"/>
        <v>4.6366540900809721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4.5474735088646412E-13</v>
      </c>
      <c r="O91" s="14">
        <f>N91*VLOOKUP('Données projet'!$B$9,Paramètres!$A$1:$I$88,3,0)*VLOOKUP('Données projet'!$B$9,Paramètres!$A$1:$I$88,5,0)</f>
        <v>2.5420376914553347E-13</v>
      </c>
      <c r="P91" s="14">
        <f t="shared" si="87"/>
        <v>3.4258699088369875E-12</v>
      </c>
      <c r="Q91" s="22">
        <f t="shared" si="54"/>
        <v>6.4094616558195571E-12</v>
      </c>
      <c r="R91" s="62">
        <f t="shared" si="55"/>
        <v>293.33333333333974</v>
      </c>
      <c r="S91" s="62">
        <f ca="1">AVERAGE(OFFSET($R$3,0,0,'Données projet'!$E$9+1,1))-AVERAGE(OFFSET($H$3,0,0,'Données projet'!$E$9+1,1))</f>
        <v>373.16487843768437</v>
      </c>
      <c r="T91" s="62">
        <f t="shared" si="88"/>
        <v>376.53494965377718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6.5175396687358997</v>
      </c>
      <c r="AA91" s="23">
        <f>EXP(-LN(2)/25)*AA90+(1-EXP(-LN(2)/25))/(LN(2)/25)*Calculateur!V91*Calculateur!X91*VLOOKUP('Données projet'!$B$9,Paramètres!$A$1:$I$88,3,0)*0.475*44/12</f>
        <v>6.5898235150655449</v>
      </c>
      <c r="AB91" s="23">
        <f>EXP(-LN(2)/2)*AB90+(1-EXP(-LN(2)/2))/(LN(2)/2)*V91*Y91*VLOOKUP('Données projet'!$B$9,Paramètres!$A$1:$I$88,3,0)*0.475*44/12</f>
        <v>4.6662389899038559E-8</v>
      </c>
      <c r="AC91" s="24">
        <f t="shared" si="57"/>
        <v>13.107363230463834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projet'!$B$10,Paramètres!$A$1:$I$88,3,0)*VLOOKUP('Données projet'!$B$10,Paramètres!$A$1:$I$88,5,0)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210.04871822652808</v>
      </c>
      <c r="AO91" s="62">
        <f t="shared" si="90"/>
        <v>250.17540614049324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2.3148978104601081</v>
      </c>
      <c r="AV91" s="23">
        <f>EXP(-LN(2)/25)*AV90+(1-EXP(-LN(2)/25))/(LN(2)/25)*Calculateur!AQ91*Calculateur!AS91*VLOOKUP('Données projet'!$B$10,Paramètres!$A$1:$I$88,3,0)*0.475*44/12</f>
        <v>5.5735865810232061</v>
      </c>
      <c r="AW91" s="23">
        <f>EXP(-LN(2)/2)*AW90+(1-EXP(-LN(2)/2))/(LN(2)/2)*AQ91*AT91*VLOOKUP('Données projet'!$B$10,Paramètres!$A$1:$I$88,3,0)*0.475*44/12</f>
        <v>4.0147246303691905E-8</v>
      </c>
      <c r="AX91" s="23">
        <f t="shared" si="60"/>
        <v>7.8884844316305607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2.9</v>
      </c>
      <c r="BD91" s="13">
        <f>IF('Données projet'!$A$88&gt;35,BD90+BC91-BL90,IF(A91&lt;'Données projet'!$A$88,$BA$205^A91,IF(A91='Données projet'!$A$88,'Données projet'!$B$88,BD90+BC91-BL90)))</f>
        <v>242.19999999999996</v>
      </c>
      <c r="BE91" s="14">
        <f>BD91*VLOOKUP('Données projet'!$B$11,Paramètres!$A$1:$I$88,3,0)*VLOOKUP('Données projet'!$B$11,Paramètres!$A$1:$I$88,5,0)</f>
        <v>211.58591999999996</v>
      </c>
      <c r="BF91" s="14">
        <f t="shared" si="91"/>
        <v>52.281997222074629</v>
      </c>
      <c r="BG91" s="22">
        <f t="shared" si="61"/>
        <v>459.56995582844655</v>
      </c>
      <c r="BH91" s="62">
        <f t="shared" si="62"/>
        <v>752.90328916177987</v>
      </c>
      <c r="BI91" s="62">
        <f ca="1">AVERAGE(OFFSET($BH$3,0,0,'Données projet'!$E$11+1,1))-AVERAGE(OFFSET($H$3,0,0,'Données projet'!$E$11+1,1))</f>
        <v>223.81948236065614</v>
      </c>
      <c r="BJ91" s="62">
        <f t="shared" si="92"/>
        <v>320.1204011431372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0.97433926360900358</v>
      </c>
      <c r="BQ91" s="23">
        <f>EXP(-LN(2)/25)*BQ90+(1-EXP(-LN(2)/25))/(LN(2)/25)*Calculateur!BL91*Calculateur!BN91*VLOOKUP('Données projet'!$B$11,Paramètres!$A$1:$I$88,3,0)*0.475*44/12</f>
        <v>3.5432131204524793</v>
      </c>
      <c r="BR91" s="23">
        <f>EXP(-LN(2)/2)*BR90+(1-EXP(-LN(2)/2))/(LN(2)/2)*BL91*BO91*VLOOKUP('Données projet'!$B$11,Paramètres!$A$1:$I$88,3,0)*0.475*44/12</f>
        <v>5.1725668477201305E-8</v>
      </c>
      <c r="BS91" s="24">
        <f t="shared" si="63"/>
        <v>4.5175524357871515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4.5474735088646412E-13</v>
      </c>
      <c r="O92" s="14">
        <f>N92*VLOOKUP('Données projet'!$B$9,Paramètres!$A$1:$I$88,3,0)*VLOOKUP('Données projet'!$B$9,Paramètres!$A$1:$I$88,5,0)</f>
        <v>2.5420376914553347E-13</v>
      </c>
      <c r="P92" s="14">
        <f t="shared" si="87"/>
        <v>3.4258699088369875E-12</v>
      </c>
      <c r="Q92" s="22">
        <f t="shared" si="54"/>
        <v>6.4094616558195571E-12</v>
      </c>
      <c r="R92" s="62">
        <f t="shared" si="55"/>
        <v>293.33333333333974</v>
      </c>
      <c r="S92" s="62">
        <f ca="1">AVERAGE(OFFSET($R$3,0,0,'Données projet'!$E$9+1,1))-AVERAGE(OFFSET($H$3,0,0,'Données projet'!$E$9+1,1))</f>
        <v>373.16487843768437</v>
      </c>
      <c r="T92" s="62">
        <f t="shared" si="88"/>
        <v>376.53494965377718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6.3897346911386581</v>
      </c>
      <c r="AA92" s="23">
        <f>EXP(-LN(2)/25)*AA91+(1-EXP(-LN(2)/25))/(LN(2)/25)*Calculateur!V92*Calculateur!X92*VLOOKUP('Données projet'!$B$9,Paramètres!$A$1:$I$88,3,0)*0.475*44/12</f>
        <v>6.4096244445023203</v>
      </c>
      <c r="AB92" s="23">
        <f>EXP(-LN(2)/2)*AB91+(1-EXP(-LN(2)/2))/(LN(2)/2)*V92*Y92*VLOOKUP('Données projet'!$B$9,Paramètres!$A$1:$I$88,3,0)*0.475*44/12</f>
        <v>3.2995292323980824E-8</v>
      </c>
      <c r="AC92" s="24">
        <f t="shared" si="57"/>
        <v>12.79935916863627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projet'!$B$10,Paramètres!$A$1:$I$88,3,0)*VLOOKUP('Données projet'!$B$10,Paramètres!$A$1:$I$88,5,0)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210.04871822652808</v>
      </c>
      <c r="AO92" s="62">
        <f t="shared" si="90"/>
        <v>250.17540614049324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2.2695040763452314</v>
      </c>
      <c r="AV92" s="23">
        <f>EXP(-LN(2)/25)*AV91+(1-EXP(-LN(2)/25))/(LN(2)/25)*Calculateur!AQ92*Calculateur!AS92*VLOOKUP('Données projet'!$B$10,Paramètres!$A$1:$I$88,3,0)*0.475*44/12</f>
        <v>5.4211765628629465</v>
      </c>
      <c r="AW92" s="23">
        <f>EXP(-LN(2)/2)*AW91+(1-EXP(-LN(2)/2))/(LN(2)/2)*AQ92*AT92*VLOOKUP('Données projet'!$B$10,Paramètres!$A$1:$I$88,3,0)*0.475*44/12</f>
        <v>2.8388390107307101E-8</v>
      </c>
      <c r="AX92" s="23">
        <f t="shared" si="60"/>
        <v>7.6906806675965687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2.9</v>
      </c>
      <c r="BD92" s="13">
        <f>IF('Données projet'!$A$88&gt;35,BD91+BC92-BL91,IF(A92&lt;'Données projet'!$A$88,$BA$205^A92,IF(A92='Données projet'!$A$88,'Données projet'!$B$88,BD91+BC92-BL91)))</f>
        <v>245.09999999999997</v>
      </c>
      <c r="BE92" s="14">
        <f>BD92*VLOOKUP('Données projet'!$B$11,Paramètres!$A$1:$I$88,3,0)*VLOOKUP('Données projet'!$B$11,Paramètres!$A$1:$I$88,5,0)</f>
        <v>214.11936</v>
      </c>
      <c r="BF92" s="14">
        <f t="shared" si="91"/>
        <v>52.834749228990397</v>
      </c>
      <c r="BG92" s="22">
        <f t="shared" si="61"/>
        <v>464.94507357382491</v>
      </c>
      <c r="BH92" s="62">
        <f t="shared" si="62"/>
        <v>758.27840690715823</v>
      </c>
      <c r="BI92" s="62">
        <f ca="1">AVERAGE(OFFSET($BH$3,0,0,'Données projet'!$E$11+1,1))-AVERAGE(OFFSET($H$3,0,0,'Données projet'!$E$11+1,1))</f>
        <v>223.81948236065614</v>
      </c>
      <c r="BJ92" s="62">
        <f t="shared" si="92"/>
        <v>320.1204011431372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0.95523306493790072</v>
      </c>
      <c r="BQ92" s="23">
        <f>EXP(-LN(2)/25)*BQ91+(1-EXP(-LN(2)/25))/(LN(2)/25)*Calculateur!BL92*Calculateur!BN92*VLOOKUP('Données projet'!$B$11,Paramètres!$A$1:$I$88,3,0)*0.475*44/12</f>
        <v>3.4463237713442263</v>
      </c>
      <c r="BR92" s="23">
        <f>EXP(-LN(2)/2)*BR91+(1-EXP(-LN(2)/2))/(LN(2)/2)*BL92*BO92*VLOOKUP('Données projet'!$B$11,Paramètres!$A$1:$I$88,3,0)*0.475*44/12</f>
        <v>3.6575570941636282E-8</v>
      </c>
      <c r="BS92" s="24">
        <f t="shared" si="63"/>
        <v>4.4015568728576984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4.5474735088646412E-13</v>
      </c>
      <c r="O93" s="14">
        <f>N93*VLOOKUP('Données projet'!$B$9,Paramètres!$A$1:$I$88,3,0)*VLOOKUP('Données projet'!$B$9,Paramètres!$A$1:$I$88,5,0)</f>
        <v>2.5420376914553347E-13</v>
      </c>
      <c r="P93" s="14">
        <f t="shared" si="87"/>
        <v>3.4258699088369875E-12</v>
      </c>
      <c r="Q93" s="22">
        <f t="shared" si="54"/>
        <v>6.4094616558195571E-12</v>
      </c>
      <c r="R93" s="62">
        <f t="shared" si="55"/>
        <v>293.33333333333974</v>
      </c>
      <c r="S93" s="62">
        <f ca="1">AVERAGE(OFFSET($R$3,0,0,'Données projet'!$E$9+1,1))-AVERAGE(OFFSET($H$3,0,0,'Données projet'!$E$9+1,1))</f>
        <v>373.16487843768437</v>
      </c>
      <c r="T93" s="62">
        <f t="shared" si="88"/>
        <v>376.53494965377718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6.264435891198759</v>
      </c>
      <c r="AA93" s="23">
        <f>EXP(-LN(2)/25)*AA92+(1-EXP(-LN(2)/25))/(LN(2)/25)*Calculateur!V93*Calculateur!X93*VLOOKUP('Données projet'!$B$9,Paramètres!$A$1:$I$88,3,0)*0.475*44/12</f>
        <v>6.2343529269999038</v>
      </c>
      <c r="AB93" s="23">
        <f>EXP(-LN(2)/2)*AB92+(1-EXP(-LN(2)/2))/(LN(2)/2)*V93*Y93*VLOOKUP('Données projet'!$B$9,Paramètres!$A$1:$I$88,3,0)*0.475*44/12</f>
        <v>2.333119494951928E-8</v>
      </c>
      <c r="AC93" s="24">
        <f t="shared" si="57"/>
        <v>12.498788841529857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projet'!$B$10,Paramètres!$A$1:$I$88,3,0)*VLOOKUP('Données projet'!$B$10,Paramètres!$A$1:$I$88,5,0)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210.04871822652808</v>
      </c>
      <c r="AO93" s="62">
        <f t="shared" si="90"/>
        <v>250.17540614049324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2.2250004856689034</v>
      </c>
      <c r="AV93" s="23">
        <f>EXP(-LN(2)/25)*AV92+(1-EXP(-LN(2)/25))/(LN(2)/25)*Calculateur!AQ93*Calculateur!AS93*VLOOKUP('Données projet'!$B$10,Paramètres!$A$1:$I$88,3,0)*0.475*44/12</f>
        <v>5.2729342046641738</v>
      </c>
      <c r="AW93" s="23">
        <f>EXP(-LN(2)/2)*AW92+(1-EXP(-LN(2)/2))/(LN(2)/2)*AQ93*AT93*VLOOKUP('Données projet'!$B$10,Paramètres!$A$1:$I$88,3,0)*0.475*44/12</f>
        <v>2.0073623151845953E-8</v>
      </c>
      <c r="AX93" s="23">
        <f t="shared" si="60"/>
        <v>7.4979347104066996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248</v>
      </c>
      <c r="BB93" s="13">
        <f>VLOOKUP(A93,'Données projet'!$A$87:$I$107,9,0)</f>
        <v>2.9</v>
      </c>
      <c r="BC93" s="13">
        <f t="array" ref="BC93">INDEX(BB:BB,MIN(IF(ISNUMBER(BB93:BB289),ROW(BB93:BB289),"")))</f>
        <v>2.9</v>
      </c>
      <c r="BD93" s="13">
        <f>IF('Données projet'!$A$88&gt;35,BD92+BC93-BL92,IF(A93&lt;'Données projet'!$A$88,$BA$205^A93,IF(A93='Données projet'!$A$88,'Données projet'!$B$88,BD92+BC93-BL92)))</f>
        <v>247.99999999999997</v>
      </c>
      <c r="BE93" s="14">
        <f>BD93*VLOOKUP('Données projet'!$B$11,Paramètres!$A$1:$I$88,3,0)*VLOOKUP('Données projet'!$B$11,Paramètres!$A$1:$I$88,5,0)</f>
        <v>216.65280000000001</v>
      </c>
      <c r="BF93" s="14">
        <f t="shared" si="91"/>
        <v>53.38674047237982</v>
      </c>
      <c r="BG93" s="22">
        <f t="shared" si="61"/>
        <v>470.31886632272813</v>
      </c>
      <c r="BH93" s="62">
        <f t="shared" si="62"/>
        <v>763.65219965606138</v>
      </c>
      <c r="BI93" s="62">
        <f ca="1">AVERAGE(OFFSET($BH$3,0,0,'Données projet'!$E$11+1,1))-AVERAGE(OFFSET($H$3,0,0,'Données projet'!$E$11+1,1))</f>
        <v>223.81948236065614</v>
      </c>
      <c r="BJ93" s="62">
        <f t="shared" si="92"/>
        <v>320.1204011431372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248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0.93650152716910773</v>
      </c>
      <c r="BQ93" s="23">
        <f>EXP(-LN(2)/25)*BQ92+(1-EXP(-LN(2)/25))/(LN(2)/25)*Calculateur!BL93*Calculateur!BN93*VLOOKUP('Données projet'!$B$11,Paramètres!$A$1:$I$88,3,0)*0.475*44/12</f>
        <v>3.3520838665825279</v>
      </c>
      <c r="BR93" s="23">
        <f>EXP(-LN(2)/2)*BR92+(1-EXP(-LN(2)/2))/(LN(2)/2)*BL93*BO93*VLOOKUP('Données projet'!$B$11,Paramètres!$A$1:$I$88,3,0)*0.475*44/12</f>
        <v>2.5862834238600653E-8</v>
      </c>
      <c r="BS93" s="24">
        <f t="shared" si="63"/>
        <v>4.2885854196144697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4.5474735088646412E-13</v>
      </c>
      <c r="O94" s="14">
        <f>N94*VLOOKUP('Données projet'!$B$9,Paramètres!$A$1:$I$88,3,0)*VLOOKUP('Données projet'!$B$9,Paramètres!$A$1:$I$88,5,0)</f>
        <v>2.5420376914553347E-13</v>
      </c>
      <c r="P94" s="14">
        <f t="shared" si="87"/>
        <v>3.4258699088369875E-12</v>
      </c>
      <c r="Q94" s="22">
        <f t="shared" si="54"/>
        <v>6.4094616558195571E-12</v>
      </c>
      <c r="R94" s="62">
        <f t="shared" si="55"/>
        <v>293.33333333333974</v>
      </c>
      <c r="S94" s="62">
        <f ca="1">AVERAGE(OFFSET($R$3,0,0,'Données projet'!$E$9+1,1))-AVERAGE(OFFSET($H$3,0,0,'Données projet'!$E$9+1,1))</f>
        <v>373.16487843768437</v>
      </c>
      <c r="T94" s="62">
        <f t="shared" si="88"/>
        <v>376.53494965377718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6.1415941243009593</v>
      </c>
      <c r="AA94" s="23">
        <f>EXP(-LN(2)/25)*AA93+(1-EXP(-LN(2)/25))/(LN(2)/25)*Calculateur!V94*Calculateur!X94*VLOOKUP('Données projet'!$B$9,Paramètres!$A$1:$I$88,3,0)*0.475*44/12</f>
        <v>6.0638742183607199</v>
      </c>
      <c r="AB94" s="23">
        <f>EXP(-LN(2)/2)*AB93+(1-EXP(-LN(2)/2))/(LN(2)/2)*V94*Y94*VLOOKUP('Données projet'!$B$9,Paramètres!$A$1:$I$88,3,0)*0.475*44/12</f>
        <v>1.6497646161990412E-8</v>
      </c>
      <c r="AC94" s="24">
        <f t="shared" si="57"/>
        <v>12.205468359159324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projet'!$B$10,Paramètres!$A$1:$I$88,3,0)*VLOOKUP('Données projet'!$B$10,Paramètres!$A$1:$I$88,5,0)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210.04871822652808</v>
      </c>
      <c r="AO94" s="62">
        <f t="shared" si="90"/>
        <v>250.17540614049324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2.1813695832612283</v>
      </c>
      <c r="AV94" s="23">
        <f>EXP(-LN(2)/25)*AV93+(1-EXP(-LN(2)/25))/(LN(2)/25)*Calculateur!AQ94*Calculateur!AS94*VLOOKUP('Données projet'!$B$10,Paramètres!$A$1:$I$88,3,0)*0.475*44/12</f>
        <v>5.1287455415460732</v>
      </c>
      <c r="AW94" s="23">
        <f>EXP(-LN(2)/2)*AW93+(1-EXP(-LN(2)/2))/(LN(2)/2)*AQ94*AT94*VLOOKUP('Données projet'!$B$10,Paramètres!$A$1:$I$88,3,0)*0.475*44/12</f>
        <v>1.4194195053653551E-8</v>
      </c>
      <c r="AX94" s="23">
        <f t="shared" si="60"/>
        <v>7.3101151390014971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-2.8421709430404007E-14</v>
      </c>
      <c r="BE94" s="14">
        <f>BD94*VLOOKUP('Données projet'!$B$11,Paramètres!$A$1:$I$88,3,0)*VLOOKUP('Données projet'!$B$11,Paramètres!$A$1:$I$88,5,0)</f>
        <v>-2.4829205358400945E-14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223.81948236065614</v>
      </c>
      <c r="BJ94" s="62">
        <f t="shared" si="92"/>
        <v>320.1204011431372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0.91813730343085087</v>
      </c>
      <c r="BQ94" s="23">
        <f>EXP(-LN(2)/25)*BQ93+(1-EXP(-LN(2)/25))/(LN(2)/25)*Calculateur!BL94*Calculateur!BN94*VLOOKUP('Données projet'!$B$11,Paramètres!$A$1:$I$88,3,0)*0.475*44/12</f>
        <v>3.2604209569723994</v>
      </c>
      <c r="BR94" s="23">
        <f>EXP(-LN(2)/2)*BR93+(1-EXP(-LN(2)/2))/(LN(2)/2)*BL94*BO94*VLOOKUP('Données projet'!$B$11,Paramètres!$A$1:$I$88,3,0)*0.475*44/12</f>
        <v>1.8287785470818141E-8</v>
      </c>
      <c r="BS94" s="24">
        <f t="shared" si="63"/>
        <v>4.1785582786910354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4.5474735088646412E-13</v>
      </c>
      <c r="O95" s="14">
        <f>N95*VLOOKUP('Données projet'!$B$9,Paramètres!$A$1:$I$88,3,0)*VLOOKUP('Données projet'!$B$9,Paramètres!$A$1:$I$88,5,0)</f>
        <v>2.5420376914553347E-13</v>
      </c>
      <c r="P95" s="14">
        <f t="shared" si="87"/>
        <v>3.4258699088369875E-12</v>
      </c>
      <c r="Q95" s="22">
        <f t="shared" si="54"/>
        <v>6.4094616558195571E-12</v>
      </c>
      <c r="R95" s="62">
        <f t="shared" si="55"/>
        <v>293.33333333333974</v>
      </c>
      <c r="S95" s="62">
        <f ca="1">AVERAGE(OFFSET($R$3,0,0,'Données projet'!$E$9+1,1))-AVERAGE(OFFSET($H$3,0,0,'Données projet'!$E$9+1,1))</f>
        <v>373.16487843768437</v>
      </c>
      <c r="T95" s="62">
        <f t="shared" si="88"/>
        <v>376.53494965377718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6.0211612095259461</v>
      </c>
      <c r="AA95" s="23">
        <f>EXP(-LN(2)/25)*AA94+(1-EXP(-LN(2)/25))/(LN(2)/25)*Calculateur!V95*Calculateur!X95*VLOOKUP('Données projet'!$B$9,Paramètres!$A$1:$I$88,3,0)*0.475*44/12</f>
        <v>5.8980572589743598</v>
      </c>
      <c r="AB95" s="23">
        <f>EXP(-LN(2)/2)*AB94+(1-EXP(-LN(2)/2))/(LN(2)/2)*V95*Y95*VLOOKUP('Données projet'!$B$9,Paramètres!$A$1:$I$88,3,0)*0.475*44/12</f>
        <v>1.166559747475964E-8</v>
      </c>
      <c r="AC95" s="24">
        <f t="shared" si="57"/>
        <v>11.919218480165904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projet'!$B$10,Paramètres!$A$1:$I$88,3,0)*VLOOKUP('Données projet'!$B$10,Paramètres!$A$1:$I$88,5,0)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210.04871822652808</v>
      </c>
      <c r="AO95" s="62">
        <f t="shared" si="90"/>
        <v>250.17540614049324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2.1385942562375448</v>
      </c>
      <c r="AV95" s="23">
        <f>EXP(-LN(2)/25)*AV94+(1-EXP(-LN(2)/25))/(LN(2)/25)*Calculateur!AQ95*Calculateur!AS95*VLOOKUP('Données projet'!$B$10,Paramètres!$A$1:$I$88,3,0)*0.475*44/12</f>
        <v>4.9884997250034901</v>
      </c>
      <c r="AW95" s="23">
        <f>EXP(-LN(2)/2)*AW94+(1-EXP(-LN(2)/2))/(LN(2)/2)*AQ95*AT95*VLOOKUP('Données projet'!$B$10,Paramètres!$A$1:$I$88,3,0)*0.475*44/12</f>
        <v>1.0036811575922976E-8</v>
      </c>
      <c r="AX95" s="23">
        <f t="shared" si="60"/>
        <v>7.1270939912778468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-2.8421709430404007E-14</v>
      </c>
      <c r="BE95" s="14">
        <f>BD95*VLOOKUP('Données projet'!$B$11,Paramètres!$A$1:$I$88,3,0)*VLOOKUP('Données projet'!$B$11,Paramètres!$A$1:$I$88,5,0)</f>
        <v>-2.4829205358400945E-14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223.81948236065614</v>
      </c>
      <c r="BJ95" s="62">
        <f t="shared" si="92"/>
        <v>320.1204011431372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0.90013319091903077</v>
      </c>
      <c r="BQ95" s="23">
        <f>EXP(-LN(2)/25)*BQ94+(1-EXP(-LN(2)/25))/(LN(2)/25)*Calculateur!BL95*Calculateur!BN95*VLOOKUP('Données projet'!$B$11,Paramètres!$A$1:$I$88,3,0)*0.475*44/12</f>
        <v>3.1712645744459027</v>
      </c>
      <c r="BR95" s="23">
        <f>EXP(-LN(2)/2)*BR94+(1-EXP(-LN(2)/2))/(LN(2)/2)*BL95*BO95*VLOOKUP('Données projet'!$B$11,Paramètres!$A$1:$I$88,3,0)*0.475*44/12</f>
        <v>1.2931417119300326E-8</v>
      </c>
      <c r="BS95" s="24">
        <f t="shared" si="63"/>
        <v>4.0713977782963502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4.5474735088646412E-13</v>
      </c>
      <c r="O96" s="14">
        <f>N96*VLOOKUP('Données projet'!$B$9,Paramètres!$A$1:$I$88,3,0)*VLOOKUP('Données projet'!$B$9,Paramètres!$A$1:$I$88,5,0)</f>
        <v>2.5420376914553347E-13</v>
      </c>
      <c r="P96" s="14">
        <f t="shared" si="87"/>
        <v>3.4258699088369875E-12</v>
      </c>
      <c r="Q96" s="22">
        <f t="shared" si="54"/>
        <v>6.4094616558195571E-12</v>
      </c>
      <c r="R96" s="62">
        <f t="shared" si="55"/>
        <v>293.33333333333974</v>
      </c>
      <c r="S96" s="62">
        <f ca="1">AVERAGE(OFFSET($R$3,0,0,'Données projet'!$E$9+1,1))-AVERAGE(OFFSET($H$3,0,0,'Données projet'!$E$9+1,1))</f>
        <v>373.16487843768437</v>
      </c>
      <c r="T96" s="62">
        <f t="shared" si="88"/>
        <v>376.53494965377718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5.9030899107528461</v>
      </c>
      <c r="AA96" s="23">
        <f>EXP(-LN(2)/25)*AA95+(1-EXP(-LN(2)/25))/(LN(2)/25)*Calculateur!V96*Calculateur!X96*VLOOKUP('Données projet'!$B$9,Paramètres!$A$1:$I$88,3,0)*0.475*44/12</f>
        <v>5.7367745730623545</v>
      </c>
      <c r="AB96" s="23">
        <f>EXP(-LN(2)/2)*AB95+(1-EXP(-LN(2)/2))/(LN(2)/2)*V96*Y96*VLOOKUP('Données projet'!$B$9,Paramètres!$A$1:$I$88,3,0)*0.475*44/12</f>
        <v>8.2488230809952059E-9</v>
      </c>
      <c r="AC96" s="24">
        <f t="shared" si="57"/>
        <v>11.639864492064024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projet'!$B$10,Paramètres!$A$1:$I$88,3,0)*VLOOKUP('Données projet'!$B$10,Paramètres!$A$1:$I$88,5,0)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210.04871822652808</v>
      </c>
      <c r="AO96" s="62">
        <f t="shared" si="90"/>
        <v>250.17540614049324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2.0966577272864226</v>
      </c>
      <c r="AV96" s="23">
        <f>EXP(-LN(2)/25)*AV95+(1-EXP(-LN(2)/25))/(LN(2)/25)*Calculateur!AQ96*Calculateur!AS96*VLOOKUP('Données projet'!$B$10,Paramètres!$A$1:$I$88,3,0)*0.475*44/12</f>
        <v>4.8520889376894702</v>
      </c>
      <c r="AW96" s="23">
        <f>EXP(-LN(2)/2)*AW95+(1-EXP(-LN(2)/2))/(LN(2)/2)*AQ96*AT96*VLOOKUP('Données projet'!$B$10,Paramètres!$A$1:$I$88,3,0)*0.475*44/12</f>
        <v>7.0970975268267753E-9</v>
      </c>
      <c r="AX96" s="23">
        <f t="shared" si="60"/>
        <v>6.94874667207299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-2.8421709430404007E-14</v>
      </c>
      <c r="BE96" s="14">
        <f>BD96*VLOOKUP('Données projet'!$B$11,Paramètres!$A$1:$I$88,3,0)*VLOOKUP('Données projet'!$B$11,Paramètres!$A$1:$I$88,5,0)</f>
        <v>-2.4829205358400945E-14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223.81948236065614</v>
      </c>
      <c r="BJ96" s="62">
        <f t="shared" si="92"/>
        <v>320.1204011431372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0.8824821280721431</v>
      </c>
      <c r="BQ96" s="23">
        <f>EXP(-LN(2)/25)*BQ95+(1-EXP(-LN(2)/25))/(LN(2)/25)*Calculateur!BL96*Calculateur!BN96*VLOOKUP('Données projet'!$B$11,Paramètres!$A$1:$I$88,3,0)*0.475*44/12</f>
        <v>3.0845461778881234</v>
      </c>
      <c r="BR96" s="23">
        <f>EXP(-LN(2)/2)*BR95+(1-EXP(-LN(2)/2))/(LN(2)/2)*BL96*BO96*VLOOKUP('Données projet'!$B$11,Paramètres!$A$1:$I$88,3,0)*0.475*44/12</f>
        <v>9.1438927354090704E-9</v>
      </c>
      <c r="BS96" s="24">
        <f t="shared" si="63"/>
        <v>3.9670283151041592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4.5474735088646412E-13</v>
      </c>
      <c r="O97" s="14">
        <f>N97*VLOOKUP('Données projet'!$B$9,Paramètres!$A$1:$I$88,3,0)*VLOOKUP('Données projet'!$B$9,Paramètres!$A$1:$I$88,5,0)</f>
        <v>2.5420376914553347E-13</v>
      </c>
      <c r="P97" s="14">
        <f t="shared" si="87"/>
        <v>3.4258699088369875E-12</v>
      </c>
      <c r="Q97" s="22">
        <f t="shared" si="54"/>
        <v>6.4094616558195571E-12</v>
      </c>
      <c r="R97" s="62">
        <f t="shared" si="55"/>
        <v>293.33333333333974</v>
      </c>
      <c r="S97" s="62">
        <f ca="1">AVERAGE(OFFSET($R$3,0,0,'Données projet'!$E$9+1,1))-AVERAGE(OFFSET($H$3,0,0,'Données projet'!$E$9+1,1))</f>
        <v>373.16487843768437</v>
      </c>
      <c r="T97" s="62">
        <f t="shared" si="88"/>
        <v>376.53494965377718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5.7873339181323056</v>
      </c>
      <c r="AA97" s="23">
        <f>EXP(-LN(2)/25)*AA96+(1-EXP(-LN(2)/25))/(LN(2)/25)*Calculateur!V97*Calculateur!X97*VLOOKUP('Données projet'!$B$9,Paramètres!$A$1:$I$88,3,0)*0.475*44/12</f>
        <v>5.5799021706781016</v>
      </c>
      <c r="AB97" s="23">
        <f>EXP(-LN(2)/2)*AB96+(1-EXP(-LN(2)/2))/(LN(2)/2)*V97*Y97*VLOOKUP('Données projet'!$B$9,Paramètres!$A$1:$I$88,3,0)*0.475*44/12</f>
        <v>5.8327987373798199E-9</v>
      </c>
      <c r="AC97" s="24">
        <f t="shared" si="57"/>
        <v>11.367236094643207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projet'!$B$10,Paramètres!$A$1:$I$88,3,0)*VLOOKUP('Données projet'!$B$10,Paramètres!$A$1:$I$88,5,0)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210.04871822652808</v>
      </c>
      <c r="AO97" s="62">
        <f t="shared" si="90"/>
        <v>250.17540614049324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2.055543548089275</v>
      </c>
      <c r="AV97" s="23">
        <f>EXP(-LN(2)/25)*AV96+(1-EXP(-LN(2)/25))/(LN(2)/25)*Calculateur!AQ97*Calculateur!AS97*VLOOKUP('Données projet'!$B$10,Paramètres!$A$1:$I$88,3,0)*0.475*44/12</f>
        <v>4.7194083105280837</v>
      </c>
      <c r="AW97" s="23">
        <f>EXP(-LN(2)/2)*AW96+(1-EXP(-LN(2)/2))/(LN(2)/2)*AQ97*AT97*VLOOKUP('Données projet'!$B$10,Paramètres!$A$1:$I$88,3,0)*0.475*44/12</f>
        <v>5.0184057879614881E-9</v>
      </c>
      <c r="AX97" s="23">
        <f t="shared" si="60"/>
        <v>6.7749518636357644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-2.8421709430404007E-14</v>
      </c>
      <c r="BE97" s="14">
        <f>BD97*VLOOKUP('Données projet'!$B$11,Paramètres!$A$1:$I$88,3,0)*VLOOKUP('Données projet'!$B$11,Paramètres!$A$1:$I$88,5,0)</f>
        <v>-2.4829205358400945E-14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223.81948236065614</v>
      </c>
      <c r="BJ97" s="62">
        <f t="shared" si="92"/>
        <v>320.1204011431372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0.86517719180159769</v>
      </c>
      <c r="BQ97" s="23">
        <f>EXP(-LN(2)/25)*BQ96+(1-EXP(-LN(2)/25))/(LN(2)/25)*Calculateur!BL97*Calculateur!BN97*VLOOKUP('Données projet'!$B$11,Paramètres!$A$1:$I$88,3,0)*0.475*44/12</f>
        <v>3.0001991004445387</v>
      </c>
      <c r="BR97" s="23">
        <f>EXP(-LN(2)/2)*BR96+(1-EXP(-LN(2)/2))/(LN(2)/2)*BL97*BO97*VLOOKUP('Données projet'!$B$11,Paramètres!$A$1:$I$88,3,0)*0.475*44/12</f>
        <v>6.4657085596501632E-9</v>
      </c>
      <c r="BS97" s="24">
        <f t="shared" si="63"/>
        <v>3.865376298711845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4.5474735088646412E-13</v>
      </c>
      <c r="O98" s="14">
        <f>N98*VLOOKUP('Données projet'!$B$9,Paramètres!$A$1:$I$88,3,0)*VLOOKUP('Données projet'!$B$9,Paramètres!$A$1:$I$88,5,0)</f>
        <v>2.5420376914553347E-13</v>
      </c>
      <c r="P98" s="14">
        <f t="shared" si="87"/>
        <v>3.4258699088369875E-12</v>
      </c>
      <c r="Q98" s="22">
        <f t="shared" si="54"/>
        <v>6.4094616558195571E-12</v>
      </c>
      <c r="R98" s="62">
        <f t="shared" si="55"/>
        <v>293.33333333333974</v>
      </c>
      <c r="S98" s="62">
        <f ca="1">AVERAGE(OFFSET($R$3,0,0,'Données projet'!$E$9+1,1))-AVERAGE(OFFSET($H$3,0,0,'Données projet'!$E$9+1,1))</f>
        <v>373.16487843768437</v>
      </c>
      <c r="T98" s="62">
        <f t="shared" si="88"/>
        <v>376.53494965377718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5.6738478299228703</v>
      </c>
      <c r="AA98" s="23">
        <f>EXP(-LN(2)/25)*AA97+(1-EXP(-LN(2)/25))/(LN(2)/25)*Calculateur!V98*Calculateur!X98*VLOOKUP('Données projet'!$B$9,Paramètres!$A$1:$I$88,3,0)*0.475*44/12</f>
        <v>5.4273194523866071</v>
      </c>
      <c r="AB98" s="23">
        <f>EXP(-LN(2)/2)*AB97+(1-EXP(-LN(2)/2))/(LN(2)/2)*V98*Y98*VLOOKUP('Données projet'!$B$9,Paramètres!$A$1:$I$88,3,0)*0.475*44/12</f>
        <v>4.124411540497603E-9</v>
      </c>
      <c r="AC98" s="24">
        <f t="shared" si="57"/>
        <v>11.101167286433888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projet'!$B$10,Paramètres!$A$1:$I$88,3,0)*VLOOKUP('Données projet'!$B$10,Paramètres!$A$1:$I$88,5,0)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210.04871822652808</v>
      </c>
      <c r="AO98" s="62">
        <f t="shared" si="90"/>
        <v>250.17540614049324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2.0152355928690104</v>
      </c>
      <c r="AV98" s="23">
        <f>EXP(-LN(2)/25)*AV97+(1-EXP(-LN(2)/25))/(LN(2)/25)*Calculateur!AQ98*Calculateur!AS98*VLOOKUP('Données projet'!$B$10,Paramètres!$A$1:$I$88,3,0)*0.475*44/12</f>
        <v>4.5903558420937962</v>
      </c>
      <c r="AW98" s="23">
        <f>EXP(-LN(2)/2)*AW97+(1-EXP(-LN(2)/2))/(LN(2)/2)*AQ98*AT98*VLOOKUP('Données projet'!$B$10,Paramètres!$A$1:$I$88,3,0)*0.475*44/12</f>
        <v>3.5485487634133877E-9</v>
      </c>
      <c r="AX98" s="23">
        <f t="shared" si="60"/>
        <v>6.6055914385113557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-2.8421709430404007E-14</v>
      </c>
      <c r="BE98" s="14">
        <f>BD98*VLOOKUP('Données projet'!$B$11,Paramètres!$A$1:$I$88,3,0)*VLOOKUP('Données projet'!$B$11,Paramètres!$A$1:$I$88,5,0)</f>
        <v>-2.4829205358400945E-14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223.81948236065614</v>
      </c>
      <c r="BJ98" s="62">
        <f t="shared" si="92"/>
        <v>320.1204011431372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0.84821159477634867</v>
      </c>
      <c r="BQ98" s="23">
        <f>EXP(-LN(2)/25)*BQ97+(1-EXP(-LN(2)/25))/(LN(2)/25)*Calculateur!BL98*Calculateur!BN98*VLOOKUP('Données projet'!$B$11,Paramètres!$A$1:$I$88,3,0)*0.475*44/12</f>
        <v>2.918158498269269</v>
      </c>
      <c r="BR98" s="23">
        <f>EXP(-LN(2)/2)*BR97+(1-EXP(-LN(2)/2))/(LN(2)/2)*BL98*BO98*VLOOKUP('Données projet'!$B$11,Paramètres!$A$1:$I$88,3,0)*0.475*44/12</f>
        <v>4.5719463677045352E-9</v>
      </c>
      <c r="BS98" s="24">
        <f t="shared" si="63"/>
        <v>3.766370097617564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4.5474735088646412E-13</v>
      </c>
      <c r="O99" s="14">
        <f>N99*VLOOKUP('Données projet'!$B$9,Paramètres!$A$1:$I$88,3,0)*VLOOKUP('Données projet'!$B$9,Paramètres!$A$1:$I$88,5,0)</f>
        <v>2.5420376914553347E-13</v>
      </c>
      <c r="P99" s="14">
        <f t="shared" si="87"/>
        <v>3.4258699088369875E-12</v>
      </c>
      <c r="Q99" s="22">
        <f t="shared" ref="Q99:Q130" si="107">(O99+P99)*0.475*44/12</f>
        <v>6.4094616558195571E-12</v>
      </c>
      <c r="R99" s="62">
        <f t="shared" si="55"/>
        <v>293.33333333333974</v>
      </c>
      <c r="S99" s="62">
        <f ca="1">AVERAGE(OFFSET($R$3,0,0,'Données projet'!$E$9+1,1))-AVERAGE(OFFSET($H$3,0,0,'Données projet'!$E$9+1,1))</f>
        <v>373.16487843768437</v>
      </c>
      <c r="T99" s="62">
        <f t="shared" si="88"/>
        <v>376.53494965377718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5.5625871346835432</v>
      </c>
      <c r="AA99" s="23">
        <f>EXP(-LN(2)/25)*AA98+(1-EXP(-LN(2)/25))/(LN(2)/25)*Calculateur!V99*Calculateur!X99*VLOOKUP('Données projet'!$B$9,Paramètres!$A$1:$I$88,3,0)*0.475*44/12</f>
        <v>5.2789091165507696</v>
      </c>
      <c r="AB99" s="23">
        <f>EXP(-LN(2)/2)*AB98+(1-EXP(-LN(2)/2))/(LN(2)/2)*V99*Y99*VLOOKUP('Données projet'!$B$9,Paramètres!$A$1:$I$88,3,0)*0.475*44/12</f>
        <v>2.91639936868991E-9</v>
      </c>
      <c r="AC99" s="24">
        <f t="shared" si="57"/>
        <v>10.841496254150712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projet'!$B$10,Paramètres!$A$1:$I$88,3,0)*VLOOKUP('Données projet'!$B$10,Paramètres!$A$1:$I$88,5,0)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210.04871822652808</v>
      </c>
      <c r="AO99" s="62">
        <f t="shared" si="90"/>
        <v>250.17540614049324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1.97571805206519</v>
      </c>
      <c r="AV99" s="23">
        <f>EXP(-LN(2)/25)*AV98+(1-EXP(-LN(2)/25))/(LN(2)/25)*Calculateur!AQ99*Calculateur!AS99*VLOOKUP('Données projet'!$B$10,Paramètres!$A$1:$I$88,3,0)*0.475*44/12</f>
        <v>4.464832320195419</v>
      </c>
      <c r="AW99" s="23">
        <f>EXP(-LN(2)/2)*AW98+(1-EXP(-LN(2)/2))/(LN(2)/2)*AQ99*AT99*VLOOKUP('Données projet'!$B$10,Paramètres!$A$1:$I$88,3,0)*0.475*44/12</f>
        <v>2.5092028939807441E-9</v>
      </c>
      <c r="AX99" s="23">
        <f t="shared" si="60"/>
        <v>6.4405503747698116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-2.8421709430404007E-14</v>
      </c>
      <c r="BE99" s="14">
        <f>BD99*VLOOKUP('Données projet'!$B$11,Paramètres!$A$1:$I$88,3,0)*VLOOKUP('Données projet'!$B$11,Paramètres!$A$1:$I$88,5,0)</f>
        <v>-2.4829205358400945E-14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223.81948236065614</v>
      </c>
      <c r="BJ99" s="62">
        <f t="shared" si="92"/>
        <v>320.1204011431372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0.8315786827607724</v>
      </c>
      <c r="BQ99" s="23">
        <f>EXP(-LN(2)/25)*BQ98+(1-EXP(-LN(2)/25))/(LN(2)/25)*Calculateur!BL99*Calculateur!BN99*VLOOKUP('Données projet'!$B$11,Paramètres!$A$1:$I$88,3,0)*0.475*44/12</f>
        <v>2.8383613006748099</v>
      </c>
      <c r="BR99" s="23">
        <f>EXP(-LN(2)/2)*BR98+(1-EXP(-LN(2)/2))/(LN(2)/2)*BL99*BO99*VLOOKUP('Données projet'!$B$11,Paramètres!$A$1:$I$88,3,0)*0.475*44/12</f>
        <v>3.2328542798250816E-9</v>
      </c>
      <c r="BS99" s="24">
        <f t="shared" si="63"/>
        <v>3.6699399866684366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4.5474735088646412E-13</v>
      </c>
      <c r="O100" s="14">
        <f>N100*VLOOKUP('Données projet'!$B$9,Paramètres!$A$1:$I$88,3,0)*VLOOKUP('Données projet'!$B$9,Paramètres!$A$1:$I$88,5,0)</f>
        <v>2.5420376914553347E-13</v>
      </c>
      <c r="P100" s="14">
        <f t="shared" si="87"/>
        <v>3.4258699088369875E-12</v>
      </c>
      <c r="Q100" s="22">
        <f t="shared" si="107"/>
        <v>6.4094616558195571E-12</v>
      </c>
      <c r="R100" s="62">
        <f t="shared" si="55"/>
        <v>293.33333333333974</v>
      </c>
      <c r="S100" s="62">
        <f ca="1">AVERAGE(OFFSET($R$3,0,0,'Données projet'!$E$9+1,1))-AVERAGE(OFFSET($H$3,0,0,'Données projet'!$E$9+1,1))</f>
        <v>373.16487843768437</v>
      </c>
      <c r="T100" s="62">
        <f t="shared" si="88"/>
        <v>376.53494965377718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5.4535081938155354</v>
      </c>
      <c r="AA100" s="23">
        <f>EXP(-LN(2)/25)*AA99+(1-EXP(-LN(2)/25))/(LN(2)/25)*Calculateur!V100*Calculateur!X100*VLOOKUP('Données projet'!$B$9,Paramètres!$A$1:$I$88,3,0)*0.475*44/12</f>
        <v>5.1345570691529234</v>
      </c>
      <c r="AB100" s="23">
        <f>EXP(-LN(2)/2)*AB99+(1-EXP(-LN(2)/2))/(LN(2)/2)*V100*Y100*VLOOKUP('Données projet'!$B$9,Paramètres!$A$1:$I$88,3,0)*0.475*44/12</f>
        <v>2.0622057702488015E-9</v>
      </c>
      <c r="AC100" s="24">
        <f t="shared" si="57"/>
        <v>10.588065265030666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projet'!$B$10,Paramètres!$A$1:$I$88,3,0)*VLOOKUP('Données projet'!$B$10,Paramètres!$A$1:$I$88,5,0)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210.04871822652808</v>
      </c>
      <c r="AO100" s="62">
        <f t="shared" si="90"/>
        <v>250.17540614049324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1.9369754261332128</v>
      </c>
      <c r="AV100" s="23">
        <f>EXP(-LN(2)/25)*AV99+(1-EXP(-LN(2)/25))/(LN(2)/25)*Calculateur!AQ100*Calculateur!AS100*VLOOKUP('Données projet'!$B$10,Paramètres!$A$1:$I$88,3,0)*0.475*44/12</f>
        <v>4.3427412456043477</v>
      </c>
      <c r="AW100" s="23">
        <f>EXP(-LN(2)/2)*AW99+(1-EXP(-LN(2)/2))/(LN(2)/2)*AQ100*AT100*VLOOKUP('Données projet'!$B$10,Paramètres!$A$1:$I$88,3,0)*0.475*44/12</f>
        <v>1.7742743817066938E-9</v>
      </c>
      <c r="AX100" s="23">
        <f t="shared" si="60"/>
        <v>6.2797166735118344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-2.8421709430404007E-14</v>
      </c>
      <c r="BE100" s="14">
        <f>BD100*VLOOKUP('Données projet'!$B$11,Paramètres!$A$1:$I$88,3,0)*VLOOKUP('Données projet'!$B$11,Paramètres!$A$1:$I$88,5,0)</f>
        <v>-2.4829205358400945E-14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223.81948236065614</v>
      </c>
      <c r="BJ100" s="62">
        <f t="shared" si="92"/>
        <v>320.1204011431372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0.81527193200474701</v>
      </c>
      <c r="BQ100" s="23">
        <f>EXP(-LN(2)/25)*BQ99+(1-EXP(-LN(2)/25))/(LN(2)/25)*Calculateur!BL100*Calculateur!BN100*VLOOKUP('Données projet'!$B$11,Paramètres!$A$1:$I$88,3,0)*0.475*44/12</f>
        <v>2.7607461616449234</v>
      </c>
      <c r="BR100" s="23">
        <f>EXP(-LN(2)/2)*BR99+(1-EXP(-LN(2)/2))/(LN(2)/2)*BL100*BO100*VLOOKUP('Données projet'!$B$11,Paramètres!$A$1:$I$88,3,0)*0.475*44/12</f>
        <v>2.2859731838522676E-9</v>
      </c>
      <c r="BS100" s="24">
        <f t="shared" si="63"/>
        <v>3.5760180959356438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4.5474735088646412E-13</v>
      </c>
      <c r="O101" s="14">
        <f>N101*VLOOKUP('Données projet'!$B$9,Paramètres!$A$1:$I$88,3,0)*VLOOKUP('Données projet'!$B$9,Paramètres!$A$1:$I$88,5,0)</f>
        <v>2.5420376914553347E-13</v>
      </c>
      <c r="P101" s="14">
        <f t="shared" si="87"/>
        <v>3.4258699088369875E-12</v>
      </c>
      <c r="Q101" s="22">
        <f t="shared" si="107"/>
        <v>6.4094616558195571E-12</v>
      </c>
      <c r="R101" s="62">
        <f t="shared" si="55"/>
        <v>293.33333333333974</v>
      </c>
      <c r="S101" s="62">
        <f ca="1">AVERAGE(OFFSET($R$3,0,0,'Données projet'!$E$9+1,1))-AVERAGE(OFFSET($H$3,0,0,'Données projet'!$E$9+1,1))</f>
        <v>373.16487843768437</v>
      </c>
      <c r="T101" s="62">
        <f t="shared" si="88"/>
        <v>376.53494965377718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5.346568224446365</v>
      </c>
      <c r="AA101" s="23">
        <f>EXP(-LN(2)/25)*AA100+(1-EXP(-LN(2)/25))/(LN(2)/25)*Calculateur!V101*Calculateur!X101*VLOOKUP('Données projet'!$B$9,Paramètres!$A$1:$I$88,3,0)*0.475*44/12</f>
        <v>4.9941523360823155</v>
      </c>
      <c r="AB101" s="23">
        <f>EXP(-LN(2)/2)*AB100+(1-EXP(-LN(2)/2))/(LN(2)/2)*V101*Y101*VLOOKUP('Données projet'!$B$9,Paramètres!$A$1:$I$88,3,0)*0.475*44/12</f>
        <v>1.458199684344955E-9</v>
      </c>
      <c r="AC101" s="24">
        <f t="shared" si="57"/>
        <v>10.340720561986879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projet'!$B$10,Paramètres!$A$1:$I$88,3,0)*VLOOKUP('Données projet'!$B$10,Paramètres!$A$1:$I$88,5,0)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210.04871822652808</v>
      </c>
      <c r="AO101" s="62">
        <f t="shared" si="90"/>
        <v>250.17540614049324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1.8989925194650932</v>
      </c>
      <c r="AV101" s="23">
        <f>EXP(-LN(2)/25)*AV100+(1-EXP(-LN(2)/25))/(LN(2)/25)*Calculateur!AQ101*Calculateur!AS101*VLOOKUP('Données projet'!$B$10,Paramètres!$A$1:$I$88,3,0)*0.475*44/12</f>
        <v>4.2239887578684598</v>
      </c>
      <c r="AW101" s="23">
        <f>EXP(-LN(2)/2)*AW100+(1-EXP(-LN(2)/2))/(LN(2)/2)*AQ101*AT101*VLOOKUP('Données projet'!$B$10,Paramètres!$A$1:$I$88,3,0)*0.475*44/12</f>
        <v>1.254601446990372E-9</v>
      </c>
      <c r="AX101" s="23">
        <f t="shared" si="60"/>
        <v>6.1229812785881546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-2.8421709430404007E-14</v>
      </c>
      <c r="BE101" s="14">
        <f>BD101*VLOOKUP('Données projet'!$B$11,Paramètres!$A$1:$I$88,3,0)*VLOOKUP('Données projet'!$B$11,Paramètres!$A$1:$I$88,5,0)</f>
        <v>-2.4829205358400945E-14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223.81948236065614</v>
      </c>
      <c r="BJ101" s="62">
        <f t="shared" si="92"/>
        <v>320.1204011431372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0.79928494668491146</v>
      </c>
      <c r="BQ101" s="23">
        <f>EXP(-LN(2)/25)*BQ100+(1-EXP(-LN(2)/25))/(LN(2)/25)*Calculateur!BL101*Calculateur!BN101*VLOOKUP('Données projet'!$B$11,Paramètres!$A$1:$I$88,3,0)*0.475*44/12</f>
        <v>2.6852534126734122</v>
      </c>
      <c r="BR101" s="23">
        <f>EXP(-LN(2)/2)*BR100+(1-EXP(-LN(2)/2))/(LN(2)/2)*BL101*BO101*VLOOKUP('Données projet'!$B$11,Paramètres!$A$1:$I$88,3,0)*0.475*44/12</f>
        <v>1.6164271399125408E-9</v>
      </c>
      <c r="BS101" s="24">
        <f t="shared" si="63"/>
        <v>3.4845383609747507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4.5474735088646412E-13</v>
      </c>
      <c r="O102" s="14">
        <f>N102*VLOOKUP('Données projet'!$B$9,Paramètres!$A$1:$I$88,3,0)*VLOOKUP('Données projet'!$B$9,Paramètres!$A$1:$I$88,5,0)</f>
        <v>2.5420376914553347E-13</v>
      </c>
      <c r="P102" s="14">
        <f t="shared" si="87"/>
        <v>3.4258699088369875E-12</v>
      </c>
      <c r="Q102" s="22">
        <f t="shared" si="107"/>
        <v>6.4094616558195571E-12</v>
      </c>
      <c r="R102" s="62">
        <f t="shared" si="55"/>
        <v>293.33333333333974</v>
      </c>
      <c r="S102" s="62">
        <f ca="1">AVERAGE(OFFSET($R$3,0,0,'Données projet'!$E$9+1,1))-AVERAGE(OFFSET($H$3,0,0,'Données projet'!$E$9+1,1))</f>
        <v>373.16487843768437</v>
      </c>
      <c r="T102" s="62">
        <f t="shared" si="88"/>
        <v>376.53494965377718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5.2417252826495835</v>
      </c>
      <c r="AA102" s="23">
        <f>EXP(-LN(2)/25)*AA101+(1-EXP(-LN(2)/25))/(LN(2)/25)*Calculateur!V102*Calculateur!X102*VLOOKUP('Données projet'!$B$9,Paramètres!$A$1:$I$88,3,0)*0.475*44/12</f>
        <v>4.8575869778210876</v>
      </c>
      <c r="AB102" s="23">
        <f>EXP(-LN(2)/2)*AB101+(1-EXP(-LN(2)/2))/(LN(2)/2)*V102*Y102*VLOOKUP('Données projet'!$B$9,Paramètres!$A$1:$I$88,3,0)*0.475*44/12</f>
        <v>1.0311028851244007E-9</v>
      </c>
      <c r="AC102" s="24">
        <f t="shared" si="57"/>
        <v>10.099312261501774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projet'!$B$10,Paramètres!$A$1:$I$88,3,0)*VLOOKUP('Données projet'!$B$10,Paramètres!$A$1:$I$88,5,0)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210.04871822652808</v>
      </c>
      <c r="AO102" s="62">
        <f t="shared" si="90"/>
        <v>250.17540614049324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1.8617544344294499</v>
      </c>
      <c r="AV102" s="23">
        <f>EXP(-LN(2)/25)*AV101+(1-EXP(-LN(2)/25))/(LN(2)/25)*Calculateur!AQ102*Calculateur!AS102*VLOOKUP('Données projet'!$B$10,Paramètres!$A$1:$I$88,3,0)*0.475*44/12</f>
        <v>4.1084835631546319</v>
      </c>
      <c r="AW102" s="23">
        <f>EXP(-LN(2)/2)*AW101+(1-EXP(-LN(2)/2))/(LN(2)/2)*AQ102*AT102*VLOOKUP('Données projet'!$B$10,Paramètres!$A$1:$I$88,3,0)*0.475*44/12</f>
        <v>8.8713719085334691E-10</v>
      </c>
      <c r="AX102" s="23">
        <f t="shared" si="60"/>
        <v>5.9702379984712195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-2.8421709430404007E-14</v>
      </c>
      <c r="BE102" s="14">
        <f>BD102*VLOOKUP('Données projet'!$B$11,Paramètres!$A$1:$I$88,3,0)*VLOOKUP('Données projet'!$B$11,Paramètres!$A$1:$I$88,5,0)</f>
        <v>-2.4829205358400945E-14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223.81948236065614</v>
      </c>
      <c r="BJ102" s="62">
        <f t="shared" si="92"/>
        <v>320.1204011431372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0.78361145639609964</v>
      </c>
      <c r="BQ102" s="23">
        <f>EXP(-LN(2)/25)*BQ101+(1-EXP(-LN(2)/25))/(LN(2)/25)*Calculateur!BL102*Calculateur!BN102*VLOOKUP('Données projet'!$B$11,Paramètres!$A$1:$I$88,3,0)*0.475*44/12</f>
        <v>2.6118250168925181</v>
      </c>
      <c r="BR102" s="23">
        <f>EXP(-LN(2)/2)*BR101+(1-EXP(-LN(2)/2))/(LN(2)/2)*BL102*BO102*VLOOKUP('Données projet'!$B$11,Paramètres!$A$1:$I$88,3,0)*0.475*44/12</f>
        <v>1.1429865919261338E-9</v>
      </c>
      <c r="BS102" s="24">
        <f t="shared" si="63"/>
        <v>3.3954364744316043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4.5474735088646412E-13</v>
      </c>
      <c r="O103" s="14">
        <f>N103*VLOOKUP('Données projet'!$B$9,Paramètres!$A$1:$I$88,3,0)*VLOOKUP('Données projet'!$B$9,Paramètres!$A$1:$I$88,5,0)</f>
        <v>2.5420376914553347E-13</v>
      </c>
      <c r="P103" s="14">
        <f t="shared" si="87"/>
        <v>3.4258699088369875E-12</v>
      </c>
      <c r="Q103" s="22">
        <f t="shared" si="107"/>
        <v>6.4094616558195571E-12</v>
      </c>
      <c r="R103" s="62">
        <f t="shared" si="55"/>
        <v>293.33333333333974</v>
      </c>
      <c r="S103" s="62">
        <f ca="1">AVERAGE(OFFSET($R$3,0,0,'Données projet'!$E$9+1,1))-AVERAGE(OFFSET($H$3,0,0,'Données projet'!$E$9+1,1))</f>
        <v>373.16487843768437</v>
      </c>
      <c r="T103" s="62">
        <f t="shared" si="88"/>
        <v>376.53494965377718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5.1389382469935567</v>
      </c>
      <c r="AA103" s="23">
        <f>EXP(-LN(2)/25)*AA102+(1-EXP(-LN(2)/25))/(LN(2)/25)*Calculateur!V103*Calculateur!X103*VLOOKUP('Données projet'!$B$9,Paramètres!$A$1:$I$88,3,0)*0.475*44/12</f>
        <v>4.7247560064631733</v>
      </c>
      <c r="AB103" s="23">
        <f>EXP(-LN(2)/2)*AB102+(1-EXP(-LN(2)/2))/(LN(2)/2)*V103*Y103*VLOOKUP('Données projet'!$B$9,Paramètres!$A$1:$I$88,3,0)*0.475*44/12</f>
        <v>7.2909984217247749E-10</v>
      </c>
      <c r="AC103" s="24">
        <f t="shared" si="57"/>
        <v>9.8636942541858303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projet'!$B$10,Paramètres!$A$1:$I$88,3,0)*VLOOKUP('Données projet'!$B$10,Paramètres!$A$1:$I$88,5,0)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210.04871822652808</v>
      </c>
      <c r="AO103" s="62">
        <f t="shared" si="90"/>
        <v>250.17540614049324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1.8252465655283663</v>
      </c>
      <c r="AV103" s="23">
        <f>EXP(-LN(2)/25)*AV102+(1-EXP(-LN(2)/25))/(LN(2)/25)*Calculateur!AQ103*Calculateur!AS103*VLOOKUP('Données projet'!$B$10,Paramètres!$A$1:$I$88,3,0)*0.475*44/12</f>
        <v>3.9961368640644079</v>
      </c>
      <c r="AW103" s="23">
        <f>EXP(-LN(2)/2)*AW102+(1-EXP(-LN(2)/2))/(LN(2)/2)*AQ103*AT103*VLOOKUP('Données projet'!$B$10,Paramètres!$A$1:$I$88,3,0)*0.475*44/12</f>
        <v>6.2730072349518602E-10</v>
      </c>
      <c r="AX103" s="23">
        <f t="shared" si="60"/>
        <v>5.8213834302200755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-2.8421709430404007E-14</v>
      </c>
      <c r="BE103" s="14">
        <f>BD103*VLOOKUP('Données projet'!$B$11,Paramètres!$A$1:$I$88,3,0)*VLOOKUP('Données projet'!$B$11,Paramètres!$A$1:$I$88,5,0)</f>
        <v>-2.4829205358400945E-14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223.81948236065614</v>
      </c>
      <c r="BJ103" s="62">
        <f t="shared" si="92"/>
        <v>320.1204011431372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0.76824531369196636</v>
      </c>
      <c r="BQ103" s="23">
        <f>EXP(-LN(2)/25)*BQ102+(1-EXP(-LN(2)/25))/(LN(2)/25)*Calculateur!BL103*Calculateur!BN103*VLOOKUP('Données projet'!$B$11,Paramètres!$A$1:$I$88,3,0)*0.475*44/12</f>
        <v>2.5404045244556839</v>
      </c>
      <c r="BR103" s="23">
        <f>EXP(-LN(2)/2)*BR102+(1-EXP(-LN(2)/2))/(LN(2)/2)*BL103*BO103*VLOOKUP('Données projet'!$B$11,Paramètres!$A$1:$I$88,3,0)*0.475*44/12</f>
        <v>8.082135699562704E-10</v>
      </c>
      <c r="BS103" s="24">
        <f t="shared" si="63"/>
        <v>3.3086498389558638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4.5474735088646412E-13</v>
      </c>
      <c r="O104" s="14">
        <f>N104*VLOOKUP('Données projet'!$B$9,Paramètres!$A$1:$I$88,3,0)*VLOOKUP('Données projet'!$B$9,Paramètres!$A$1:$I$88,5,0)</f>
        <v>2.5420376914553347E-13</v>
      </c>
      <c r="P104" s="14">
        <f t="shared" si="87"/>
        <v>3.4258699088369875E-12</v>
      </c>
      <c r="Q104" s="22">
        <f t="shared" si="107"/>
        <v>6.4094616558195571E-12</v>
      </c>
      <c r="R104" s="62">
        <f t="shared" si="55"/>
        <v>293.33333333333974</v>
      </c>
      <c r="S104" s="62">
        <f ca="1">AVERAGE(OFFSET($R$3,0,0,'Données projet'!$E$9+1,1))-AVERAGE(OFFSET($H$3,0,0,'Données projet'!$E$9+1,1))</f>
        <v>373.16487843768437</v>
      </c>
      <c r="T104" s="62">
        <f t="shared" si="88"/>
        <v>376.53494965377718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5.0381668024128432</v>
      </c>
      <c r="AA104" s="23">
        <f>EXP(-LN(2)/25)*AA103+(1-EXP(-LN(2)/25))/(LN(2)/25)*Calculateur!V104*Calculateur!X104*VLOOKUP('Données projet'!$B$9,Paramètres!$A$1:$I$88,3,0)*0.475*44/12</f>
        <v>4.595557305002318</v>
      </c>
      <c r="AB104" s="23">
        <f>EXP(-LN(2)/2)*AB103+(1-EXP(-LN(2)/2))/(LN(2)/2)*V104*Y104*VLOOKUP('Données projet'!$B$9,Paramètres!$A$1:$I$88,3,0)*0.475*44/12</f>
        <v>5.1555144256220037E-10</v>
      </c>
      <c r="AC104" s="24">
        <f t="shared" si="57"/>
        <v>9.6337241079307141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projet'!$B$10,Paramètres!$A$1:$I$88,3,0)*VLOOKUP('Données projet'!$B$10,Paramètres!$A$1:$I$88,5,0)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210.04871822652808</v>
      </c>
      <c r="AO104" s="62">
        <f t="shared" si="90"/>
        <v>250.17540614049324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1.7894545936688318</v>
      </c>
      <c r="AV104" s="23">
        <f>EXP(-LN(2)/25)*AV103+(1-EXP(-LN(2)/25))/(LN(2)/25)*Calculateur!AQ104*Calculateur!AS104*VLOOKUP('Données projet'!$B$10,Paramètres!$A$1:$I$88,3,0)*0.475*44/12</f>
        <v>3.8868622913688622</v>
      </c>
      <c r="AW104" s="23">
        <f>EXP(-LN(2)/2)*AW103+(1-EXP(-LN(2)/2))/(LN(2)/2)*AQ104*AT104*VLOOKUP('Données projet'!$B$10,Paramètres!$A$1:$I$88,3,0)*0.475*44/12</f>
        <v>4.4356859542667346E-10</v>
      </c>
      <c r="AX104" s="23">
        <f t="shared" si="60"/>
        <v>5.6763168854812625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-2.8421709430404007E-14</v>
      </c>
      <c r="BE104" s="14">
        <f>BD104*VLOOKUP('Données projet'!$B$11,Paramètres!$A$1:$I$88,3,0)*VLOOKUP('Données projet'!$B$11,Paramètres!$A$1:$I$88,5,0)</f>
        <v>-2.4829205358400945E-14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223.81948236065614</v>
      </c>
      <c r="BJ104" s="62">
        <f t="shared" si="92"/>
        <v>320.1204011431372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0.75318049167383949</v>
      </c>
      <c r="BQ104" s="23">
        <f>EXP(-LN(2)/25)*BQ103+(1-EXP(-LN(2)/25))/(LN(2)/25)*Calculateur!BL104*Calculateur!BN104*VLOOKUP('Données projet'!$B$11,Paramètres!$A$1:$I$88,3,0)*0.475*44/12</f>
        <v>2.4709370291403756</v>
      </c>
      <c r="BR104" s="23">
        <f>EXP(-LN(2)/2)*BR103+(1-EXP(-LN(2)/2))/(LN(2)/2)*BL104*BO104*VLOOKUP('Données projet'!$B$11,Paramètres!$A$1:$I$88,3,0)*0.475*44/12</f>
        <v>5.714932959630669E-10</v>
      </c>
      <c r="BS104" s="24">
        <f t="shared" si="63"/>
        <v>3.2241175213857081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4.5474735088646412E-13</v>
      </c>
      <c r="O105" s="14">
        <f>N105*VLOOKUP('Données projet'!$B$9,Paramètres!$A$1:$I$88,3,0)*VLOOKUP('Données projet'!$B$9,Paramètres!$A$1:$I$88,5,0)</f>
        <v>2.5420376914553347E-13</v>
      </c>
      <c r="P105" s="14">
        <f t="shared" si="87"/>
        <v>3.4258699088369875E-12</v>
      </c>
      <c r="Q105" s="22">
        <f t="shared" si="107"/>
        <v>6.4094616558195571E-12</v>
      </c>
      <c r="R105" s="62">
        <f t="shared" si="55"/>
        <v>293.33333333333974</v>
      </c>
      <c r="S105" s="62">
        <f ca="1">AVERAGE(OFFSET($R$3,0,0,'Données projet'!$E$9+1,1))-AVERAGE(OFFSET($H$3,0,0,'Données projet'!$E$9+1,1))</f>
        <v>373.16487843768437</v>
      </c>
      <c r="T105" s="62">
        <f t="shared" si="88"/>
        <v>376.53494965377718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4.9393714243958451</v>
      </c>
      <c r="AA105" s="23">
        <f>EXP(-LN(2)/25)*AA104+(1-EXP(-LN(2)/25))/(LN(2)/25)*Calculateur!V105*Calculateur!X105*VLOOKUP('Données projet'!$B$9,Paramètres!$A$1:$I$88,3,0)*0.475*44/12</f>
        <v>4.4698915488271744</v>
      </c>
      <c r="AB105" s="23">
        <f>EXP(-LN(2)/2)*AB104+(1-EXP(-LN(2)/2))/(LN(2)/2)*V105*Y105*VLOOKUP('Données projet'!$B$9,Paramètres!$A$1:$I$88,3,0)*0.475*44/12</f>
        <v>3.6454992108623875E-10</v>
      </c>
      <c r="AC105" s="24">
        <f t="shared" si="57"/>
        <v>9.4092629735875679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projet'!$B$10,Paramètres!$A$1:$I$88,3,0)*VLOOKUP('Données projet'!$B$10,Paramètres!$A$1:$I$88,5,0)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210.04871822652808</v>
      </c>
      <c r="AO105" s="62">
        <f t="shared" si="90"/>
        <v>250.17540614049324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1.7543644805465155</v>
      </c>
      <c r="AV105" s="23">
        <f>EXP(-LN(2)/25)*AV104+(1-EXP(-LN(2)/25))/(LN(2)/25)*Calculateur!AQ105*Calculateur!AS105*VLOOKUP('Données projet'!$B$10,Paramètres!$A$1:$I$88,3,0)*0.475*44/12</f>
        <v>3.7805758376101761</v>
      </c>
      <c r="AW105" s="23">
        <f>EXP(-LN(2)/2)*AW104+(1-EXP(-LN(2)/2))/(LN(2)/2)*AQ105*AT105*VLOOKUP('Données projet'!$B$10,Paramètres!$A$1:$I$88,3,0)*0.475*44/12</f>
        <v>3.1365036174759301E-10</v>
      </c>
      <c r="AX105" s="23">
        <f t="shared" si="60"/>
        <v>5.5349403184703423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-2.8421709430404007E-14</v>
      </c>
      <c r="BE105" s="14">
        <f>BD105*VLOOKUP('Données projet'!$B$11,Paramètres!$A$1:$I$88,3,0)*VLOOKUP('Données projet'!$B$11,Paramètres!$A$1:$I$88,5,0)</f>
        <v>-2.4829205358400945E-14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223.81948236065614</v>
      </c>
      <c r="BJ105" s="62">
        <f t="shared" si="92"/>
        <v>320.1204011431372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0.73841108162685398</v>
      </c>
      <c r="BQ105" s="23">
        <f>EXP(-LN(2)/25)*BQ104+(1-EXP(-LN(2)/25))/(LN(2)/25)*Calculateur!BL105*Calculateur!BN105*VLOOKUP('Données projet'!$B$11,Paramètres!$A$1:$I$88,3,0)*0.475*44/12</f>
        <v>2.4033691261376009</v>
      </c>
      <c r="BR105" s="23">
        <f>EXP(-LN(2)/2)*BR104+(1-EXP(-LN(2)/2))/(LN(2)/2)*BL105*BO105*VLOOKUP('Données projet'!$B$11,Paramètres!$A$1:$I$88,3,0)*0.475*44/12</f>
        <v>4.041067849781352E-10</v>
      </c>
      <c r="BS105" s="24">
        <f t="shared" si="63"/>
        <v>3.1417802081685617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4.5474735088646412E-13</v>
      </c>
      <c r="O106" s="14">
        <f>N106*VLOOKUP('Données projet'!$B$9,Paramètres!$A$1:$I$88,3,0)*VLOOKUP('Données projet'!$B$9,Paramètres!$A$1:$I$88,5,0)</f>
        <v>2.5420376914553347E-13</v>
      </c>
      <c r="P106" s="14">
        <f t="shared" si="87"/>
        <v>3.4258699088369875E-12</v>
      </c>
      <c r="Q106" s="22">
        <f t="shared" si="107"/>
        <v>6.4094616558195571E-12</v>
      </c>
      <c r="R106" s="62">
        <f t="shared" si="55"/>
        <v>293.33333333333974</v>
      </c>
      <c r="S106" s="62">
        <f ca="1">AVERAGE(OFFSET($R$3,0,0,'Données projet'!$E$9+1,1))-AVERAGE(OFFSET($H$3,0,0,'Données projet'!$E$9+1,1))</f>
        <v>373.16487843768437</v>
      </c>
      <c r="T106" s="62">
        <f t="shared" si="88"/>
        <v>376.53494965377718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4.8425133634825306</v>
      </c>
      <c r="AA106" s="23">
        <f>EXP(-LN(2)/25)*AA105+(1-EXP(-LN(2)/25))/(LN(2)/25)*Calculateur!V106*Calculateur!X106*VLOOKUP('Données projet'!$B$9,Paramètres!$A$1:$I$88,3,0)*0.475*44/12</f>
        <v>4.3476621293631146</v>
      </c>
      <c r="AB106" s="23">
        <f>EXP(-LN(2)/2)*AB105+(1-EXP(-LN(2)/2))/(LN(2)/2)*V106*Y106*VLOOKUP('Données projet'!$B$9,Paramètres!$A$1:$I$88,3,0)*0.475*44/12</f>
        <v>2.5777572128110019E-10</v>
      </c>
      <c r="AC106" s="24">
        <f t="shared" si="57"/>
        <v>9.1901754931034212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projet'!$B$10,Paramètres!$A$1:$I$88,3,0)*VLOOKUP('Données projet'!$B$10,Paramètres!$A$1:$I$88,5,0)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210.04871822652808</v>
      </c>
      <c r="AO106" s="62">
        <f t="shared" si="90"/>
        <v>250.17540614049324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1.7199624631396722</v>
      </c>
      <c r="AV106" s="23">
        <f>EXP(-LN(2)/25)*AV105+(1-EXP(-LN(2)/25))/(LN(2)/25)*Calculateur!AQ106*Calculateur!AS106*VLOOKUP('Données projet'!$B$10,Paramètres!$A$1:$I$88,3,0)*0.475*44/12</f>
        <v>3.6771957925188832</v>
      </c>
      <c r="AW106" s="23">
        <f>EXP(-LN(2)/2)*AW105+(1-EXP(-LN(2)/2))/(LN(2)/2)*AQ106*AT106*VLOOKUP('Données projet'!$B$10,Paramètres!$A$1:$I$88,3,0)*0.475*44/12</f>
        <v>2.2178429771333673E-10</v>
      </c>
      <c r="AX106" s="23">
        <f t="shared" si="60"/>
        <v>5.3971582558803393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-2.8421709430404007E-14</v>
      </c>
      <c r="BE106" s="14">
        <f>BD106*VLOOKUP('Données projet'!$B$11,Paramètres!$A$1:$I$88,3,0)*VLOOKUP('Données projet'!$B$11,Paramètres!$A$1:$I$88,5,0)</f>
        <v>-2.4829205358400945E-14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223.81948236065614</v>
      </c>
      <c r="BJ106" s="62">
        <f t="shared" si="92"/>
        <v>320.1204011431372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0.72393129070243922</v>
      </c>
      <c r="BQ106" s="23">
        <f>EXP(-LN(2)/25)*BQ105+(1-EXP(-LN(2)/25))/(LN(2)/25)*Calculateur!BL106*Calculateur!BN106*VLOOKUP('Données projet'!$B$11,Paramètres!$A$1:$I$88,3,0)*0.475*44/12</f>
        <v>2.3376488709956789</v>
      </c>
      <c r="BR106" s="23">
        <f>EXP(-LN(2)/2)*BR105+(1-EXP(-LN(2)/2))/(LN(2)/2)*BL106*BO106*VLOOKUP('Données projet'!$B$11,Paramètres!$A$1:$I$88,3,0)*0.475*44/12</f>
        <v>2.8574664798153345E-10</v>
      </c>
      <c r="BS106" s="24">
        <f t="shared" si="63"/>
        <v>3.0615801619838647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4.5474735088646412E-13</v>
      </c>
      <c r="O107" s="14">
        <f>N107*VLOOKUP('Données projet'!$B$9,Paramètres!$A$1:$I$88,3,0)*VLOOKUP('Données projet'!$B$9,Paramètres!$A$1:$I$88,5,0)</f>
        <v>2.5420376914553347E-13</v>
      </c>
      <c r="P107" s="14">
        <f t="shared" si="87"/>
        <v>3.4258699088369875E-12</v>
      </c>
      <c r="Q107" s="22">
        <f t="shared" si="107"/>
        <v>6.4094616558195571E-12</v>
      </c>
      <c r="R107" s="62">
        <f t="shared" si="55"/>
        <v>293.33333333333974</v>
      </c>
      <c r="S107" s="62">
        <f ca="1">AVERAGE(OFFSET($R$3,0,0,'Données projet'!$E$9+1,1))-AVERAGE(OFFSET($H$3,0,0,'Données projet'!$E$9+1,1))</f>
        <v>373.16487843768437</v>
      </c>
      <c r="T107" s="62">
        <f t="shared" si="88"/>
        <v>376.53494965377718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4.7475546300661424</v>
      </c>
      <c r="AA107" s="23">
        <f>EXP(-LN(2)/25)*AA106+(1-EXP(-LN(2)/25))/(LN(2)/25)*Calculateur!V107*Calculateur!X107*VLOOKUP('Données projet'!$B$9,Paramètres!$A$1:$I$88,3,0)*0.475*44/12</f>
        <v>4.2287750798020651</v>
      </c>
      <c r="AB107" s="23">
        <f>EXP(-LN(2)/2)*AB106+(1-EXP(-LN(2)/2))/(LN(2)/2)*V107*Y107*VLOOKUP('Données projet'!$B$9,Paramètres!$A$1:$I$88,3,0)*0.475*44/12</f>
        <v>1.8227496054311937E-10</v>
      </c>
      <c r="AC107" s="24">
        <f t="shared" si="57"/>
        <v>8.9763297100504822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projet'!$B$10,Paramètres!$A$1:$I$88,3,0)*VLOOKUP('Données projet'!$B$10,Paramètres!$A$1:$I$88,5,0)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210.04871822652808</v>
      </c>
      <c r="AO107" s="62">
        <f t="shared" si="90"/>
        <v>250.17540614049324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1.6862350483110182</v>
      </c>
      <c r="AV107" s="23">
        <f>EXP(-LN(2)/25)*AV106+(1-EXP(-LN(2)/25))/(LN(2)/25)*Calculateur!AQ107*Calculateur!AS107*VLOOKUP('Données projet'!$B$10,Paramètres!$A$1:$I$88,3,0)*0.475*44/12</f>
        <v>3.5766426801971321</v>
      </c>
      <c r="AW107" s="23">
        <f>EXP(-LN(2)/2)*AW106+(1-EXP(-LN(2)/2))/(LN(2)/2)*AQ107*AT107*VLOOKUP('Données projet'!$B$10,Paramètres!$A$1:$I$88,3,0)*0.475*44/12</f>
        <v>1.568251808737965E-10</v>
      </c>
      <c r="AX107" s="23">
        <f t="shared" si="60"/>
        <v>5.2628777286649751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-2.8421709430404007E-14</v>
      </c>
      <c r="BE107" s="14">
        <f>BD107*VLOOKUP('Données projet'!$B$11,Paramètres!$A$1:$I$88,3,0)*VLOOKUP('Données projet'!$B$11,Paramètres!$A$1:$I$88,5,0)</f>
        <v>-2.4829205358400945E-14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223.81948236065614</v>
      </c>
      <c r="BJ107" s="62">
        <f t="shared" si="92"/>
        <v>320.1204011431372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0.70973543964625185</v>
      </c>
      <c r="BQ107" s="23">
        <f>EXP(-LN(2)/25)*BQ106+(1-EXP(-LN(2)/25))/(LN(2)/25)*Calculateur!BL107*Calculateur!BN107*VLOOKUP('Données projet'!$B$11,Paramètres!$A$1:$I$88,3,0)*0.475*44/12</f>
        <v>2.2737257396866908</v>
      </c>
      <c r="BR107" s="23">
        <f>EXP(-LN(2)/2)*BR106+(1-EXP(-LN(2)/2))/(LN(2)/2)*BL107*BO107*VLOOKUP('Données projet'!$B$11,Paramètres!$A$1:$I$88,3,0)*0.475*44/12</f>
        <v>2.020533924890676E-10</v>
      </c>
      <c r="BS107" s="24">
        <f t="shared" si="63"/>
        <v>2.9834611795349959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4.5474735088646412E-13</v>
      </c>
      <c r="O108" s="14">
        <f>N108*VLOOKUP('Données projet'!$B$9,Paramètres!$A$1:$I$88,3,0)*VLOOKUP('Données projet'!$B$9,Paramètres!$A$1:$I$88,5,0)</f>
        <v>2.5420376914553347E-13</v>
      </c>
      <c r="P108" s="14">
        <f t="shared" si="87"/>
        <v>3.4258699088369875E-12</v>
      </c>
      <c r="Q108" s="22">
        <f t="shared" si="107"/>
        <v>6.4094616558195571E-12</v>
      </c>
      <c r="R108" s="62">
        <f t="shared" si="55"/>
        <v>293.33333333333974</v>
      </c>
      <c r="S108" s="62">
        <f ca="1">AVERAGE(OFFSET($R$3,0,0,'Données projet'!$E$9+1,1))-AVERAGE(OFFSET($H$3,0,0,'Données projet'!$E$9+1,1))</f>
        <v>373.16487843768437</v>
      </c>
      <c r="T108" s="62">
        <f t="shared" si="88"/>
        <v>376.53494965377718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4.6544579794929408</v>
      </c>
      <c r="AA108" s="23">
        <f>EXP(-LN(2)/25)*AA107+(1-EXP(-LN(2)/25))/(LN(2)/25)*Calculateur!V108*Calculateur!X108*VLOOKUP('Données projet'!$B$9,Paramètres!$A$1:$I$88,3,0)*0.475*44/12</f>
        <v>4.1131390028632611</v>
      </c>
      <c r="AB108" s="23">
        <f>EXP(-LN(2)/2)*AB107+(1-EXP(-LN(2)/2))/(LN(2)/2)*V108*Y108*VLOOKUP('Données projet'!$B$9,Paramètres!$A$1:$I$88,3,0)*0.475*44/12</f>
        <v>1.2888786064055009E-10</v>
      </c>
      <c r="AC108" s="24">
        <f t="shared" si="57"/>
        <v>8.7675969824850899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projet'!$B$10,Paramètres!$A$1:$I$88,3,0)*VLOOKUP('Données projet'!$B$10,Paramètres!$A$1:$I$88,5,0)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210.04871822652808</v>
      </c>
      <c r="AO108" s="62">
        <f t="shared" si="90"/>
        <v>250.17540614049324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1.6531690075154626</v>
      </c>
      <c r="AV108" s="23">
        <f>EXP(-LN(2)/25)*AV107+(1-EXP(-LN(2)/25))/(LN(2)/25)*Calculateur!AQ108*Calculateur!AS108*VLOOKUP('Données projet'!$B$10,Paramètres!$A$1:$I$88,3,0)*0.475*44/12</f>
        <v>3.4788391980196773</v>
      </c>
      <c r="AW108" s="23">
        <f>EXP(-LN(2)/2)*AW107+(1-EXP(-LN(2)/2))/(LN(2)/2)*AQ108*AT108*VLOOKUP('Données projet'!$B$10,Paramètres!$A$1:$I$88,3,0)*0.475*44/12</f>
        <v>1.1089214885666836E-10</v>
      </c>
      <c r="AX108" s="23">
        <f t="shared" si="60"/>
        <v>5.1320082056460317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-2.8421709430404007E-14</v>
      </c>
      <c r="BE108" s="14">
        <f>BD108*VLOOKUP('Données projet'!$B$11,Paramètres!$A$1:$I$88,3,0)*VLOOKUP('Données projet'!$B$11,Paramètres!$A$1:$I$88,5,0)</f>
        <v>-2.4829205358400945E-14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223.81948236065614</v>
      </c>
      <c r="BJ108" s="62">
        <f t="shared" si="92"/>
        <v>320.1204011431372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0.69581796057066214</v>
      </c>
      <c r="BQ108" s="23">
        <f>EXP(-LN(2)/25)*BQ107+(1-EXP(-LN(2)/25))/(LN(2)/25)*Calculateur!BL108*Calculateur!BN108*VLOOKUP('Données projet'!$B$11,Paramètres!$A$1:$I$88,3,0)*0.475*44/12</f>
        <v>2.2115505897649181</v>
      </c>
      <c r="BR108" s="23">
        <f>EXP(-LN(2)/2)*BR107+(1-EXP(-LN(2)/2))/(LN(2)/2)*BL108*BO108*VLOOKUP('Données projet'!$B$11,Paramètres!$A$1:$I$88,3,0)*0.475*44/12</f>
        <v>1.4287332399076673E-10</v>
      </c>
      <c r="BS108" s="24">
        <f t="shared" si="63"/>
        <v>2.9073685504784534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4.5474735088646412E-13</v>
      </c>
      <c r="O109" s="14">
        <f>N109*VLOOKUP('Données projet'!$B$9,Paramètres!$A$1:$I$88,3,0)*VLOOKUP('Données projet'!$B$9,Paramètres!$A$1:$I$88,5,0)</f>
        <v>2.5420376914553347E-13</v>
      </c>
      <c r="P109" s="14">
        <f t="shared" si="87"/>
        <v>3.4258699088369875E-12</v>
      </c>
      <c r="Q109" s="22">
        <f t="shared" si="107"/>
        <v>6.4094616558195571E-12</v>
      </c>
      <c r="R109" s="62">
        <f t="shared" si="55"/>
        <v>293.33333333333974</v>
      </c>
      <c r="S109" s="62">
        <f ca="1">AVERAGE(OFFSET($R$3,0,0,'Données projet'!$E$9+1,1))-AVERAGE(OFFSET($H$3,0,0,'Données projet'!$E$9+1,1))</f>
        <v>373.16487843768437</v>
      </c>
      <c r="T109" s="62">
        <f t="shared" si="88"/>
        <v>376.53494965377718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4.5631868974541296</v>
      </c>
      <c r="AA109" s="23">
        <f>EXP(-LN(2)/25)*AA108+(1-EXP(-LN(2)/25))/(LN(2)/25)*Calculateur!V109*Calculateur!X109*VLOOKUP('Données projet'!$B$9,Paramètres!$A$1:$I$88,3,0)*0.475*44/12</f>
        <v>4.000665000529386</v>
      </c>
      <c r="AB109" s="23">
        <f>EXP(-LN(2)/2)*AB108+(1-EXP(-LN(2)/2))/(LN(2)/2)*V109*Y109*VLOOKUP('Données projet'!$B$9,Paramètres!$A$1:$I$88,3,0)*0.475*44/12</f>
        <v>9.1137480271559686E-11</v>
      </c>
      <c r="AC109" s="24">
        <f t="shared" si="57"/>
        <v>8.5638518980746525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projet'!$B$10,Paramètres!$A$1:$I$88,3,0)*VLOOKUP('Données projet'!$B$10,Paramètres!$A$1:$I$88,5,0)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210.04871822652808</v>
      </c>
      <c r="AO109" s="62">
        <f t="shared" si="90"/>
        <v>250.17540614049324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1.6207513716116142</v>
      </c>
      <c r="AV109" s="23">
        <f>EXP(-LN(2)/25)*AV108+(1-EXP(-LN(2)/25))/(LN(2)/25)*Calculateur!AQ109*Calculateur!AS109*VLOOKUP('Données projet'!$B$10,Paramètres!$A$1:$I$88,3,0)*0.475*44/12</f>
        <v>3.383710157205627</v>
      </c>
      <c r="AW109" s="23">
        <f>EXP(-LN(2)/2)*AW108+(1-EXP(-LN(2)/2))/(LN(2)/2)*AQ109*AT109*VLOOKUP('Données projet'!$B$10,Paramètres!$A$1:$I$88,3,0)*0.475*44/12</f>
        <v>7.8412590436898252E-11</v>
      </c>
      <c r="AX109" s="23">
        <f t="shared" si="60"/>
        <v>5.0044615288956544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-2.8421709430404007E-14</v>
      </c>
      <c r="BE109" s="14">
        <f>BD109*VLOOKUP('Données projet'!$B$11,Paramètres!$A$1:$I$88,3,0)*VLOOKUP('Données projet'!$B$11,Paramètres!$A$1:$I$88,5,0)</f>
        <v>-2.4829205358400945E-14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223.81948236065614</v>
      </c>
      <c r="BJ109" s="62">
        <f t="shared" si="92"/>
        <v>320.1204011431372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0.68217339477092065</v>
      </c>
      <c r="BQ109" s="23">
        <f>EXP(-LN(2)/25)*BQ108+(1-EXP(-LN(2)/25))/(LN(2)/25)*Calculateur!BL109*Calculateur!BN109*VLOOKUP('Données projet'!$B$11,Paramètres!$A$1:$I$88,3,0)*0.475*44/12</f>
        <v>2.1510756225874057</v>
      </c>
      <c r="BR109" s="23">
        <f>EXP(-LN(2)/2)*BR108+(1-EXP(-LN(2)/2))/(LN(2)/2)*BL109*BO109*VLOOKUP('Données projet'!$B$11,Paramètres!$A$1:$I$88,3,0)*0.475*44/12</f>
        <v>1.010266962445338E-10</v>
      </c>
      <c r="BS109" s="24">
        <f t="shared" si="63"/>
        <v>2.833249017459353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4.5474735088646412E-13</v>
      </c>
      <c r="O110" s="14">
        <f>N110*VLOOKUP('Données projet'!$B$9,Paramètres!$A$1:$I$88,3,0)*VLOOKUP('Données projet'!$B$9,Paramètres!$A$1:$I$88,5,0)</f>
        <v>2.5420376914553347E-13</v>
      </c>
      <c r="P110" s="14">
        <f t="shared" si="87"/>
        <v>3.4258699088369875E-12</v>
      </c>
      <c r="Q110" s="22">
        <f t="shared" si="107"/>
        <v>6.4094616558195571E-12</v>
      </c>
      <c r="R110" s="62">
        <f t="shared" si="55"/>
        <v>293.33333333333974</v>
      </c>
      <c r="S110" s="62">
        <f ca="1">AVERAGE(OFFSET($R$3,0,0,'Données projet'!$E$9+1,1))-AVERAGE(OFFSET($H$3,0,0,'Données projet'!$E$9+1,1))</f>
        <v>373.16487843768437</v>
      </c>
      <c r="T110" s="62">
        <f t="shared" si="88"/>
        <v>376.53494965377718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4.4737055856642369</v>
      </c>
      <c r="AA110" s="23">
        <f>EXP(-LN(2)/25)*AA109+(1-EXP(-LN(2)/25))/(LN(2)/25)*Calculateur!V110*Calculateur!X110*VLOOKUP('Données projet'!$B$9,Paramètres!$A$1:$I$88,3,0)*0.475*44/12</f>
        <v>3.891266605704081</v>
      </c>
      <c r="AB110" s="23">
        <f>EXP(-LN(2)/2)*AB109+(1-EXP(-LN(2)/2))/(LN(2)/2)*V110*Y110*VLOOKUP('Données projet'!$B$9,Paramètres!$A$1:$I$88,3,0)*0.475*44/12</f>
        <v>6.4443930320275046E-11</v>
      </c>
      <c r="AC110" s="24">
        <f t="shared" si="57"/>
        <v>8.3649721914327628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projet'!$B$10,Paramètres!$A$1:$I$88,3,0)*VLOOKUP('Données projet'!$B$10,Paramètres!$A$1:$I$88,5,0)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210.04871822652808</v>
      </c>
      <c r="AO110" s="62">
        <f t="shared" si="90"/>
        <v>250.17540614049324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1.5889694257750349</v>
      </c>
      <c r="AV110" s="23">
        <f>EXP(-LN(2)/25)*AV109+(1-EXP(-LN(2)/25))/(LN(2)/25)*Calculateur!AQ110*Calculateur!AS110*VLOOKUP('Données projet'!$B$10,Paramètres!$A$1:$I$88,3,0)*0.475*44/12</f>
        <v>3.2911824250152555</v>
      </c>
      <c r="AW110" s="23">
        <f>EXP(-LN(2)/2)*AW109+(1-EXP(-LN(2)/2))/(LN(2)/2)*AQ110*AT110*VLOOKUP('Données projet'!$B$10,Paramètres!$A$1:$I$88,3,0)*0.475*44/12</f>
        <v>5.5446074428334182E-11</v>
      </c>
      <c r="AX110" s="23">
        <f t="shared" si="60"/>
        <v>4.8801518508457367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-2.8421709430404007E-14</v>
      </c>
      <c r="BE110" s="14">
        <f>BD110*VLOOKUP('Données projet'!$B$11,Paramètres!$A$1:$I$88,3,0)*VLOOKUP('Données projet'!$B$11,Paramètres!$A$1:$I$88,5,0)</f>
        <v>-2.4829205358400945E-14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223.81948236065614</v>
      </c>
      <c r="BJ110" s="62">
        <f t="shared" si="92"/>
        <v>320.1204011431372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0.66879639058414875</v>
      </c>
      <c r="BQ110" s="23">
        <f>EXP(-LN(2)/25)*BQ109+(1-EXP(-LN(2)/25))/(LN(2)/25)*Calculateur!BL110*Calculateur!BN110*VLOOKUP('Données projet'!$B$11,Paramètres!$A$1:$I$88,3,0)*0.475*44/12</f>
        <v>2.0922543465676022</v>
      </c>
      <c r="BR110" s="23">
        <f>EXP(-LN(2)/2)*BR109+(1-EXP(-LN(2)/2))/(LN(2)/2)*BL110*BO110*VLOOKUP('Données projet'!$B$11,Paramètres!$A$1:$I$88,3,0)*0.475*44/12</f>
        <v>7.1436661995383363E-11</v>
      </c>
      <c r="BS110" s="24">
        <f t="shared" si="63"/>
        <v>2.7610507372231878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4.5474735088646412E-13</v>
      </c>
      <c r="O111" s="14">
        <f>N111*VLOOKUP('Données projet'!$B$9,Paramètres!$A$1:$I$88,3,0)*VLOOKUP('Données projet'!$B$9,Paramètres!$A$1:$I$88,5,0)</f>
        <v>2.5420376914553347E-13</v>
      </c>
      <c r="P111" s="14">
        <f t="shared" si="87"/>
        <v>3.4258699088369875E-12</v>
      </c>
      <c r="Q111" s="22">
        <f t="shared" si="107"/>
        <v>6.4094616558195571E-12</v>
      </c>
      <c r="R111" s="62">
        <f t="shared" si="55"/>
        <v>293.33333333333974</v>
      </c>
      <c r="S111" s="62">
        <f ca="1">AVERAGE(OFFSET($R$3,0,0,'Données projet'!$E$9+1,1))-AVERAGE(OFFSET($H$3,0,0,'Données projet'!$E$9+1,1))</f>
        <v>373.16487843768437</v>
      </c>
      <c r="T111" s="62">
        <f t="shared" si="88"/>
        <v>376.53494965377718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4.385978947820333</v>
      </c>
      <c r="AA111" s="23">
        <f>EXP(-LN(2)/25)*AA110+(1-EXP(-LN(2)/25))/(LN(2)/25)*Calculateur!V111*Calculateur!X111*VLOOKUP('Données projet'!$B$9,Paramètres!$A$1:$I$88,3,0)*0.475*44/12</f>
        <v>3.7848597157382859</v>
      </c>
      <c r="AB111" s="23">
        <f>EXP(-LN(2)/2)*AB110+(1-EXP(-LN(2)/2))/(LN(2)/2)*V111*Y111*VLOOKUP('Données projet'!$B$9,Paramètres!$A$1:$I$88,3,0)*0.475*44/12</f>
        <v>4.5568740135779843E-11</v>
      </c>
      <c r="AC111" s="24">
        <f t="shared" si="57"/>
        <v>8.1708386636041883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projet'!$B$10,Paramètres!$A$1:$I$88,3,0)*VLOOKUP('Données projet'!$B$10,Paramètres!$A$1:$I$88,5,0)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210.04871822652808</v>
      </c>
      <c r="AO111" s="62">
        <f t="shared" si="90"/>
        <v>250.17540614049324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1.5578107045112379</v>
      </c>
      <c r="AV111" s="23">
        <f>EXP(-LN(2)/25)*AV110+(1-EXP(-LN(2)/25))/(LN(2)/25)*Calculateur!AQ111*Calculateur!AS111*VLOOKUP('Données projet'!$B$10,Paramètres!$A$1:$I$88,3,0)*0.475*44/12</f>
        <v>3.2011848685274518</v>
      </c>
      <c r="AW111" s="23">
        <f>EXP(-LN(2)/2)*AW110+(1-EXP(-LN(2)/2))/(LN(2)/2)*AQ111*AT111*VLOOKUP('Données projet'!$B$10,Paramètres!$A$1:$I$88,3,0)*0.475*44/12</f>
        <v>3.9206295218449126E-11</v>
      </c>
      <c r="AX111" s="23">
        <f t="shared" si="60"/>
        <v>4.7589955730778959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-2.8421709430404007E-14</v>
      </c>
      <c r="BE111" s="14">
        <f>BD111*VLOOKUP('Données projet'!$B$11,Paramètres!$A$1:$I$88,3,0)*VLOOKUP('Données projet'!$B$11,Paramètres!$A$1:$I$88,5,0)</f>
        <v>-2.4829205358400945E-14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223.81948236065614</v>
      </c>
      <c r="BJ111" s="62">
        <f t="shared" si="92"/>
        <v>320.1204011431372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0.65568170129031256</v>
      </c>
      <c r="BQ111" s="23">
        <f>EXP(-LN(2)/25)*BQ110+(1-EXP(-LN(2)/25))/(LN(2)/25)*Calculateur!BL111*Calculateur!BN111*VLOOKUP('Données projet'!$B$11,Paramètres!$A$1:$I$88,3,0)*0.475*44/12</f>
        <v>2.035041541433837</v>
      </c>
      <c r="BR111" s="23">
        <f>EXP(-LN(2)/2)*BR110+(1-EXP(-LN(2)/2))/(LN(2)/2)*BL111*BO111*VLOOKUP('Données projet'!$B$11,Paramètres!$A$1:$I$88,3,0)*0.475*44/12</f>
        <v>5.05133481222669E-11</v>
      </c>
      <c r="BS111" s="24">
        <f t="shared" si="63"/>
        <v>2.6907232427746628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4.5474735088646412E-13</v>
      </c>
      <c r="O112" s="14">
        <f>N112*VLOOKUP('Données projet'!$B$9,Paramètres!$A$1:$I$88,3,0)*VLOOKUP('Données projet'!$B$9,Paramètres!$A$1:$I$88,5,0)</f>
        <v>2.5420376914553347E-13</v>
      </c>
      <c r="P112" s="14">
        <f t="shared" si="87"/>
        <v>3.4258699088369875E-12</v>
      </c>
      <c r="Q112" s="22">
        <f t="shared" si="107"/>
        <v>6.4094616558195571E-12</v>
      </c>
      <c r="R112" s="62">
        <f t="shared" si="55"/>
        <v>293.33333333333974</v>
      </c>
      <c r="S112" s="62">
        <f ca="1">AVERAGE(OFFSET($R$3,0,0,'Données projet'!$E$9+1,1))-AVERAGE(OFFSET($H$3,0,0,'Données projet'!$E$9+1,1))</f>
        <v>373.16487843768437</v>
      </c>
      <c r="T112" s="62">
        <f t="shared" si="88"/>
        <v>376.53494965377718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4.2999725758365823</v>
      </c>
      <c r="AA112" s="23">
        <f>EXP(-LN(2)/25)*AA111+(1-EXP(-LN(2)/25))/(LN(2)/25)*Calculateur!V112*Calculateur!X112*VLOOKUP('Données projet'!$B$9,Paramètres!$A$1:$I$88,3,0)*0.475*44/12</f>
        <v>3.6813625277743003</v>
      </c>
      <c r="AB112" s="23">
        <f>EXP(-LN(2)/2)*AB111+(1-EXP(-LN(2)/2))/(LN(2)/2)*V112*Y112*VLOOKUP('Données projet'!$B$9,Paramètres!$A$1:$I$88,3,0)*0.475*44/12</f>
        <v>3.2221965160137523E-11</v>
      </c>
      <c r="AC112" s="24">
        <f t="shared" si="57"/>
        <v>7.9813351036431053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projet'!$B$10,Paramètres!$A$1:$I$88,3,0)*VLOOKUP('Données projet'!$B$10,Paramètres!$A$1:$I$88,5,0)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210.04871822652808</v>
      </c>
      <c r="AO112" s="62">
        <f t="shared" si="90"/>
        <v>250.17540614049324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1.5272629867664806</v>
      </c>
      <c r="AV112" s="23">
        <f>EXP(-LN(2)/25)*AV111+(1-EXP(-LN(2)/25))/(LN(2)/25)*Calculateur!AQ112*Calculateur!AS112*VLOOKUP('Données projet'!$B$10,Paramètres!$A$1:$I$88,3,0)*0.475*44/12</f>
        <v>3.1136482999545727</v>
      </c>
      <c r="AW112" s="23">
        <f>EXP(-LN(2)/2)*AW111+(1-EXP(-LN(2)/2))/(LN(2)/2)*AQ112*AT112*VLOOKUP('Données projet'!$B$10,Paramètres!$A$1:$I$88,3,0)*0.475*44/12</f>
        <v>2.7723037214167091E-11</v>
      </c>
      <c r="AX112" s="23">
        <f t="shared" si="60"/>
        <v>4.6409112867487758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-2.8421709430404007E-14</v>
      </c>
      <c r="BE112" s="14">
        <f>BD112*VLOOKUP('Données projet'!$B$11,Paramètres!$A$1:$I$88,3,0)*VLOOKUP('Données projet'!$B$11,Paramètres!$A$1:$I$88,5,0)</f>
        <v>-2.4829205358400945E-14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223.81948236065614</v>
      </c>
      <c r="BJ112" s="62">
        <f t="shared" si="92"/>
        <v>320.1204011431372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0.64282418305435785</v>
      </c>
      <c r="BQ112" s="23">
        <f>EXP(-LN(2)/25)*BQ111+(1-EXP(-LN(2)/25))/(LN(2)/25)*Calculateur!BL112*Calculateur!BN112*VLOOKUP('Données projet'!$B$11,Paramètres!$A$1:$I$88,3,0)*0.475*44/12</f>
        <v>1.9793932234651452</v>
      </c>
      <c r="BR112" s="23">
        <f>EXP(-LN(2)/2)*BR111+(1-EXP(-LN(2)/2))/(LN(2)/2)*BL112*BO112*VLOOKUP('Données projet'!$B$11,Paramètres!$A$1:$I$88,3,0)*0.475*44/12</f>
        <v>3.5718330997691681E-11</v>
      </c>
      <c r="BS112" s="24">
        <f t="shared" si="63"/>
        <v>2.6222174065552215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4.5474735088646412E-13</v>
      </c>
      <c r="O113" s="14">
        <f>N113*VLOOKUP('Données projet'!$B$9,Paramètres!$A$1:$I$88,3,0)*VLOOKUP('Données projet'!$B$9,Paramètres!$A$1:$I$88,5,0)</f>
        <v>2.5420376914553347E-13</v>
      </c>
      <c r="P113" s="14">
        <f t="shared" si="87"/>
        <v>3.4258699088369875E-12</v>
      </c>
      <c r="Q113" s="22">
        <f t="shared" si="107"/>
        <v>6.4094616558195571E-12</v>
      </c>
      <c r="R113" s="62">
        <f t="shared" si="55"/>
        <v>293.33333333333974</v>
      </c>
      <c r="S113" s="62">
        <f ca="1">AVERAGE(OFFSET($R$3,0,0,'Données projet'!$E$9+1,1))-AVERAGE(OFFSET($H$3,0,0,'Données projet'!$E$9+1,1))</f>
        <v>373.16487843768437</v>
      </c>
      <c r="T113" s="62">
        <f t="shared" si="88"/>
        <v>376.53494965377718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4.2156527363487255</v>
      </c>
      <c r="AA113" s="23">
        <f>EXP(-LN(2)/25)*AA112+(1-EXP(-LN(2)/25))/(LN(2)/25)*Calculateur!V113*Calculateur!X113*VLOOKUP('Données projet'!$B$9,Paramètres!$A$1:$I$88,3,0)*0.475*44/12</f>
        <v>3.5806954758578704</v>
      </c>
      <c r="AB113" s="23">
        <f>EXP(-LN(2)/2)*AB112+(1-EXP(-LN(2)/2))/(LN(2)/2)*V113*Y113*VLOOKUP('Données projet'!$B$9,Paramètres!$A$1:$I$88,3,0)*0.475*44/12</f>
        <v>2.2784370067889922E-11</v>
      </c>
      <c r="AC113" s="24">
        <f t="shared" si="57"/>
        <v>7.7963482122293799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projet'!$B$10,Paramètres!$A$1:$I$88,3,0)*VLOOKUP('Données projet'!$B$10,Paramètres!$A$1:$I$88,5,0)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210.04871822652808</v>
      </c>
      <c r="AO113" s="62">
        <f t="shared" si="90"/>
        <v>250.17540614049324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1.4973142911344302</v>
      </c>
      <c r="AV113" s="23">
        <f>EXP(-LN(2)/25)*AV112+(1-EXP(-LN(2)/25))/(LN(2)/25)*Calculateur!AQ113*Calculateur!AS113*VLOOKUP('Données projet'!$B$10,Paramètres!$A$1:$I$88,3,0)*0.475*44/12</f>
        <v>3.0285054234526672</v>
      </c>
      <c r="AW113" s="23">
        <f>EXP(-LN(2)/2)*AW112+(1-EXP(-LN(2)/2))/(LN(2)/2)*AQ113*AT113*VLOOKUP('Données projet'!$B$10,Paramètres!$A$1:$I$88,3,0)*0.475*44/12</f>
        <v>1.9603147609224563E-11</v>
      </c>
      <c r="AX113" s="23">
        <f t="shared" si="60"/>
        <v>4.5258197146067003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-2.8421709430404007E-14</v>
      </c>
      <c r="BE113" s="14">
        <f>BD113*VLOOKUP('Données projet'!$B$11,Paramètres!$A$1:$I$88,3,0)*VLOOKUP('Données projet'!$B$11,Paramètres!$A$1:$I$88,5,0)</f>
        <v>-2.4829205358400945E-14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223.81948236065614</v>
      </c>
      <c r="BJ113" s="62">
        <f t="shared" si="92"/>
        <v>320.1204011431372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0.63021879290869842</v>
      </c>
      <c r="BQ113" s="23">
        <f>EXP(-LN(2)/25)*BQ112+(1-EXP(-LN(2)/25))/(LN(2)/25)*Calculateur!BL113*Calculateur!BN113*VLOOKUP('Données projet'!$B$11,Paramètres!$A$1:$I$88,3,0)*0.475*44/12</f>
        <v>1.9252666116777253</v>
      </c>
      <c r="BR113" s="23">
        <f>EXP(-LN(2)/2)*BR112+(1-EXP(-LN(2)/2))/(LN(2)/2)*BL113*BO113*VLOOKUP('Données projet'!$B$11,Paramètres!$A$1:$I$88,3,0)*0.475*44/12</f>
        <v>2.525667406113345E-11</v>
      </c>
      <c r="BS113" s="24">
        <f t="shared" si="63"/>
        <v>2.5554854046116806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4.5474735088646412E-13</v>
      </c>
      <c r="O114" s="14">
        <f>N114*VLOOKUP('Données projet'!$B$9,Paramètres!$A$1:$I$88,3,0)*VLOOKUP('Données projet'!$B$9,Paramètres!$A$1:$I$88,5,0)</f>
        <v>2.5420376914553347E-13</v>
      </c>
      <c r="P114" s="14">
        <f t="shared" si="87"/>
        <v>3.4258699088369875E-12</v>
      </c>
      <c r="Q114" s="22">
        <f t="shared" si="107"/>
        <v>6.4094616558195571E-12</v>
      </c>
      <c r="R114" s="62">
        <f t="shared" si="55"/>
        <v>293.33333333333974</v>
      </c>
      <c r="S114" s="62">
        <f ca="1">AVERAGE(OFFSET($R$3,0,0,'Données projet'!$E$9+1,1))-AVERAGE(OFFSET($H$3,0,0,'Données projet'!$E$9+1,1))</f>
        <v>373.16487843768437</v>
      </c>
      <c r="T114" s="62">
        <f t="shared" si="88"/>
        <v>376.53494965377718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4.132986357483202</v>
      </c>
      <c r="AA114" s="23">
        <f>EXP(-LN(2)/25)*AA113+(1-EXP(-LN(2)/25))/(LN(2)/25)*Calculateur!V114*Calculateur!X114*VLOOKUP('Données projet'!$B$9,Paramètres!$A$1:$I$88,3,0)*0.475*44/12</f>
        <v>3.4827811697699458</v>
      </c>
      <c r="AB114" s="23">
        <f>EXP(-LN(2)/2)*AB113+(1-EXP(-LN(2)/2))/(LN(2)/2)*V114*Y114*VLOOKUP('Données projet'!$B$9,Paramètres!$A$1:$I$88,3,0)*0.475*44/12</f>
        <v>1.6110982580068762E-11</v>
      </c>
      <c r="AC114" s="24">
        <f t="shared" si="57"/>
        <v>7.6157675272692584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projet'!$B$10,Paramètres!$A$1:$I$88,3,0)*VLOOKUP('Données projet'!$B$10,Paramètres!$A$1:$I$88,5,0)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210.04871822652808</v>
      </c>
      <c r="AO114" s="62">
        <f t="shared" si="90"/>
        <v>250.17540614049324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1.4679528711568235</v>
      </c>
      <c r="AV114" s="23">
        <f>EXP(-LN(2)/25)*AV113+(1-EXP(-LN(2)/25))/(LN(2)/25)*Calculateur!AQ114*Calculateur!AS114*VLOOKUP('Données projet'!$B$10,Paramètres!$A$1:$I$88,3,0)*0.475*44/12</f>
        <v>2.9456907833861754</v>
      </c>
      <c r="AW114" s="23">
        <f>EXP(-LN(2)/2)*AW113+(1-EXP(-LN(2)/2))/(LN(2)/2)*AQ114*AT114*VLOOKUP('Données projet'!$B$10,Paramètres!$A$1:$I$88,3,0)*0.475*44/12</f>
        <v>1.3861518607083546E-11</v>
      </c>
      <c r="AX114" s="23">
        <f t="shared" si="60"/>
        <v>4.4136436545568607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-2.8421709430404007E-14</v>
      </c>
      <c r="BE114" s="14">
        <f>BD114*VLOOKUP('Données projet'!$B$11,Paramètres!$A$1:$I$88,3,0)*VLOOKUP('Données projet'!$B$11,Paramètres!$A$1:$I$88,5,0)</f>
        <v>-2.4829205358400945E-14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223.81948236065614</v>
      </c>
      <c r="BJ114" s="62">
        <f t="shared" si="92"/>
        <v>320.1204011431372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0.61786058677526656</v>
      </c>
      <c r="BQ114" s="23">
        <f>EXP(-LN(2)/25)*BQ113+(1-EXP(-LN(2)/25))/(LN(2)/25)*Calculateur!BL114*Calculateur!BN114*VLOOKUP('Données projet'!$B$11,Paramètres!$A$1:$I$88,3,0)*0.475*44/12</f>
        <v>1.872620094936027</v>
      </c>
      <c r="BR114" s="23">
        <f>EXP(-LN(2)/2)*BR113+(1-EXP(-LN(2)/2))/(LN(2)/2)*BL114*BO114*VLOOKUP('Données projet'!$B$11,Paramètres!$A$1:$I$88,3,0)*0.475*44/12</f>
        <v>1.7859165498845841E-11</v>
      </c>
      <c r="BS114" s="24">
        <f t="shared" si="63"/>
        <v>2.4904806817291525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4.5474735088646412E-13</v>
      </c>
      <c r="O115" s="14">
        <f>N115*VLOOKUP('Données projet'!$B$9,Paramètres!$A$1:$I$88,3,0)*VLOOKUP('Données projet'!$B$9,Paramètres!$A$1:$I$88,5,0)</f>
        <v>2.5420376914553347E-13</v>
      </c>
      <c r="P115" s="14">
        <f t="shared" si="87"/>
        <v>3.4258699088369875E-12</v>
      </c>
      <c r="Q115" s="22">
        <f t="shared" si="107"/>
        <v>6.4094616558195571E-12</v>
      </c>
      <c r="R115" s="62">
        <f t="shared" si="55"/>
        <v>293.33333333333974</v>
      </c>
      <c r="S115" s="62">
        <f ca="1">AVERAGE(OFFSET($R$3,0,0,'Données projet'!$E$9+1,1))-AVERAGE(OFFSET($H$3,0,0,'Données projet'!$E$9+1,1))</f>
        <v>373.16487843768437</v>
      </c>
      <c r="T115" s="62">
        <f t="shared" si="88"/>
        <v>376.53494965377718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4.0519410158857188</v>
      </c>
      <c r="AA115" s="23">
        <f>EXP(-LN(2)/25)*AA114+(1-EXP(-LN(2)/25))/(LN(2)/25)*Calculateur!V115*Calculateur!X115*VLOOKUP('Données projet'!$B$9,Paramètres!$A$1:$I$88,3,0)*0.475*44/12</f>
        <v>3.3875443355310848</v>
      </c>
      <c r="AB115" s="23">
        <f>EXP(-LN(2)/2)*AB114+(1-EXP(-LN(2)/2))/(LN(2)/2)*V115*Y115*VLOOKUP('Données projet'!$B$9,Paramètres!$A$1:$I$88,3,0)*0.475*44/12</f>
        <v>1.1392185033944961E-11</v>
      </c>
      <c r="AC115" s="24">
        <f t="shared" si="57"/>
        <v>7.4394853514281953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projet'!$B$10,Paramètres!$A$1:$I$88,3,0)*VLOOKUP('Données projet'!$B$10,Paramètres!$A$1:$I$88,5,0)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210.04871822652808</v>
      </c>
      <c r="AO115" s="62">
        <f t="shared" si="90"/>
        <v>250.17540614049324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1.4391672107162798</v>
      </c>
      <c r="AV115" s="23">
        <f>EXP(-LN(2)/25)*AV114+(1-EXP(-LN(2)/25))/(LN(2)/25)*Calculateur!AQ115*Calculateur!AS115*VLOOKUP('Données projet'!$B$10,Paramètres!$A$1:$I$88,3,0)*0.475*44/12</f>
        <v>2.8651407140073344</v>
      </c>
      <c r="AW115" s="23">
        <f>EXP(-LN(2)/2)*AW114+(1-EXP(-LN(2)/2))/(LN(2)/2)*AQ115*AT115*VLOOKUP('Données projet'!$B$10,Paramètres!$A$1:$I$88,3,0)*0.475*44/12</f>
        <v>9.8015738046122815E-12</v>
      </c>
      <c r="AX115" s="23">
        <f t="shared" si="60"/>
        <v>4.3043079247334166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-2.8421709430404007E-14</v>
      </c>
      <c r="BE115" s="14">
        <f>BD115*VLOOKUP('Données projet'!$B$11,Paramètres!$A$1:$I$88,3,0)*VLOOKUP('Données projet'!$B$11,Paramètres!$A$1:$I$88,5,0)</f>
        <v>-2.4829205358400945E-14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223.81948236065614</v>
      </c>
      <c r="BJ115" s="62">
        <f t="shared" si="92"/>
        <v>320.1204011431372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0.60574471752634995</v>
      </c>
      <c r="BQ115" s="23">
        <f>EXP(-LN(2)/25)*BQ114+(1-EXP(-LN(2)/25))/(LN(2)/25)*Calculateur!BL115*Calculateur!BN115*VLOOKUP('Données projet'!$B$11,Paramètres!$A$1:$I$88,3,0)*0.475*44/12</f>
        <v>1.8214131999631904</v>
      </c>
      <c r="BR115" s="23">
        <f>EXP(-LN(2)/2)*BR114+(1-EXP(-LN(2)/2))/(LN(2)/2)*BL115*BO115*VLOOKUP('Données projet'!$B$11,Paramètres!$A$1:$I$88,3,0)*0.475*44/12</f>
        <v>1.2628337030566725E-11</v>
      </c>
      <c r="BS115" s="24">
        <f t="shared" si="63"/>
        <v>2.4271579175021687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4.5474735088646412E-13</v>
      </c>
      <c r="O116" s="14">
        <f>N116*VLOOKUP('Données projet'!$B$9,Paramètres!$A$1:$I$88,3,0)*VLOOKUP('Données projet'!$B$9,Paramètres!$A$1:$I$88,5,0)</f>
        <v>2.5420376914553347E-13</v>
      </c>
      <c r="P116" s="14">
        <f t="shared" si="87"/>
        <v>3.4258699088369875E-12</v>
      </c>
      <c r="Q116" s="22">
        <f t="shared" si="107"/>
        <v>6.4094616558195571E-12</v>
      </c>
      <c r="R116" s="62">
        <f t="shared" si="55"/>
        <v>293.33333333333974</v>
      </c>
      <c r="S116" s="62">
        <f ca="1">AVERAGE(OFFSET($R$3,0,0,'Données projet'!$E$9+1,1))-AVERAGE(OFFSET($H$3,0,0,'Données projet'!$E$9+1,1))</f>
        <v>373.16487843768437</v>
      </c>
      <c r="T116" s="62">
        <f t="shared" si="88"/>
        <v>376.53494965377718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3.9724849240041853</v>
      </c>
      <c r="AA116" s="23">
        <f>EXP(-LN(2)/25)*AA115+(1-EXP(-LN(2)/25))/(LN(2)/25)*Calculateur!V116*Calculateur!X116*VLOOKUP('Données projet'!$B$9,Paramètres!$A$1:$I$88,3,0)*0.475*44/12</f>
        <v>3.2949117575327729</v>
      </c>
      <c r="AB116" s="23">
        <f>EXP(-LN(2)/2)*AB115+(1-EXP(-LN(2)/2))/(LN(2)/2)*V116*Y116*VLOOKUP('Données projet'!$B$9,Paramètres!$A$1:$I$88,3,0)*0.475*44/12</f>
        <v>8.0554912900343808E-12</v>
      </c>
      <c r="AC116" s="24">
        <f t="shared" si="57"/>
        <v>7.2673966815450139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projet'!$B$10,Paramètres!$A$1:$I$88,3,0)*VLOOKUP('Données projet'!$B$10,Paramètres!$A$1:$I$88,5,0)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210.04871822652808</v>
      </c>
      <c r="AO116" s="62">
        <f t="shared" si="90"/>
        <v>250.17540614049324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1.4109460195194561</v>
      </c>
      <c r="AV116" s="23">
        <f>EXP(-LN(2)/25)*AV115+(1-EXP(-LN(2)/25))/(LN(2)/25)*Calculateur!AQ116*Calculateur!AS116*VLOOKUP('Données projet'!$B$10,Paramètres!$A$1:$I$88,3,0)*0.475*44/12</f>
        <v>2.7867932905116022</v>
      </c>
      <c r="AW116" s="23">
        <f>EXP(-LN(2)/2)*AW115+(1-EXP(-LN(2)/2))/(LN(2)/2)*AQ116*AT116*VLOOKUP('Données projet'!$B$10,Paramètres!$A$1:$I$88,3,0)*0.475*44/12</f>
        <v>6.9307593035417728E-12</v>
      </c>
      <c r="AX116" s="23">
        <f t="shared" si="60"/>
        <v>4.1977393100379885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-2.8421709430404007E-14</v>
      </c>
      <c r="BE116" s="14">
        <f>BD116*VLOOKUP('Données projet'!$B$11,Paramètres!$A$1:$I$88,3,0)*VLOOKUP('Données projet'!$B$11,Paramètres!$A$1:$I$88,5,0)</f>
        <v>-2.4829205358400945E-14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223.81948236065614</v>
      </c>
      <c r="BJ116" s="62">
        <f t="shared" si="92"/>
        <v>320.1204011431372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0.59386643308345399</v>
      </c>
      <c r="BQ116" s="23">
        <f>EXP(-LN(2)/25)*BQ115+(1-EXP(-LN(2)/25))/(LN(2)/25)*Calculateur!BL116*Calculateur!BN116*VLOOKUP('Données projet'!$B$11,Paramètres!$A$1:$I$88,3,0)*0.475*44/12</f>
        <v>1.7716065602262396</v>
      </c>
      <c r="BR116" s="23">
        <f>EXP(-LN(2)/2)*BR115+(1-EXP(-LN(2)/2))/(LN(2)/2)*BL116*BO116*VLOOKUP('Données projet'!$B$11,Paramètres!$A$1:$I$88,3,0)*0.475*44/12</f>
        <v>8.9295827494229203E-12</v>
      </c>
      <c r="BS116" s="24">
        <f t="shared" si="63"/>
        <v>2.3654729933186234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4.5474735088646412E-13</v>
      </c>
      <c r="O117" s="14">
        <f>N117*VLOOKUP('Données projet'!$B$9,Paramètres!$A$1:$I$88,3,0)*VLOOKUP('Données projet'!$B$9,Paramètres!$A$1:$I$88,5,0)</f>
        <v>2.5420376914553347E-13</v>
      </c>
      <c r="P117" s="14">
        <f t="shared" si="87"/>
        <v>3.4258699088369875E-12</v>
      </c>
      <c r="Q117" s="22">
        <f t="shared" si="107"/>
        <v>6.4094616558195571E-12</v>
      </c>
      <c r="R117" s="62">
        <f t="shared" si="55"/>
        <v>293.33333333333974</v>
      </c>
      <c r="S117" s="62">
        <f ca="1">AVERAGE(OFFSET($R$3,0,0,'Données projet'!$E$9+1,1))-AVERAGE(OFFSET($H$3,0,0,'Données projet'!$E$9+1,1))</f>
        <v>373.16487843768437</v>
      </c>
      <c r="T117" s="62">
        <f t="shared" si="88"/>
        <v>376.53494965377718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3.8945869176210177</v>
      </c>
      <c r="AA117" s="23">
        <f>EXP(-LN(2)/25)*AA116+(1-EXP(-LN(2)/25))/(LN(2)/25)*Calculateur!V117*Calculateur!X117*VLOOKUP('Données projet'!$B$9,Paramètres!$A$1:$I$88,3,0)*0.475*44/12</f>
        <v>3.2048122222511606</v>
      </c>
      <c r="AB117" s="23">
        <f>EXP(-LN(2)/2)*AB116+(1-EXP(-LN(2)/2))/(LN(2)/2)*V117*Y117*VLOOKUP('Données projet'!$B$9,Paramètres!$A$1:$I$88,3,0)*0.475*44/12</f>
        <v>5.6960925169724804E-12</v>
      </c>
      <c r="AC117" s="24">
        <f t="shared" si="57"/>
        <v>7.0993991398778737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projet'!$B$10,Paramètres!$A$1:$I$88,3,0)*VLOOKUP('Données projet'!$B$10,Paramètres!$A$1:$I$88,5,0)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210.04871822652808</v>
      </c>
      <c r="AO117" s="62">
        <f t="shared" si="90"/>
        <v>250.17540614049324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1.383278228668775</v>
      </c>
      <c r="AV117" s="23">
        <f>EXP(-LN(2)/25)*AV116+(1-EXP(-LN(2)/25))/(LN(2)/25)*Calculateur!AQ117*Calculateur!AS117*VLOOKUP('Données projet'!$B$10,Paramètres!$A$1:$I$88,3,0)*0.475*44/12</f>
        <v>2.7105882814314728</v>
      </c>
      <c r="AW117" s="23">
        <f>EXP(-LN(2)/2)*AW116+(1-EXP(-LN(2)/2))/(LN(2)/2)*AQ117*AT117*VLOOKUP('Données projet'!$B$10,Paramètres!$A$1:$I$88,3,0)*0.475*44/12</f>
        <v>4.9007869023061408E-12</v>
      </c>
      <c r="AX117" s="23">
        <f t="shared" si="60"/>
        <v>4.0938665101051486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-2.8421709430404007E-14</v>
      </c>
      <c r="BE117" s="14">
        <f>BD117*VLOOKUP('Données projet'!$B$11,Paramètres!$A$1:$I$88,3,0)*VLOOKUP('Données projet'!$B$11,Paramètres!$A$1:$I$88,5,0)</f>
        <v>-2.4829205358400945E-14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223.81948236065614</v>
      </c>
      <c r="BJ117" s="62">
        <f t="shared" si="92"/>
        <v>320.1204011431372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0.58222107455344507</v>
      </c>
      <c r="BQ117" s="23">
        <f>EXP(-LN(2)/25)*BQ116+(1-EXP(-LN(2)/25))/(LN(2)/25)*Calculateur!BL117*Calculateur!BN117*VLOOKUP('Données projet'!$B$11,Paramètres!$A$1:$I$88,3,0)*0.475*44/12</f>
        <v>1.7231618856721131</v>
      </c>
      <c r="BR117" s="23">
        <f>EXP(-LN(2)/2)*BR116+(1-EXP(-LN(2)/2))/(LN(2)/2)*BL117*BO117*VLOOKUP('Données projet'!$B$11,Paramètres!$A$1:$I$88,3,0)*0.475*44/12</f>
        <v>6.3141685152833625E-12</v>
      </c>
      <c r="BS117" s="24">
        <f t="shared" si="63"/>
        <v>2.3053829602318725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4.5474735088646412E-13</v>
      </c>
      <c r="O118" s="14">
        <f>N118*VLOOKUP('Données projet'!$B$9,Paramètres!$A$1:$I$88,3,0)*VLOOKUP('Données projet'!$B$9,Paramètres!$A$1:$I$88,5,0)</f>
        <v>2.5420376914553347E-13</v>
      </c>
      <c r="P118" s="14">
        <f t="shared" si="87"/>
        <v>3.4258699088369875E-12</v>
      </c>
      <c r="Q118" s="22">
        <f t="shared" si="107"/>
        <v>6.4094616558195571E-12</v>
      </c>
      <c r="R118" s="62">
        <f t="shared" si="55"/>
        <v>293.33333333333974</v>
      </c>
      <c r="S118" s="62">
        <f ca="1">AVERAGE(OFFSET($R$3,0,0,'Données projet'!$E$9+1,1))-AVERAGE(OFFSET($H$3,0,0,'Données projet'!$E$9+1,1))</f>
        <v>373.16487843768437</v>
      </c>
      <c r="T118" s="62">
        <f t="shared" si="88"/>
        <v>376.53494965377718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3.818216443629932</v>
      </c>
      <c r="AA118" s="23">
        <f>EXP(-LN(2)/25)*AA117+(1-EXP(-LN(2)/25))/(LN(2)/25)*Calculateur!V118*Calculateur!X118*VLOOKUP('Données projet'!$B$9,Paramètres!$A$1:$I$88,3,0)*0.475*44/12</f>
        <v>3.1171764634999524</v>
      </c>
      <c r="AB118" s="23">
        <f>EXP(-LN(2)/2)*AB117+(1-EXP(-LN(2)/2))/(LN(2)/2)*V118*Y118*VLOOKUP('Données projet'!$B$9,Paramètres!$A$1:$I$88,3,0)*0.475*44/12</f>
        <v>4.0277456450171904E-12</v>
      </c>
      <c r="AC118" s="24">
        <f t="shared" si="57"/>
        <v>6.9353929071339122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projet'!$B$10,Paramètres!$A$1:$I$88,3,0)*VLOOKUP('Données projet'!$B$10,Paramètres!$A$1:$I$88,5,0)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210.04871822652808</v>
      </c>
      <c r="AO118" s="62">
        <f t="shared" si="90"/>
        <v>250.17540614049324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1.3561529863209898</v>
      </c>
      <c r="AV118" s="23">
        <f>EXP(-LN(2)/25)*AV117+(1-EXP(-LN(2)/25))/(LN(2)/25)*Calculateur!AQ118*Calculateur!AS118*VLOOKUP('Données projet'!$B$10,Paramètres!$A$1:$I$88,3,0)*0.475*44/12</f>
        <v>2.6364671023320865</v>
      </c>
      <c r="AW118" s="23">
        <f>EXP(-LN(2)/2)*AW117+(1-EXP(-LN(2)/2))/(LN(2)/2)*AQ118*AT118*VLOOKUP('Données projet'!$B$10,Paramètres!$A$1:$I$88,3,0)*0.475*44/12</f>
        <v>3.4653796517708864E-12</v>
      </c>
      <c r="AX118" s="23">
        <f t="shared" si="60"/>
        <v>3.9926200886565417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-2.8421709430404007E-14</v>
      </c>
      <c r="BE118" s="14">
        <f>BD118*VLOOKUP('Données projet'!$B$11,Paramètres!$A$1:$I$88,3,0)*VLOOKUP('Données projet'!$B$11,Paramètres!$A$1:$I$88,5,0)</f>
        <v>-2.4829205358400945E-14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223.81948236065614</v>
      </c>
      <c r="BJ118" s="62">
        <f t="shared" si="92"/>
        <v>320.1204011431372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0.57080407440124237</v>
      </c>
      <c r="BQ118" s="23">
        <f>EXP(-LN(2)/25)*BQ117+(1-EXP(-LN(2)/25))/(LN(2)/25)*Calculateur!BL118*Calculateur!BN118*VLOOKUP('Données projet'!$B$11,Paramètres!$A$1:$I$88,3,0)*0.475*44/12</f>
        <v>1.6760419332912639</v>
      </c>
      <c r="BR118" s="23">
        <f>EXP(-LN(2)/2)*BR117+(1-EXP(-LN(2)/2))/(LN(2)/2)*BL118*BO118*VLOOKUP('Données projet'!$B$11,Paramètres!$A$1:$I$88,3,0)*0.475*44/12</f>
        <v>4.4647913747114602E-12</v>
      </c>
      <c r="BS118" s="24">
        <f t="shared" si="63"/>
        <v>2.2468460076969712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4.5474735088646412E-13</v>
      </c>
      <c r="O119" s="14">
        <f>N119*VLOOKUP('Données projet'!$B$9,Paramètres!$A$1:$I$88,3,0)*VLOOKUP('Données projet'!$B$9,Paramètres!$A$1:$I$88,5,0)</f>
        <v>2.5420376914553347E-13</v>
      </c>
      <c r="P119" s="14">
        <f t="shared" si="87"/>
        <v>3.4258699088369875E-12</v>
      </c>
      <c r="Q119" s="22">
        <f t="shared" si="107"/>
        <v>6.4094616558195571E-12</v>
      </c>
      <c r="R119" s="62">
        <f t="shared" si="55"/>
        <v>293.33333333333974</v>
      </c>
      <c r="S119" s="62">
        <f ca="1">AVERAGE(OFFSET($R$3,0,0,'Données projet'!$E$9+1,1))-AVERAGE(OFFSET($H$3,0,0,'Données projet'!$E$9+1,1))</f>
        <v>373.16487843768437</v>
      </c>
      <c r="T119" s="62">
        <f t="shared" si="88"/>
        <v>376.53494965377718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3.7433435480524215</v>
      </c>
      <c r="AA119" s="23">
        <f>EXP(-LN(2)/25)*AA118+(1-EXP(-LN(2)/25))/(LN(2)/25)*Calculateur!V119*Calculateur!X119*VLOOKUP('Données projet'!$B$9,Paramètres!$A$1:$I$88,3,0)*0.475*44/12</f>
        <v>3.0319371091803604</v>
      </c>
      <c r="AB119" s="23">
        <f>EXP(-LN(2)/2)*AB118+(1-EXP(-LN(2)/2))/(LN(2)/2)*V119*Y119*VLOOKUP('Données projet'!$B$9,Paramètres!$A$1:$I$88,3,0)*0.475*44/12</f>
        <v>2.8480462584862402E-12</v>
      </c>
      <c r="AC119" s="24">
        <f t="shared" si="57"/>
        <v>6.7752806572356308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projet'!$B$10,Paramètres!$A$1:$I$88,3,0)*VLOOKUP('Données projet'!$B$10,Paramètres!$A$1:$I$88,5,0)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210.04871822652808</v>
      </c>
      <c r="AO119" s="62">
        <f t="shared" si="90"/>
        <v>250.17540614049324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1.3295596534308805</v>
      </c>
      <c r="AV119" s="23">
        <f>EXP(-LN(2)/25)*AV118+(1-EXP(-LN(2)/25))/(LN(2)/25)*Calculateur!AQ119*Calculateur!AS119*VLOOKUP('Données projet'!$B$10,Paramètres!$A$1:$I$88,3,0)*0.475*44/12</f>
        <v>2.5643727707730366</v>
      </c>
      <c r="AW119" s="23">
        <f>EXP(-LN(2)/2)*AW118+(1-EXP(-LN(2)/2))/(LN(2)/2)*AQ119*AT119*VLOOKUP('Données projet'!$B$10,Paramètres!$A$1:$I$88,3,0)*0.475*44/12</f>
        <v>2.4503934511530704E-12</v>
      </c>
      <c r="AX119" s="23">
        <f t="shared" si="60"/>
        <v>3.8939324242063673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-2.8421709430404007E-14</v>
      </c>
      <c r="BE119" s="14">
        <f>BD119*VLOOKUP('Données projet'!$B$11,Paramètres!$A$1:$I$88,3,0)*VLOOKUP('Données projet'!$B$11,Paramètres!$A$1:$I$88,5,0)</f>
        <v>-2.4829205358400945E-14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223.81948236065614</v>
      </c>
      <c r="BJ119" s="62">
        <f t="shared" si="92"/>
        <v>320.1204011431372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0.55961095465834187</v>
      </c>
      <c r="BQ119" s="23">
        <f>EXP(-LN(2)/25)*BQ118+(1-EXP(-LN(2)/25))/(LN(2)/25)*Calculateur!BL119*Calculateur!BN119*VLOOKUP('Données projet'!$B$11,Paramètres!$A$1:$I$88,3,0)*0.475*44/12</f>
        <v>1.6302104784861997</v>
      </c>
      <c r="BR119" s="23">
        <f>EXP(-LN(2)/2)*BR118+(1-EXP(-LN(2)/2))/(LN(2)/2)*BL119*BO119*VLOOKUP('Données projet'!$B$11,Paramètres!$A$1:$I$88,3,0)*0.475*44/12</f>
        <v>3.1570842576416812E-12</v>
      </c>
      <c r="BS119" s="24">
        <f t="shared" si="63"/>
        <v>2.1898214331476988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4.5474735088646412E-13</v>
      </c>
      <c r="O120" s="14">
        <f>N120*VLOOKUP('Données projet'!$B$9,Paramètres!$A$1:$I$88,3,0)*VLOOKUP('Données projet'!$B$9,Paramètres!$A$1:$I$88,5,0)</f>
        <v>2.5420376914553347E-13</v>
      </c>
      <c r="P120" s="14">
        <f t="shared" si="87"/>
        <v>3.4258699088369875E-12</v>
      </c>
      <c r="Q120" s="22">
        <f t="shared" si="107"/>
        <v>6.4094616558195571E-12</v>
      </c>
      <c r="R120" s="62">
        <f t="shared" si="55"/>
        <v>293.33333333333974</v>
      </c>
      <c r="S120" s="62">
        <f ca="1">AVERAGE(OFFSET($R$3,0,0,'Données projet'!$E$9+1,1))-AVERAGE(OFFSET($H$3,0,0,'Données projet'!$E$9+1,1))</f>
        <v>373.16487843768437</v>
      </c>
      <c r="T120" s="62">
        <f t="shared" si="88"/>
        <v>376.53494965377718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3.6699388642892292</v>
      </c>
      <c r="AA120" s="23">
        <f>EXP(-LN(2)/25)*AA119+(1-EXP(-LN(2)/25))/(LN(2)/25)*Calculateur!V120*Calculateur!X120*VLOOKUP('Données projet'!$B$9,Paramètres!$A$1:$I$88,3,0)*0.475*44/12</f>
        <v>2.9490286294871804</v>
      </c>
      <c r="AB120" s="23">
        <f>EXP(-LN(2)/2)*AB119+(1-EXP(-LN(2)/2))/(LN(2)/2)*V120*Y120*VLOOKUP('Données projet'!$B$9,Paramètres!$A$1:$I$88,3,0)*0.475*44/12</f>
        <v>2.0138728225085952E-12</v>
      </c>
      <c r="AC120" s="24">
        <f t="shared" si="57"/>
        <v>6.6189674937784231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projet'!$B$10,Paramètres!$A$1:$I$88,3,0)*VLOOKUP('Données projet'!$B$10,Paramètres!$A$1:$I$88,5,0)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210.04871822652808</v>
      </c>
      <c r="AO120" s="62">
        <f t="shared" si="90"/>
        <v>250.17540614049324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1.3034877995784147</v>
      </c>
      <c r="AV120" s="23">
        <f>EXP(-LN(2)/25)*AV119+(1-EXP(-LN(2)/25))/(LN(2)/25)*Calculateur!AQ120*Calculateur!AS120*VLOOKUP('Données projet'!$B$10,Paramètres!$A$1:$I$88,3,0)*0.475*44/12</f>
        <v>2.4942498625017451</v>
      </c>
      <c r="AW120" s="23">
        <f>EXP(-LN(2)/2)*AW119+(1-EXP(-LN(2)/2))/(LN(2)/2)*AQ120*AT120*VLOOKUP('Données projet'!$B$10,Paramètres!$A$1:$I$88,3,0)*0.475*44/12</f>
        <v>1.7326898258854432E-12</v>
      </c>
      <c r="AX120" s="23">
        <f t="shared" si="60"/>
        <v>3.7977376620818926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-2.8421709430404007E-14</v>
      </c>
      <c r="BE120" s="14">
        <f>BD120*VLOOKUP('Données projet'!$B$11,Paramètres!$A$1:$I$88,3,0)*VLOOKUP('Données projet'!$B$11,Paramètres!$A$1:$I$88,5,0)</f>
        <v>-2.4829205358400945E-14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223.81948236065614</v>
      </c>
      <c r="BJ120" s="62">
        <f t="shared" si="92"/>
        <v>320.1204011431372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0.54863732516647068</v>
      </c>
      <c r="BQ120" s="23">
        <f>EXP(-LN(2)/25)*BQ119+(1-EXP(-LN(2)/25))/(LN(2)/25)*Calculateur!BL120*Calculateur!BN120*VLOOKUP('Données projet'!$B$11,Paramètres!$A$1:$I$88,3,0)*0.475*44/12</f>
        <v>1.5856322872229514</v>
      </c>
      <c r="BR120" s="23">
        <f>EXP(-LN(2)/2)*BR119+(1-EXP(-LN(2)/2))/(LN(2)/2)*BL120*BO120*VLOOKUP('Données projet'!$B$11,Paramètres!$A$1:$I$88,3,0)*0.475*44/12</f>
        <v>2.2323956873557301E-12</v>
      </c>
      <c r="BS120" s="24">
        <f t="shared" si="63"/>
        <v>2.1342696123916545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4.5474735088646412E-13</v>
      </c>
      <c r="O121" s="14">
        <f>N121*VLOOKUP('Données projet'!$B$9,Paramètres!$A$1:$I$88,3,0)*VLOOKUP('Données projet'!$B$9,Paramètres!$A$1:$I$88,5,0)</f>
        <v>2.5420376914553347E-13</v>
      </c>
      <c r="P121" s="14">
        <f t="shared" si="87"/>
        <v>3.4258699088369875E-12</v>
      </c>
      <c r="Q121" s="22">
        <f t="shared" si="107"/>
        <v>6.4094616558195571E-12</v>
      </c>
      <c r="R121" s="62">
        <f t="shared" si="55"/>
        <v>293.33333333333974</v>
      </c>
      <c r="S121" s="62">
        <f ca="1">AVERAGE(OFFSET($R$3,0,0,'Données projet'!$E$9+1,1))-AVERAGE(OFFSET($H$3,0,0,'Données projet'!$E$9+1,1))</f>
        <v>373.16487843768437</v>
      </c>
      <c r="T121" s="62">
        <f t="shared" si="88"/>
        <v>376.53494965377718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3.597973601602197</v>
      </c>
      <c r="AA121" s="23">
        <f>EXP(-LN(2)/25)*AA120+(1-EXP(-LN(2)/25))/(LN(2)/25)*Calculateur!V121*Calculateur!X121*VLOOKUP('Données projet'!$B$9,Paramètres!$A$1:$I$88,3,0)*0.475*44/12</f>
        <v>2.8683872865311777</v>
      </c>
      <c r="AB121" s="23">
        <f>EXP(-LN(2)/2)*AB120+(1-EXP(-LN(2)/2))/(LN(2)/2)*V121*Y121*VLOOKUP('Données projet'!$B$9,Paramètres!$A$1:$I$88,3,0)*0.475*44/12</f>
        <v>1.4240231292431201E-12</v>
      </c>
      <c r="AC121" s="24">
        <f t="shared" si="57"/>
        <v>6.4663608881347985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projet'!$B$10,Paramètres!$A$1:$I$88,3,0)*VLOOKUP('Données projet'!$B$10,Paramètres!$A$1:$I$88,5,0)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210.04871822652808</v>
      </c>
      <c r="AO121" s="62">
        <f t="shared" si="90"/>
        <v>250.17540614049324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1.2779271988777352</v>
      </c>
      <c r="AV121" s="23">
        <f>EXP(-LN(2)/25)*AV120+(1-EXP(-LN(2)/25))/(LN(2)/25)*Calculateur!AQ121*Calculateur!AS121*VLOOKUP('Données projet'!$B$10,Paramètres!$A$1:$I$88,3,0)*0.475*44/12</f>
        <v>2.4260444688447351</v>
      </c>
      <c r="AW121" s="23">
        <f>EXP(-LN(2)/2)*AW120+(1-EXP(-LN(2)/2))/(LN(2)/2)*AQ121*AT121*VLOOKUP('Données projet'!$B$10,Paramètres!$A$1:$I$88,3,0)*0.475*44/12</f>
        <v>1.2251967255765352E-12</v>
      </c>
      <c r="AX121" s="23">
        <f t="shared" si="60"/>
        <v>3.7039716677236956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-2.8421709430404007E-14</v>
      </c>
      <c r="BE121" s="14">
        <f>BD121*VLOOKUP('Données projet'!$B$11,Paramètres!$A$1:$I$88,3,0)*VLOOKUP('Données projet'!$B$11,Paramètres!$A$1:$I$88,5,0)</f>
        <v>-2.4829205358400945E-14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223.81948236065614</v>
      </c>
      <c r="BJ121" s="62">
        <f t="shared" si="92"/>
        <v>320.1204011431372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0.537878881855682</v>
      </c>
      <c r="BQ121" s="23">
        <f>EXP(-LN(2)/25)*BQ120+(1-EXP(-LN(2)/25))/(LN(2)/25)*Calculateur!BL121*Calculateur!BN121*VLOOKUP('Données projet'!$B$11,Paramètres!$A$1:$I$88,3,0)*0.475*44/12</f>
        <v>1.5422730889440617</v>
      </c>
      <c r="BR121" s="23">
        <f>EXP(-LN(2)/2)*BR120+(1-EXP(-LN(2)/2))/(LN(2)/2)*BL121*BO121*VLOOKUP('Données projet'!$B$11,Paramètres!$A$1:$I$88,3,0)*0.475*44/12</f>
        <v>1.5785421288208406E-12</v>
      </c>
      <c r="BS121" s="24">
        <f t="shared" si="63"/>
        <v>2.0801519708013223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4.5474735088646412E-13</v>
      </c>
      <c r="O122" s="14">
        <f>N122*VLOOKUP('Données projet'!$B$9,Paramètres!$A$1:$I$88,3,0)*VLOOKUP('Données projet'!$B$9,Paramètres!$A$1:$I$88,5,0)</f>
        <v>2.5420376914553347E-13</v>
      </c>
      <c r="P122" s="14">
        <f t="shared" si="87"/>
        <v>3.4258699088369875E-12</v>
      </c>
      <c r="Q122" s="22">
        <f t="shared" si="107"/>
        <v>6.4094616558195571E-12</v>
      </c>
      <c r="R122" s="62">
        <f t="shared" si="55"/>
        <v>293.33333333333974</v>
      </c>
      <c r="S122" s="62">
        <f ca="1">AVERAGE(OFFSET($R$3,0,0,'Données projet'!$E$9+1,1))-AVERAGE(OFFSET($H$3,0,0,'Données projet'!$E$9+1,1))</f>
        <v>373.16487843768437</v>
      </c>
      <c r="T122" s="62">
        <f t="shared" si="88"/>
        <v>376.53494965377718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3.5274195338219814</v>
      </c>
      <c r="AA122" s="23">
        <f>EXP(-LN(2)/25)*AA121+(1-EXP(-LN(2)/25))/(LN(2)/25)*Calculateur!V122*Calculateur!X122*VLOOKUP('Données projet'!$B$9,Paramètres!$A$1:$I$88,3,0)*0.475*44/12</f>
        <v>2.7899510853390512</v>
      </c>
      <c r="AB122" s="23">
        <f>EXP(-LN(2)/2)*AB121+(1-EXP(-LN(2)/2))/(LN(2)/2)*V122*Y122*VLOOKUP('Données projet'!$B$9,Paramètres!$A$1:$I$88,3,0)*0.475*44/12</f>
        <v>1.0069364112542976E-12</v>
      </c>
      <c r="AC122" s="24">
        <f t="shared" si="57"/>
        <v>6.3173706191620393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projet'!$B$10,Paramètres!$A$1:$I$88,3,0)*VLOOKUP('Données projet'!$B$10,Paramètres!$A$1:$I$88,5,0)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210.04871822652808</v>
      </c>
      <c r="AO122" s="62">
        <f t="shared" si="90"/>
        <v>250.17540614049324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1.252867825966369</v>
      </c>
      <c r="AV122" s="23">
        <f>EXP(-LN(2)/25)*AV121+(1-EXP(-LN(2)/25))/(LN(2)/25)*Calculateur!AQ122*Calculateur!AS122*VLOOKUP('Données projet'!$B$10,Paramètres!$A$1:$I$88,3,0)*0.475*44/12</f>
        <v>2.3597041552640419</v>
      </c>
      <c r="AW122" s="23">
        <f>EXP(-LN(2)/2)*AW121+(1-EXP(-LN(2)/2))/(LN(2)/2)*AQ122*AT122*VLOOKUP('Données projet'!$B$10,Paramètres!$A$1:$I$88,3,0)*0.475*44/12</f>
        <v>8.6634491294272159E-13</v>
      </c>
      <c r="AX122" s="23">
        <f t="shared" si="60"/>
        <v>3.6125719812312771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-2.8421709430404007E-14</v>
      </c>
      <c r="BE122" s="14">
        <f>BD122*VLOOKUP('Données projet'!$B$11,Paramètres!$A$1:$I$88,3,0)*VLOOKUP('Données projet'!$B$11,Paramètres!$A$1:$I$88,5,0)</f>
        <v>-2.4829205358400945E-14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223.81948236065614</v>
      </c>
      <c r="BJ122" s="62">
        <f t="shared" si="92"/>
        <v>320.1204011431372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0.52733140505621545</v>
      </c>
      <c r="BQ122" s="23">
        <f>EXP(-LN(2)/25)*BQ121+(1-EXP(-LN(2)/25))/(LN(2)/25)*Calculateur!BL122*Calculateur!BN122*VLOOKUP('Données projet'!$B$11,Paramètres!$A$1:$I$88,3,0)*0.475*44/12</f>
        <v>1.5000995502222694</v>
      </c>
      <c r="BR122" s="23">
        <f>EXP(-LN(2)/2)*BR121+(1-EXP(-LN(2)/2))/(LN(2)/2)*BL122*BO122*VLOOKUP('Données projet'!$B$11,Paramètres!$A$1:$I$88,3,0)*0.475*44/12</f>
        <v>1.116197843677865E-12</v>
      </c>
      <c r="BS122" s="24">
        <f t="shared" si="63"/>
        <v>2.0274309552796006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4.5474735088646412E-13</v>
      </c>
      <c r="O123" s="14">
        <f>N123*VLOOKUP('Données projet'!$B$9,Paramètres!$A$1:$I$88,3,0)*VLOOKUP('Données projet'!$B$9,Paramètres!$A$1:$I$88,5,0)</f>
        <v>2.5420376914553347E-13</v>
      </c>
      <c r="P123" s="14">
        <f t="shared" si="87"/>
        <v>3.4258699088369875E-12</v>
      </c>
      <c r="Q123" s="22">
        <f t="shared" si="107"/>
        <v>6.4094616558195571E-12</v>
      </c>
      <c r="R123" s="62">
        <f t="shared" si="55"/>
        <v>293.33333333333974</v>
      </c>
      <c r="S123" s="62">
        <f ca="1">AVERAGE(OFFSET($R$3,0,0,'Données projet'!$E$9+1,1))-AVERAGE(OFFSET($H$3,0,0,'Données projet'!$E$9+1,1))</f>
        <v>373.16487843768437</v>
      </c>
      <c r="T123" s="62">
        <f t="shared" si="88"/>
        <v>376.53494965377718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3.4582489882772038</v>
      </c>
      <c r="AA123" s="23">
        <f>EXP(-LN(2)/25)*AA122+(1-EXP(-LN(2)/25))/(LN(2)/25)*Calculateur!V123*Calculateur!X123*VLOOKUP('Données projet'!$B$9,Paramètres!$A$1:$I$88,3,0)*0.475*44/12</f>
        <v>2.713659726193304</v>
      </c>
      <c r="AB123" s="23">
        <f>EXP(-LN(2)/2)*AB122+(1-EXP(-LN(2)/2))/(LN(2)/2)*V123*Y123*VLOOKUP('Données projet'!$B$9,Paramètres!$A$1:$I$88,3,0)*0.475*44/12</f>
        <v>7.1201156462156005E-13</v>
      </c>
      <c r="AC123" s="24">
        <f t="shared" si="57"/>
        <v>6.1719087144712201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projet'!$B$10,Paramètres!$A$1:$I$88,3,0)*VLOOKUP('Données projet'!$B$10,Paramètres!$A$1:$I$88,5,0)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210.04871822652808</v>
      </c>
      <c r="AO123" s="62">
        <f t="shared" si="90"/>
        <v>250.17540614049324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1.2282998520730866</v>
      </c>
      <c r="AV123" s="23">
        <f>EXP(-LN(2)/25)*AV122+(1-EXP(-LN(2)/25))/(LN(2)/25)*Calculateur!AQ123*Calculateur!AS123*VLOOKUP('Données projet'!$B$10,Paramètres!$A$1:$I$88,3,0)*0.475*44/12</f>
        <v>2.2951779210468981</v>
      </c>
      <c r="AW123" s="23">
        <f>EXP(-LN(2)/2)*AW122+(1-EXP(-LN(2)/2))/(LN(2)/2)*AQ123*AT123*VLOOKUP('Données projet'!$B$10,Paramètres!$A$1:$I$88,3,0)*0.475*44/12</f>
        <v>6.125983627882676E-13</v>
      </c>
      <c r="AX123" s="23">
        <f t="shared" si="60"/>
        <v>3.5234777731205971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-2.8421709430404007E-14</v>
      </c>
      <c r="BE123" s="14">
        <f>BD123*VLOOKUP('Données projet'!$B$11,Paramètres!$A$1:$I$88,3,0)*VLOOKUP('Données projet'!$B$11,Paramètres!$A$1:$I$88,5,0)</f>
        <v>-2.4829205358400945E-14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223.81948236065614</v>
      </c>
      <c r="BJ123" s="62">
        <f t="shared" si="92"/>
        <v>320.1204011431372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0.51699075784346082</v>
      </c>
      <c r="BQ123" s="23">
        <f>EXP(-LN(2)/25)*BQ122+(1-EXP(-LN(2)/25))/(LN(2)/25)*Calculateur!BL123*Calculateur!BN123*VLOOKUP('Données projet'!$B$11,Paramètres!$A$1:$I$88,3,0)*0.475*44/12</f>
        <v>1.4590792491346345</v>
      </c>
      <c r="BR123" s="23">
        <f>EXP(-LN(2)/2)*BR122+(1-EXP(-LN(2)/2))/(LN(2)/2)*BL123*BO123*VLOOKUP('Données projet'!$B$11,Paramètres!$A$1:$I$88,3,0)*0.475*44/12</f>
        <v>7.8927106441042031E-13</v>
      </c>
      <c r="BS123" s="24">
        <f t="shared" si="63"/>
        <v>1.9760700069788848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4.5474735088646412E-13</v>
      </c>
      <c r="O124" s="14">
        <f>N124*VLOOKUP('Données projet'!$B$9,Paramètres!$A$1:$I$88,3,0)*VLOOKUP('Données projet'!$B$9,Paramètres!$A$1:$I$88,5,0)</f>
        <v>2.5420376914553347E-13</v>
      </c>
      <c r="P124" s="14">
        <f t="shared" si="87"/>
        <v>3.4258699088369875E-12</v>
      </c>
      <c r="Q124" s="22">
        <f t="shared" si="107"/>
        <v>6.4094616558195571E-12</v>
      </c>
      <c r="R124" s="62">
        <f t="shared" si="55"/>
        <v>293.33333333333974</v>
      </c>
      <c r="S124" s="62">
        <f ca="1">AVERAGE(OFFSET($R$3,0,0,'Données projet'!$E$9+1,1))-AVERAGE(OFFSET($H$3,0,0,'Données projet'!$E$9+1,1))</f>
        <v>373.16487843768437</v>
      </c>
      <c r="T124" s="62">
        <f t="shared" si="88"/>
        <v>376.53494965377718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3.3904348349406925</v>
      </c>
      <c r="AA124" s="23">
        <f>EXP(-LN(2)/25)*AA123+(1-EXP(-LN(2)/25))/(LN(2)/25)*Calculateur!V124*Calculateur!X124*VLOOKUP('Données projet'!$B$9,Paramètres!$A$1:$I$88,3,0)*0.475*44/12</f>
        <v>2.6394545582753852</v>
      </c>
      <c r="AB124" s="23">
        <f>EXP(-LN(2)/2)*AB123+(1-EXP(-LN(2)/2))/(LN(2)/2)*V124*Y124*VLOOKUP('Données projet'!$B$9,Paramètres!$A$1:$I$88,3,0)*0.475*44/12</f>
        <v>5.034682056271488E-13</v>
      </c>
      <c r="AC124" s="24">
        <f t="shared" si="57"/>
        <v>6.0298893932165809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projet'!$B$10,Paramètres!$A$1:$I$88,3,0)*VLOOKUP('Données projet'!$B$10,Paramètres!$A$1:$I$88,5,0)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210.04871822652808</v>
      </c>
      <c r="AO124" s="62">
        <f t="shared" si="90"/>
        <v>250.17540614049324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1.2042136411628668</v>
      </c>
      <c r="AV124" s="23">
        <f>EXP(-LN(2)/25)*AV123+(1-EXP(-LN(2)/25))/(LN(2)/25)*Calculateur!AQ124*Calculateur!AS124*VLOOKUP('Données projet'!$B$10,Paramètres!$A$1:$I$88,3,0)*0.475*44/12</f>
        <v>2.2324161600977095</v>
      </c>
      <c r="AW124" s="23">
        <f>EXP(-LN(2)/2)*AW123+(1-EXP(-LN(2)/2))/(LN(2)/2)*AQ124*AT124*VLOOKUP('Données projet'!$B$10,Paramètres!$A$1:$I$88,3,0)*0.475*44/12</f>
        <v>4.331724564713608E-13</v>
      </c>
      <c r="AX124" s="23">
        <f t="shared" si="60"/>
        <v>3.436629801261009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-2.8421709430404007E-14</v>
      </c>
      <c r="BE124" s="14">
        <f>BD124*VLOOKUP('Données projet'!$B$11,Paramètres!$A$1:$I$88,3,0)*VLOOKUP('Données projet'!$B$11,Paramètres!$A$1:$I$88,5,0)</f>
        <v>-2.4829205358400945E-14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223.81948236065614</v>
      </c>
      <c r="BJ124" s="62">
        <f t="shared" si="92"/>
        <v>320.1204011431372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0.50685288441537624</v>
      </c>
      <c r="BQ124" s="23">
        <f>EXP(-LN(2)/25)*BQ123+(1-EXP(-LN(2)/25))/(LN(2)/25)*Calculateur!BL124*Calculateur!BN124*VLOOKUP('Données projet'!$B$11,Paramètres!$A$1:$I$88,3,0)*0.475*44/12</f>
        <v>1.4191806503374049</v>
      </c>
      <c r="BR124" s="23">
        <f>EXP(-LN(2)/2)*BR123+(1-EXP(-LN(2)/2))/(LN(2)/2)*BL124*BO124*VLOOKUP('Données projet'!$B$11,Paramètres!$A$1:$I$88,3,0)*0.475*44/12</f>
        <v>5.5809892183893252E-13</v>
      </c>
      <c r="BS124" s="24">
        <f t="shared" si="63"/>
        <v>1.926033534753339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4.5474735088646412E-13</v>
      </c>
      <c r="O125" s="14">
        <f>N125*VLOOKUP('Données projet'!$B$9,Paramètres!$A$1:$I$88,3,0)*VLOOKUP('Données projet'!$B$9,Paramètres!$A$1:$I$88,5,0)</f>
        <v>2.5420376914553347E-13</v>
      </c>
      <c r="P125" s="14">
        <f t="shared" si="87"/>
        <v>3.4258699088369875E-12</v>
      </c>
      <c r="Q125" s="22">
        <f t="shared" si="107"/>
        <v>6.4094616558195571E-12</v>
      </c>
      <c r="R125" s="62">
        <f t="shared" si="55"/>
        <v>293.33333333333974</v>
      </c>
      <c r="S125" s="62">
        <f ca="1">AVERAGE(OFFSET($R$3,0,0,'Données projet'!$E$9+1,1))-AVERAGE(OFFSET($H$3,0,0,'Données projet'!$E$9+1,1))</f>
        <v>373.16487843768437</v>
      </c>
      <c r="T125" s="62">
        <f t="shared" si="88"/>
        <v>376.53494965377718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3.3239504757885605</v>
      </c>
      <c r="AA125" s="23">
        <f>EXP(-LN(2)/25)*AA124+(1-EXP(-LN(2)/25))/(LN(2)/25)*Calculateur!V125*Calculateur!X125*VLOOKUP('Données projet'!$B$9,Paramètres!$A$1:$I$88,3,0)*0.475*44/12</f>
        <v>2.5672785345764622</v>
      </c>
      <c r="AB125" s="23">
        <f>EXP(-LN(2)/2)*AB124+(1-EXP(-LN(2)/2))/(LN(2)/2)*V125*Y125*VLOOKUP('Données projet'!$B$9,Paramètres!$A$1:$I$88,3,0)*0.475*44/12</f>
        <v>3.5600578231078003E-13</v>
      </c>
      <c r="AC125" s="24">
        <f t="shared" si="57"/>
        <v>5.8912290103653788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projet'!$B$10,Paramètres!$A$1:$I$88,3,0)*VLOOKUP('Données projet'!$B$10,Paramètres!$A$1:$I$88,5,0)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210.04871822652808</v>
      </c>
      <c r="AO125" s="62">
        <f t="shared" si="90"/>
        <v>250.17540614049324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1.1805997461574584</v>
      </c>
      <c r="AV125" s="23">
        <f>EXP(-LN(2)/25)*AV124+(1-EXP(-LN(2)/25))/(LN(2)/25)*Calculateur!AQ125*Calculateur!AS125*VLOOKUP('Données projet'!$B$10,Paramètres!$A$1:$I$88,3,0)*0.475*44/12</f>
        <v>2.1713706228021739</v>
      </c>
      <c r="AW125" s="23">
        <f>EXP(-LN(2)/2)*AW124+(1-EXP(-LN(2)/2))/(LN(2)/2)*AQ125*AT125*VLOOKUP('Données projet'!$B$10,Paramètres!$A$1:$I$88,3,0)*0.475*44/12</f>
        <v>3.062991813941338E-13</v>
      </c>
      <c r="AX125" s="23">
        <f t="shared" si="60"/>
        <v>3.3519703689599387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-2.8421709430404007E-14</v>
      </c>
      <c r="BE125" s="14">
        <f>BD125*VLOOKUP('Données projet'!$B$11,Paramètres!$A$1:$I$88,3,0)*VLOOKUP('Données projet'!$B$11,Paramètres!$A$1:$I$88,5,0)</f>
        <v>-2.4829205358400945E-14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223.81948236065614</v>
      </c>
      <c r="BJ125" s="62">
        <f t="shared" si="92"/>
        <v>320.1204011431372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0.49691380850172417</v>
      </c>
      <c r="BQ125" s="23">
        <f>EXP(-LN(2)/25)*BQ124+(1-EXP(-LN(2)/25))/(LN(2)/25)*Calculateur!BL125*Calculateur!BN125*VLOOKUP('Données projet'!$B$11,Paramètres!$A$1:$I$88,3,0)*0.475*44/12</f>
        <v>1.3803730808224617</v>
      </c>
      <c r="BR125" s="23">
        <f>EXP(-LN(2)/2)*BR124+(1-EXP(-LN(2)/2))/(LN(2)/2)*BL125*BO125*VLOOKUP('Données projet'!$B$11,Paramètres!$A$1:$I$88,3,0)*0.475*44/12</f>
        <v>3.9463553220521016E-13</v>
      </c>
      <c r="BS125" s="24">
        <f t="shared" si="63"/>
        <v>1.8772868893245804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4.5474735088646412E-13</v>
      </c>
      <c r="O126" s="14">
        <f>N126*VLOOKUP('Données projet'!$B$9,Paramètres!$A$1:$I$88,3,0)*VLOOKUP('Données projet'!$B$9,Paramètres!$A$1:$I$88,5,0)</f>
        <v>2.5420376914553347E-13</v>
      </c>
      <c r="P126" s="14">
        <f t="shared" si="87"/>
        <v>3.4258699088369875E-12</v>
      </c>
      <c r="Q126" s="22">
        <f t="shared" si="107"/>
        <v>6.4094616558195571E-12</v>
      </c>
      <c r="R126" s="62">
        <f t="shared" si="55"/>
        <v>293.33333333333974</v>
      </c>
      <c r="S126" s="62">
        <f ca="1">AVERAGE(OFFSET($R$3,0,0,'Données projet'!$E$9+1,1))-AVERAGE(OFFSET($H$3,0,0,'Données projet'!$E$9+1,1))</f>
        <v>373.16487843768437</v>
      </c>
      <c r="T126" s="62">
        <f t="shared" si="88"/>
        <v>376.53494965377718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3.2587698343679472</v>
      </c>
      <c r="AA126" s="23">
        <f>EXP(-LN(2)/25)*AA125+(1-EXP(-LN(2)/25))/(LN(2)/25)*Calculateur!V126*Calculateur!X126*VLOOKUP('Données projet'!$B$9,Paramètres!$A$1:$I$88,3,0)*0.475*44/12</f>
        <v>2.4970761680411582</v>
      </c>
      <c r="AB126" s="23">
        <f>EXP(-LN(2)/2)*AB125+(1-EXP(-LN(2)/2))/(LN(2)/2)*V126*Y126*VLOOKUP('Données projet'!$B$9,Paramètres!$A$1:$I$88,3,0)*0.475*44/12</f>
        <v>2.517341028135744E-13</v>
      </c>
      <c r="AC126" s="24">
        <f t="shared" si="57"/>
        <v>5.7558460024093572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projet'!$B$10,Paramètres!$A$1:$I$88,3,0)*VLOOKUP('Données projet'!$B$10,Paramètres!$A$1:$I$88,5,0)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210.04871822652808</v>
      </c>
      <c r="AO126" s="62">
        <f t="shared" si="90"/>
        <v>250.17540614049324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1.1574489052300523</v>
      </c>
      <c r="AV126" s="23">
        <f>EXP(-LN(2)/25)*AV125+(1-EXP(-LN(2)/25))/(LN(2)/25)*Calculateur!AQ126*Calculateur!AS126*VLOOKUP('Données projet'!$B$10,Paramètres!$A$1:$I$88,3,0)*0.475*44/12</f>
        <v>2.1119943789342299</v>
      </c>
      <c r="AW126" s="23">
        <f>EXP(-LN(2)/2)*AW125+(1-EXP(-LN(2)/2))/(LN(2)/2)*AQ126*AT126*VLOOKUP('Données projet'!$B$10,Paramètres!$A$1:$I$88,3,0)*0.475*44/12</f>
        <v>2.165862282356804E-13</v>
      </c>
      <c r="AX126" s="23">
        <f t="shared" si="60"/>
        <v>3.2694432841644989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-2.8421709430404007E-14</v>
      </c>
      <c r="BE126" s="14">
        <f>BD126*VLOOKUP('Données projet'!$B$11,Paramètres!$A$1:$I$88,3,0)*VLOOKUP('Données projet'!$B$11,Paramètres!$A$1:$I$88,5,0)</f>
        <v>-2.4829205358400945E-14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223.81948236065614</v>
      </c>
      <c r="BJ126" s="62">
        <f t="shared" si="92"/>
        <v>320.1204011431372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0.48716963180450112</v>
      </c>
      <c r="BQ126" s="23">
        <f>EXP(-LN(2)/25)*BQ125+(1-EXP(-LN(2)/25))/(LN(2)/25)*Calculateur!BL126*Calculateur!BN126*VLOOKUP('Données projet'!$B$11,Paramètres!$A$1:$I$88,3,0)*0.475*44/12</f>
        <v>1.3426267063367061</v>
      </c>
      <c r="BR126" s="23">
        <f>EXP(-LN(2)/2)*BR125+(1-EXP(-LN(2)/2))/(LN(2)/2)*BL126*BO126*VLOOKUP('Données projet'!$B$11,Paramètres!$A$1:$I$88,3,0)*0.475*44/12</f>
        <v>2.7904946091946626E-13</v>
      </c>
      <c r="BS126" s="24">
        <f t="shared" si="63"/>
        <v>1.8297963381414863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4.5474735088646412E-13</v>
      </c>
      <c r="O127" s="14">
        <f>N127*VLOOKUP('Données projet'!$B$9,Paramètres!$A$1:$I$88,3,0)*VLOOKUP('Données projet'!$B$9,Paramètres!$A$1:$I$88,5,0)</f>
        <v>2.5420376914553347E-13</v>
      </c>
      <c r="P127" s="14">
        <f t="shared" si="87"/>
        <v>3.4258699088369875E-12</v>
      </c>
      <c r="Q127" s="22">
        <f t="shared" si="107"/>
        <v>6.4094616558195571E-12</v>
      </c>
      <c r="R127" s="62">
        <f t="shared" si="55"/>
        <v>293.33333333333974</v>
      </c>
      <c r="S127" s="62">
        <f ca="1">AVERAGE(OFFSET($R$3,0,0,'Données projet'!$E$9+1,1))-AVERAGE(OFFSET($H$3,0,0,'Données projet'!$E$9+1,1))</f>
        <v>373.16487843768437</v>
      </c>
      <c r="T127" s="62">
        <f t="shared" si="88"/>
        <v>376.53494965377718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3.1948673455693264</v>
      </c>
      <c r="AA127" s="23">
        <f>EXP(-LN(2)/25)*AA126+(1-EXP(-LN(2)/25))/(LN(2)/25)*Calculateur!V127*Calculateur!X127*VLOOKUP('Données projet'!$B$9,Paramètres!$A$1:$I$88,3,0)*0.475*44/12</f>
        <v>2.4287934889105443</v>
      </c>
      <c r="AB127" s="23">
        <f>EXP(-LN(2)/2)*AB126+(1-EXP(-LN(2)/2))/(LN(2)/2)*V127*Y127*VLOOKUP('Données projet'!$B$9,Paramètres!$A$1:$I$88,3,0)*0.475*44/12</f>
        <v>1.7800289115539001E-13</v>
      </c>
      <c r="AC127" s="24">
        <f t="shared" si="57"/>
        <v>5.6236608344800487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projet'!$B$10,Paramètres!$A$1:$I$88,3,0)*VLOOKUP('Données projet'!$B$10,Paramètres!$A$1:$I$88,5,0)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210.04871822652808</v>
      </c>
      <c r="AO127" s="62">
        <f t="shared" si="90"/>
        <v>250.17540614049324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1.1347520381726139</v>
      </c>
      <c r="AV127" s="23">
        <f>EXP(-LN(2)/25)*AV126+(1-EXP(-LN(2)/25))/(LN(2)/25)*Calculateur!AQ127*Calculateur!AS127*VLOOKUP('Données projet'!$B$10,Paramètres!$A$1:$I$88,3,0)*0.475*44/12</f>
        <v>2.054241781577316</v>
      </c>
      <c r="AW127" s="23">
        <f>EXP(-LN(2)/2)*AW126+(1-EXP(-LN(2)/2))/(LN(2)/2)*AQ127*AT127*VLOOKUP('Données projet'!$B$10,Paramètres!$A$1:$I$88,3,0)*0.475*44/12</f>
        <v>1.531495906970669E-13</v>
      </c>
      <c r="AX127" s="23">
        <f t="shared" si="60"/>
        <v>3.1889938197500833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-2.8421709430404007E-14</v>
      </c>
      <c r="BE127" s="14">
        <f>BD127*VLOOKUP('Données projet'!$B$11,Paramètres!$A$1:$I$88,3,0)*VLOOKUP('Données projet'!$B$11,Paramètres!$A$1:$I$88,5,0)</f>
        <v>-2.4829205358400945E-14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223.81948236065614</v>
      </c>
      <c r="BJ127" s="62">
        <f t="shared" si="92"/>
        <v>320.1204011431372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0.47761653246894969</v>
      </c>
      <c r="BQ127" s="23">
        <f>EXP(-LN(2)/25)*BQ126+(1-EXP(-LN(2)/25))/(LN(2)/25)*Calculateur!BL127*Calculateur!BN127*VLOOKUP('Données projet'!$B$11,Paramètres!$A$1:$I$88,3,0)*0.475*44/12</f>
        <v>1.3059125084462591</v>
      </c>
      <c r="BR127" s="23">
        <f>EXP(-LN(2)/2)*BR126+(1-EXP(-LN(2)/2))/(LN(2)/2)*BL127*BO127*VLOOKUP('Données projet'!$B$11,Paramètres!$A$1:$I$88,3,0)*0.475*44/12</f>
        <v>1.9731776610260508E-13</v>
      </c>
      <c r="BS127" s="24">
        <f t="shared" si="63"/>
        <v>1.7835290409154061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4.5474735088646412E-13</v>
      </c>
      <c r="O128" s="14">
        <f>N128*VLOOKUP('Données projet'!$B$9,Paramètres!$A$1:$I$88,3,0)*VLOOKUP('Données projet'!$B$9,Paramètres!$A$1:$I$88,5,0)</f>
        <v>2.5420376914553347E-13</v>
      </c>
      <c r="P128" s="14">
        <f t="shared" si="87"/>
        <v>3.4258699088369875E-12</v>
      </c>
      <c r="Q128" s="22">
        <f t="shared" si="107"/>
        <v>6.4094616558195571E-12</v>
      </c>
      <c r="R128" s="62">
        <f t="shared" si="55"/>
        <v>293.33333333333974</v>
      </c>
      <c r="S128" s="62">
        <f ca="1">AVERAGE(OFFSET($R$3,0,0,'Données projet'!$E$9+1,1))-AVERAGE(OFFSET($H$3,0,0,'Données projet'!$E$9+1,1))</f>
        <v>373.16487843768437</v>
      </c>
      <c r="T128" s="62">
        <f t="shared" si="88"/>
        <v>376.53494965377718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3.1322179455993768</v>
      </c>
      <c r="AA128" s="23">
        <f>EXP(-LN(2)/25)*AA127+(1-EXP(-LN(2)/25))/(LN(2)/25)*Calculateur!V128*Calculateur!X128*VLOOKUP('Données projet'!$B$9,Paramètres!$A$1:$I$88,3,0)*0.475*44/12</f>
        <v>2.3623780032315871</v>
      </c>
      <c r="AB128" s="23">
        <f>EXP(-LN(2)/2)*AB127+(1-EXP(-LN(2)/2))/(LN(2)/2)*V128*Y128*VLOOKUP('Données projet'!$B$9,Paramètres!$A$1:$I$88,3,0)*0.475*44/12</f>
        <v>1.258670514067872E-13</v>
      </c>
      <c r="AC128" s="24">
        <f t="shared" si="57"/>
        <v>5.4945959488310905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projet'!$B$10,Paramètres!$A$1:$I$88,3,0)*VLOOKUP('Données projet'!$B$10,Paramètres!$A$1:$I$88,5,0)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210.04871822652808</v>
      </c>
      <c r="AO128" s="62">
        <f t="shared" si="90"/>
        <v>250.17540614049324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1.1125002428344501</v>
      </c>
      <c r="AV128" s="23">
        <f>EXP(-LN(2)/25)*AV127+(1-EXP(-LN(2)/25))/(LN(2)/25)*Calculateur!AQ128*Calculateur!AS128*VLOOKUP('Données projet'!$B$10,Paramètres!$A$1:$I$88,3,0)*0.475*44/12</f>
        <v>1.998068432032204</v>
      </c>
      <c r="AW128" s="23">
        <f>EXP(-LN(2)/2)*AW127+(1-EXP(-LN(2)/2))/(LN(2)/2)*AQ128*AT128*VLOOKUP('Données projet'!$B$10,Paramètres!$A$1:$I$88,3,0)*0.475*44/12</f>
        <v>1.082931141178402E-13</v>
      </c>
      <c r="AX128" s="23">
        <f t="shared" si="60"/>
        <v>3.1105686748667623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-2.8421709430404007E-14</v>
      </c>
      <c r="BE128" s="14">
        <f>BD128*VLOOKUP('Données projet'!$B$11,Paramètres!$A$1:$I$88,3,0)*VLOOKUP('Données projet'!$B$11,Paramètres!$A$1:$I$88,5,0)</f>
        <v>-2.4829205358400945E-14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223.81948236065614</v>
      </c>
      <c r="BJ128" s="62">
        <f t="shared" si="92"/>
        <v>320.1204011431372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0.4682507635845532</v>
      </c>
      <c r="BQ128" s="23">
        <f>EXP(-LN(2)/25)*BQ127+(1-EXP(-LN(2)/25))/(LN(2)/25)*Calculateur!BL128*Calculateur!BN128*VLOOKUP('Données projet'!$B$11,Paramètres!$A$1:$I$88,3,0)*0.475*44/12</f>
        <v>1.2702022622278419</v>
      </c>
      <c r="BR128" s="23">
        <f>EXP(-LN(2)/2)*BR127+(1-EXP(-LN(2)/2))/(LN(2)/2)*BL128*BO128*VLOOKUP('Données projet'!$B$11,Paramètres!$A$1:$I$88,3,0)*0.475*44/12</f>
        <v>1.3952473045973313E-13</v>
      </c>
      <c r="BS128" s="24">
        <f t="shared" si="63"/>
        <v>1.7384530258125346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4.5474735088646412E-13</v>
      </c>
      <c r="O129" s="14">
        <f>N129*VLOOKUP('Données projet'!$B$9,Paramètres!$A$1:$I$88,3,0)*VLOOKUP('Données projet'!$B$9,Paramètres!$A$1:$I$88,5,0)</f>
        <v>2.5420376914553347E-13</v>
      </c>
      <c r="P129" s="14">
        <f t="shared" si="87"/>
        <v>3.4258699088369875E-12</v>
      </c>
      <c r="Q129" s="22">
        <f t="shared" si="107"/>
        <v>6.4094616558195571E-12</v>
      </c>
      <c r="R129" s="62">
        <f t="shared" si="55"/>
        <v>293.33333333333974</v>
      </c>
      <c r="S129" s="62">
        <f ca="1">AVERAGE(OFFSET($R$3,0,0,'Données projet'!$E$9+1,1))-AVERAGE(OFFSET($H$3,0,0,'Données projet'!$E$9+1,1))</f>
        <v>373.16487843768437</v>
      </c>
      <c r="T129" s="62">
        <f t="shared" si="88"/>
        <v>376.53494965377718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3.070797062150477</v>
      </c>
      <c r="AA129" s="23">
        <f>EXP(-LN(2)/25)*AA128+(1-EXP(-LN(2)/25))/(LN(2)/25)*Calculateur!V129*Calculateur!X129*VLOOKUP('Données projet'!$B$9,Paramètres!$A$1:$I$88,3,0)*0.475*44/12</f>
        <v>2.2977786525011594</v>
      </c>
      <c r="AB129" s="23">
        <f>EXP(-LN(2)/2)*AB128+(1-EXP(-LN(2)/2))/(LN(2)/2)*V129*Y129*VLOOKUP('Données projet'!$B$9,Paramètres!$A$1:$I$88,3,0)*0.475*44/12</f>
        <v>8.9001445577695006E-14</v>
      </c>
      <c r="AC129" s="24">
        <f t="shared" si="57"/>
        <v>5.3685757146517252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projet'!$B$10,Paramètres!$A$1:$I$88,3,0)*VLOOKUP('Données projet'!$B$10,Paramètres!$A$1:$I$88,5,0)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210.04871822652808</v>
      </c>
      <c r="AO129" s="62">
        <f t="shared" si="90"/>
        <v>250.17540614049324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1.0906847916306126</v>
      </c>
      <c r="AV129" s="23">
        <f>EXP(-LN(2)/25)*AV128+(1-EXP(-LN(2)/25))/(LN(2)/25)*Calculateur!AQ129*Calculateur!AS129*VLOOKUP('Données projet'!$B$10,Paramètres!$A$1:$I$88,3,0)*0.475*44/12</f>
        <v>1.9434311456844311</v>
      </c>
      <c r="AW129" s="23">
        <f>EXP(-LN(2)/2)*AW128+(1-EXP(-LN(2)/2))/(LN(2)/2)*AQ129*AT129*VLOOKUP('Données projet'!$B$10,Paramètres!$A$1:$I$88,3,0)*0.475*44/12</f>
        <v>7.6574795348533449E-14</v>
      </c>
      <c r="AX129" s="23">
        <f t="shared" si="60"/>
        <v>3.0341159373151201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-2.8421709430404007E-14</v>
      </c>
      <c r="BE129" s="14">
        <f>BD129*VLOOKUP('Données projet'!$B$11,Paramètres!$A$1:$I$88,3,0)*VLOOKUP('Données projet'!$B$11,Paramètres!$A$1:$I$88,5,0)</f>
        <v>-2.4829205358400945E-14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223.81948236065614</v>
      </c>
      <c r="BJ129" s="62">
        <f t="shared" si="92"/>
        <v>320.1204011431372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0.45906865171542477</v>
      </c>
      <c r="BQ129" s="23">
        <f>EXP(-LN(2)/25)*BQ128+(1-EXP(-LN(2)/25))/(LN(2)/25)*Calculateur!BL129*Calculateur!BN129*VLOOKUP('Données projet'!$B$11,Paramètres!$A$1:$I$88,3,0)*0.475*44/12</f>
        <v>1.2354685145701878</v>
      </c>
      <c r="BR129" s="23">
        <f>EXP(-LN(2)/2)*BR128+(1-EXP(-LN(2)/2))/(LN(2)/2)*BL129*BO129*VLOOKUP('Données projet'!$B$11,Paramètres!$A$1:$I$88,3,0)*0.475*44/12</f>
        <v>9.8658883051302539E-14</v>
      </c>
      <c r="BS129" s="24">
        <f t="shared" si="63"/>
        <v>1.6945371662857112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4.5474735088646412E-13</v>
      </c>
      <c r="O130" s="14">
        <f>N130*VLOOKUP('Données projet'!$B$9,Paramètres!$A$1:$I$88,3,0)*VLOOKUP('Données projet'!$B$9,Paramètres!$A$1:$I$88,5,0)</f>
        <v>2.5420376914553347E-13</v>
      </c>
      <c r="P130" s="14">
        <f t="shared" si="87"/>
        <v>3.4258699088369875E-12</v>
      </c>
      <c r="Q130" s="22">
        <f t="shared" si="107"/>
        <v>6.4094616558195571E-12</v>
      </c>
      <c r="R130" s="62">
        <f t="shared" si="55"/>
        <v>293.33333333333974</v>
      </c>
      <c r="S130" s="62">
        <f ca="1">AVERAGE(OFFSET($R$3,0,0,'Données projet'!$E$9+1,1))-AVERAGE(OFFSET($H$3,0,0,'Données projet'!$E$9+1,1))</f>
        <v>373.16487843768437</v>
      </c>
      <c r="T130" s="62">
        <f t="shared" si="88"/>
        <v>376.53494965377718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3.0105806047629704</v>
      </c>
      <c r="AA130" s="23">
        <f>EXP(-LN(2)/25)*AA129+(1-EXP(-LN(2)/25))/(LN(2)/25)*Calculateur!V130*Calculateur!X130*VLOOKUP('Données projet'!$B$9,Paramètres!$A$1:$I$88,3,0)*0.475*44/12</f>
        <v>2.2349457744135877</v>
      </c>
      <c r="AB130" s="23">
        <f>EXP(-LN(2)/2)*AB129+(1-EXP(-LN(2)/2))/(LN(2)/2)*V130*Y130*VLOOKUP('Données projet'!$B$9,Paramètres!$A$1:$I$88,3,0)*0.475*44/12</f>
        <v>6.29335257033936E-14</v>
      </c>
      <c r="AC130" s="24">
        <f t="shared" si="57"/>
        <v>5.2455263791766216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projet'!$B$10,Paramètres!$A$1:$I$88,3,0)*VLOOKUP('Données projet'!$B$10,Paramètres!$A$1:$I$88,5,0)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210.04871822652808</v>
      </c>
      <c r="AO130" s="62">
        <f t="shared" si="90"/>
        <v>250.17540614049324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1.0692971281187711</v>
      </c>
      <c r="AV130" s="23">
        <f>EXP(-LN(2)/25)*AV129+(1-EXP(-LN(2)/25))/(LN(2)/25)*Calculateur!AQ130*Calculateur!AS130*VLOOKUP('Données projet'!$B$10,Paramètres!$A$1:$I$88,3,0)*0.475*44/12</f>
        <v>1.8902879188050881</v>
      </c>
      <c r="AW130" s="23">
        <f>EXP(-LN(2)/2)*AW129+(1-EXP(-LN(2)/2))/(LN(2)/2)*AQ130*AT130*VLOOKUP('Données projet'!$B$10,Paramètres!$A$1:$I$88,3,0)*0.475*44/12</f>
        <v>5.41465570589201E-14</v>
      </c>
      <c r="AX130" s="23">
        <f t="shared" si="60"/>
        <v>2.9595850469239133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-2.8421709430404007E-14</v>
      </c>
      <c r="BE130" s="14">
        <f>BD130*VLOOKUP('Données projet'!$B$11,Paramètres!$A$1:$I$88,3,0)*VLOOKUP('Données projet'!$B$11,Paramètres!$A$1:$I$88,5,0)</f>
        <v>-2.4829205358400945E-14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223.81948236065614</v>
      </c>
      <c r="BJ130" s="62">
        <f t="shared" si="92"/>
        <v>320.1204011431372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0.45006659545951472</v>
      </c>
      <c r="BQ130" s="23">
        <f>EXP(-LN(2)/25)*BQ129+(1-EXP(-LN(2)/25))/(LN(2)/25)*Calculateur!BL130*Calculateur!BN130*VLOOKUP('Données projet'!$B$11,Paramètres!$A$1:$I$88,3,0)*0.475*44/12</f>
        <v>1.2016845630688004</v>
      </c>
      <c r="BR130" s="23">
        <f>EXP(-LN(2)/2)*BR129+(1-EXP(-LN(2)/2))/(LN(2)/2)*BL130*BO130*VLOOKUP('Données projet'!$B$11,Paramètres!$A$1:$I$88,3,0)*0.475*44/12</f>
        <v>6.9762365229866565E-14</v>
      </c>
      <c r="BS130" s="24">
        <f t="shared" si="63"/>
        <v>1.6517511585283848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4.5474735088646412E-13</v>
      </c>
      <c r="O131" s="14">
        <f>N131*VLOOKUP('Données projet'!$B$9,Paramètres!$A$1:$I$88,3,0)*VLOOKUP('Données projet'!$B$9,Paramètres!$A$1:$I$88,5,0)</f>
        <v>2.5420376914553347E-13</v>
      </c>
      <c r="P131" s="14">
        <f t="shared" si="87"/>
        <v>3.4258699088369875E-12</v>
      </c>
      <c r="Q131" s="22">
        <f t="shared" ref="Q131:Q153" si="108">(O131+P131)*0.475*44/12</f>
        <v>6.4094616558195571E-12</v>
      </c>
      <c r="R131" s="62">
        <f t="shared" ref="R131:R194" si="109">Q131+(I131+J131)*44/12</f>
        <v>293.33333333333974</v>
      </c>
      <c r="S131" s="62">
        <f ca="1">AVERAGE(OFFSET($R$3,0,0,'Données projet'!$E$9+1,1))-AVERAGE(OFFSET($H$3,0,0,'Données projet'!$E$9+1,1))</f>
        <v>373.16487843768437</v>
      </c>
      <c r="T131" s="62">
        <f t="shared" si="88"/>
        <v>376.53494965377718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2.9515449553764204</v>
      </c>
      <c r="AA131" s="23">
        <f>EXP(-LN(2)/25)*AA130+(1-EXP(-LN(2)/25))/(LN(2)/25)*Calculateur!V131*Calculateur!X131*VLOOKUP('Données projet'!$B$9,Paramètres!$A$1:$I$88,3,0)*0.475*44/12</f>
        <v>2.1738310646815577</v>
      </c>
      <c r="AB131" s="23">
        <f>EXP(-LN(2)/2)*AB130+(1-EXP(-LN(2)/2))/(LN(2)/2)*V131*Y131*VLOOKUP('Données projet'!$B$9,Paramètres!$A$1:$I$88,3,0)*0.475*44/12</f>
        <v>4.4500722788847503E-14</v>
      </c>
      <c r="AC131" s="24">
        <f t="shared" si="57"/>
        <v>5.1253760200580221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projet'!$B$10,Paramètres!$A$1:$I$88,3,0)*VLOOKUP('Données projet'!$B$10,Paramètres!$A$1:$I$88,5,0)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210.04871822652808</v>
      </c>
      <c r="AO131" s="62">
        <f t="shared" si="90"/>
        <v>250.17540614049324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1.04832886364321</v>
      </c>
      <c r="AV131" s="23">
        <f>EXP(-LN(2)/25)*AV130+(1-EXP(-LN(2)/25))/(LN(2)/25)*Calculateur!AQ131*Calculateur!AS131*VLOOKUP('Données projet'!$B$10,Paramètres!$A$1:$I$88,3,0)*0.475*44/12</f>
        <v>1.8385978962594416</v>
      </c>
      <c r="AW131" s="23">
        <f>EXP(-LN(2)/2)*AW130+(1-EXP(-LN(2)/2))/(LN(2)/2)*AQ131*AT131*VLOOKUP('Données projet'!$B$10,Paramètres!$A$1:$I$88,3,0)*0.475*44/12</f>
        <v>3.8287397674266725E-14</v>
      </c>
      <c r="AX131" s="23">
        <f t="shared" si="60"/>
        <v>2.88692675990269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-2.8421709430404007E-14</v>
      </c>
      <c r="BE131" s="14">
        <f>BD131*VLOOKUP('Données projet'!$B$11,Paramètres!$A$1:$I$88,3,0)*VLOOKUP('Données projet'!$B$11,Paramètres!$A$1:$I$88,5,0)</f>
        <v>-2.4829205358400945E-14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223.81948236065614</v>
      </c>
      <c r="BJ131" s="62">
        <f t="shared" si="92"/>
        <v>320.1204011431372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0.44124106403607088</v>
      </c>
      <c r="BQ131" s="23">
        <f>EXP(-LN(2)/25)*BQ130+(1-EXP(-LN(2)/25))/(LN(2)/25)*Calculateur!BL131*Calculateur!BN131*VLOOKUP('Données projet'!$B$11,Paramètres!$A$1:$I$88,3,0)*0.475*44/12</f>
        <v>1.1688244354978394</v>
      </c>
      <c r="BR131" s="23">
        <f>EXP(-LN(2)/2)*BR130+(1-EXP(-LN(2)/2))/(LN(2)/2)*BL131*BO131*VLOOKUP('Données projet'!$B$11,Paramètres!$A$1:$I$88,3,0)*0.475*44/12</f>
        <v>4.9329441525651269E-14</v>
      </c>
      <c r="BS131" s="24">
        <f t="shared" si="63"/>
        <v>1.6100654995339596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4.5474735088646412E-13</v>
      </c>
      <c r="O132" s="14">
        <f>N132*VLOOKUP('Données projet'!$B$9,Paramètres!$A$1:$I$88,3,0)*VLOOKUP('Données projet'!$B$9,Paramètres!$A$1:$I$88,5,0)</f>
        <v>2.5420376914553347E-13</v>
      </c>
      <c r="P132" s="14">
        <f t="shared" si="87"/>
        <v>3.4258699088369875E-12</v>
      </c>
      <c r="Q132" s="22">
        <f t="shared" si="108"/>
        <v>6.4094616558195571E-12</v>
      </c>
      <c r="R132" s="62">
        <f t="shared" si="109"/>
        <v>293.33333333333974</v>
      </c>
      <c r="S132" s="62">
        <f ca="1">AVERAGE(OFFSET($R$3,0,0,'Données projet'!$E$9+1,1))-AVERAGE(OFFSET($H$3,0,0,'Données projet'!$E$9+1,1))</f>
        <v>373.16487843768437</v>
      </c>
      <c r="T132" s="62">
        <f t="shared" si="88"/>
        <v>376.53494965377718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2.8936669590661501</v>
      </c>
      <c r="AA132" s="23">
        <f>EXP(-LN(2)/25)*AA131+(1-EXP(-LN(2)/25))/(LN(2)/25)*Calculateur!V132*Calculateur!X132*VLOOKUP('Données projet'!$B$9,Paramètres!$A$1:$I$88,3,0)*0.475*44/12</f>
        <v>2.114387539901033</v>
      </c>
      <c r="AB132" s="23">
        <f>EXP(-LN(2)/2)*AB131+(1-EXP(-LN(2)/2))/(LN(2)/2)*V132*Y132*VLOOKUP('Données projet'!$B$9,Paramètres!$A$1:$I$88,3,0)*0.475*44/12</f>
        <v>3.14667628516968E-14</v>
      </c>
      <c r="AC132" s="24">
        <f t="shared" ref="AC132:AC153" si="111">SUM(Z132:AB132)</f>
        <v>5.0080544989672147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projet'!$B$10,Paramètres!$A$1:$I$88,3,0)*VLOOKUP('Données projet'!$B$10,Paramètres!$A$1:$I$88,5,0)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210.04871822652808</v>
      </c>
      <c r="AO132" s="62">
        <f t="shared" si="90"/>
        <v>250.17540614049324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1.0277717740446362</v>
      </c>
      <c r="AV132" s="23">
        <f>EXP(-LN(2)/25)*AV131+(1-EXP(-LN(2)/25))/(LN(2)/25)*Calculateur!AQ132*Calculateur!AS132*VLOOKUP('Données projet'!$B$10,Paramètres!$A$1:$I$88,3,0)*0.475*44/12</f>
        <v>1.788321340098566</v>
      </c>
      <c r="AW132" s="23">
        <f>EXP(-LN(2)/2)*AW131+(1-EXP(-LN(2)/2))/(LN(2)/2)*AQ132*AT132*VLOOKUP('Données projet'!$B$10,Paramètres!$A$1:$I$88,3,0)*0.475*44/12</f>
        <v>2.707327852946005E-14</v>
      </c>
      <c r="AX132" s="23">
        <f t="shared" ref="AX132:AX153" si="114">SUM(AU132:AW132)</f>
        <v>2.816093114143229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-2.8421709430404007E-14</v>
      </c>
      <c r="BE132" s="14">
        <f>BD132*VLOOKUP('Données projet'!$B$11,Paramètres!$A$1:$I$88,3,0)*VLOOKUP('Données projet'!$B$11,Paramètres!$A$1:$I$88,5,0)</f>
        <v>-2.4829205358400945E-14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223.81948236065614</v>
      </c>
      <c r="BJ132" s="62">
        <f t="shared" si="92"/>
        <v>320.1204011431372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0.43258859590079818</v>
      </c>
      <c r="BQ132" s="23">
        <f>EXP(-LN(2)/25)*BQ131+(1-EXP(-LN(2)/25))/(LN(2)/25)*Calculateur!BL132*Calculateur!BN132*VLOOKUP('Données projet'!$B$11,Paramètres!$A$1:$I$88,3,0)*0.475*44/12</f>
        <v>1.1368628698433454</v>
      </c>
      <c r="BR132" s="23">
        <f>EXP(-LN(2)/2)*BR131+(1-EXP(-LN(2)/2))/(LN(2)/2)*BL132*BO132*VLOOKUP('Données projet'!$B$11,Paramètres!$A$1:$I$88,3,0)*0.475*44/12</f>
        <v>3.4881182614933283E-14</v>
      </c>
      <c r="BS132" s="24">
        <f t="shared" ref="BS132:BS153" si="117">SUM(BP132:BR132)</f>
        <v>1.5694514657441785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4.5474735088646412E-13</v>
      </c>
      <c r="O133" s="14">
        <f>N133*VLOOKUP('Données projet'!$B$9,Paramètres!$A$1:$I$88,3,0)*VLOOKUP('Données projet'!$B$9,Paramètres!$A$1:$I$88,5,0)</f>
        <v>2.5420376914553347E-13</v>
      </c>
      <c r="P133" s="14">
        <f t="shared" ref="P133:P196" si="141">EXP(-1.0587+0.8836*LN(O133)+0.284)</f>
        <v>3.4258699088369875E-12</v>
      </c>
      <c r="Q133" s="22">
        <f t="shared" si="108"/>
        <v>6.4094616558195571E-12</v>
      </c>
      <c r="R133" s="62">
        <f t="shared" si="109"/>
        <v>293.33333333333974</v>
      </c>
      <c r="S133" s="62">
        <f ca="1">AVERAGE(OFFSET($R$3,0,0,'Données projet'!$E$9+1,1))-AVERAGE(OFFSET($H$3,0,0,'Données projet'!$E$9+1,1))</f>
        <v>373.16487843768437</v>
      </c>
      <c r="T133" s="62">
        <f t="shared" ref="T133:T196" si="142">$T$3</f>
        <v>376.53494965377718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2.8369239149614325</v>
      </c>
      <c r="AA133" s="23">
        <f>EXP(-LN(2)/25)*AA132+(1-EXP(-LN(2)/25))/(LN(2)/25)*Calculateur!V133*Calculateur!X133*VLOOKUP('Données projet'!$B$9,Paramètres!$A$1:$I$88,3,0)*0.475*44/12</f>
        <v>2.056569501431631</v>
      </c>
      <c r="AB133" s="23">
        <f>EXP(-LN(2)/2)*AB132+(1-EXP(-LN(2)/2))/(LN(2)/2)*V133*Y133*VLOOKUP('Données projet'!$B$9,Paramètres!$A$1:$I$88,3,0)*0.475*44/12</f>
        <v>2.2250361394423752E-14</v>
      </c>
      <c r="AC133" s="24">
        <f t="shared" si="111"/>
        <v>4.8934934163930857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projet'!$B$10,Paramètres!$A$1:$I$88,3,0)*VLOOKUP('Données projet'!$B$10,Paramètres!$A$1:$I$88,5,0)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210.04871822652808</v>
      </c>
      <c r="AO133" s="62">
        <f t="shared" ref="AO133:AO196" si="144">$AO$3</f>
        <v>250.17540614049324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1.0076177964345039</v>
      </c>
      <c r="AV133" s="23">
        <f>EXP(-LN(2)/25)*AV132+(1-EXP(-LN(2)/25))/(LN(2)/25)*Calculateur!AQ133*Calculateur!AS133*VLOOKUP('Données projet'!$B$10,Paramètres!$A$1:$I$88,3,0)*0.475*44/12</f>
        <v>1.7394195990098387</v>
      </c>
      <c r="AW133" s="23">
        <f>EXP(-LN(2)/2)*AW132+(1-EXP(-LN(2)/2))/(LN(2)/2)*AQ133*AT133*VLOOKUP('Données projet'!$B$10,Paramètres!$A$1:$I$88,3,0)*0.475*44/12</f>
        <v>1.9143698837133362E-14</v>
      </c>
      <c r="AX133" s="23">
        <f t="shared" si="114"/>
        <v>2.7470373954443619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-2.8421709430404007E-14</v>
      </c>
      <c r="BE133" s="14">
        <f>BD133*VLOOKUP('Données projet'!$B$11,Paramètres!$A$1:$I$88,3,0)*VLOOKUP('Données projet'!$B$11,Paramètres!$A$1:$I$88,5,0)</f>
        <v>-2.4829205358400945E-14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223.81948236065614</v>
      </c>
      <c r="BJ133" s="62">
        <f t="shared" ref="BJ133:BJ196" si="146">$BJ$3</f>
        <v>320.1204011431372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0.42410579738817372</v>
      </c>
      <c r="BQ133" s="23">
        <f>EXP(-LN(2)/25)*BQ132+(1-EXP(-LN(2)/25))/(LN(2)/25)*Calculateur!BL133*Calculateur!BN133*VLOOKUP('Données projet'!$B$11,Paramètres!$A$1:$I$88,3,0)*0.475*44/12</f>
        <v>1.1057752948824591</v>
      </c>
      <c r="BR133" s="23">
        <f>EXP(-LN(2)/2)*BR132+(1-EXP(-LN(2)/2))/(LN(2)/2)*BL133*BO133*VLOOKUP('Données projet'!$B$11,Paramètres!$A$1:$I$88,3,0)*0.475*44/12</f>
        <v>2.4664720762825635E-14</v>
      </c>
      <c r="BS133" s="24">
        <f t="shared" si="117"/>
        <v>1.5298810922706574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4.5474735088646412E-13</v>
      </c>
      <c r="O134" s="14">
        <f>N134*VLOOKUP('Données projet'!$B$9,Paramètres!$A$1:$I$88,3,0)*VLOOKUP('Données projet'!$B$9,Paramètres!$A$1:$I$88,5,0)</f>
        <v>2.5420376914553347E-13</v>
      </c>
      <c r="P134" s="14">
        <f t="shared" si="141"/>
        <v>3.4258699088369875E-12</v>
      </c>
      <c r="Q134" s="22">
        <f t="shared" si="108"/>
        <v>6.4094616558195571E-12</v>
      </c>
      <c r="R134" s="62">
        <f t="shared" si="109"/>
        <v>293.33333333333974</v>
      </c>
      <c r="S134" s="62">
        <f ca="1">AVERAGE(OFFSET($R$3,0,0,'Données projet'!$E$9+1,1))-AVERAGE(OFFSET($H$3,0,0,'Données projet'!$E$9+1,1))</f>
        <v>373.16487843768437</v>
      </c>
      <c r="T134" s="62">
        <f t="shared" si="142"/>
        <v>376.53494965377718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2.7812935673417689</v>
      </c>
      <c r="AA134" s="23">
        <f>EXP(-LN(2)/25)*AA133+(1-EXP(-LN(2)/25))/(LN(2)/25)*Calculateur!V134*Calculateur!X134*VLOOKUP('Données projet'!$B$9,Paramètres!$A$1:$I$88,3,0)*0.475*44/12</f>
        <v>2.0003325002646934</v>
      </c>
      <c r="AB134" s="23">
        <f>EXP(-LN(2)/2)*AB133+(1-EXP(-LN(2)/2))/(LN(2)/2)*V134*Y134*VLOOKUP('Données projet'!$B$9,Paramètres!$A$1:$I$88,3,0)*0.475*44/12</f>
        <v>1.57333814258484E-14</v>
      </c>
      <c r="AC134" s="24">
        <f t="shared" si="111"/>
        <v>4.7816260676064779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projet'!$B$10,Paramètres!$A$1:$I$88,3,0)*VLOOKUP('Données projet'!$B$10,Paramètres!$A$1:$I$88,5,0)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210.04871822652808</v>
      </c>
      <c r="AO134" s="62">
        <f t="shared" si="144"/>
        <v>250.17540614049324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0.98785902603259379</v>
      </c>
      <c r="AV134" s="23">
        <f>EXP(-LN(2)/25)*AV133+(1-EXP(-LN(2)/25))/(LN(2)/25)*Calculateur!AQ134*Calculateur!AS134*VLOOKUP('Données projet'!$B$10,Paramètres!$A$1:$I$88,3,0)*0.475*44/12</f>
        <v>1.6918550786028135</v>
      </c>
      <c r="AW134" s="23">
        <f>EXP(-LN(2)/2)*AW133+(1-EXP(-LN(2)/2))/(LN(2)/2)*AQ134*AT134*VLOOKUP('Données projet'!$B$10,Paramètres!$A$1:$I$88,3,0)*0.475*44/12</f>
        <v>1.3536639264730025E-14</v>
      </c>
      <c r="AX134" s="23">
        <f t="shared" si="114"/>
        <v>2.6797141046354205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-2.8421709430404007E-14</v>
      </c>
      <c r="BE134" s="14">
        <f>BD134*VLOOKUP('Données projet'!$B$11,Paramètres!$A$1:$I$88,3,0)*VLOOKUP('Données projet'!$B$11,Paramètres!$A$1:$I$88,5,0)</f>
        <v>-2.4829205358400945E-14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223.81948236065614</v>
      </c>
      <c r="BJ134" s="62">
        <f t="shared" si="146"/>
        <v>320.1204011431372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0.41578934138038559</v>
      </c>
      <c r="BQ134" s="23">
        <f>EXP(-LN(2)/25)*BQ133+(1-EXP(-LN(2)/25))/(LN(2)/25)*Calculateur!BL134*Calculateur!BN134*VLOOKUP('Données projet'!$B$11,Paramètres!$A$1:$I$88,3,0)*0.475*44/12</f>
        <v>1.0755378112937029</v>
      </c>
      <c r="BR134" s="23">
        <f>EXP(-LN(2)/2)*BR133+(1-EXP(-LN(2)/2))/(LN(2)/2)*BL134*BO134*VLOOKUP('Données projet'!$B$11,Paramètres!$A$1:$I$88,3,0)*0.475*44/12</f>
        <v>1.7440591307466641E-14</v>
      </c>
      <c r="BS134" s="24">
        <f t="shared" si="117"/>
        <v>1.4913271526741061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4.5474735088646412E-13</v>
      </c>
      <c r="O135" s="14">
        <f>N135*VLOOKUP('Données projet'!$B$9,Paramètres!$A$1:$I$88,3,0)*VLOOKUP('Données projet'!$B$9,Paramètres!$A$1:$I$88,5,0)</f>
        <v>2.5420376914553347E-13</v>
      </c>
      <c r="P135" s="14">
        <f t="shared" si="141"/>
        <v>3.4258699088369875E-12</v>
      </c>
      <c r="Q135" s="22">
        <f t="shared" si="108"/>
        <v>6.4094616558195571E-12</v>
      </c>
      <c r="R135" s="62">
        <f t="shared" si="109"/>
        <v>293.33333333333974</v>
      </c>
      <c r="S135" s="62">
        <f ca="1">AVERAGE(OFFSET($R$3,0,0,'Données projet'!$E$9+1,1))-AVERAGE(OFFSET($H$3,0,0,'Données projet'!$E$9+1,1))</f>
        <v>373.16487843768437</v>
      </c>
      <c r="T135" s="62">
        <f t="shared" si="142"/>
        <v>376.53494965377718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2.726754096907765</v>
      </c>
      <c r="AA135" s="23">
        <f>EXP(-LN(2)/25)*AA134+(1-EXP(-LN(2)/25))/(LN(2)/25)*Calculateur!V135*Calculateur!X135*VLOOKUP('Données projet'!$B$9,Paramètres!$A$1:$I$88,3,0)*0.475*44/12</f>
        <v>1.9456333028520409</v>
      </c>
      <c r="AB135" s="23">
        <f>EXP(-LN(2)/2)*AB134+(1-EXP(-LN(2)/2))/(LN(2)/2)*V135*Y135*VLOOKUP('Données projet'!$B$9,Paramètres!$A$1:$I$88,3,0)*0.475*44/12</f>
        <v>1.1125180697211876E-14</v>
      </c>
      <c r="AC135" s="24">
        <f t="shared" si="111"/>
        <v>4.6723873997598178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projet'!$B$10,Paramètres!$A$1:$I$88,3,0)*VLOOKUP('Données projet'!$B$10,Paramètres!$A$1:$I$88,5,0)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210.04871822652808</v>
      </c>
      <c r="AO135" s="62">
        <f t="shared" si="144"/>
        <v>250.17540614049324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0.96848771306660519</v>
      </c>
      <c r="AV135" s="23">
        <f>EXP(-LN(2)/25)*AV134+(1-EXP(-LN(2)/25))/(LN(2)/25)*Calculateur!AQ135*Calculateur!AS135*VLOOKUP('Données projet'!$B$10,Paramètres!$A$1:$I$88,3,0)*0.475*44/12</f>
        <v>1.6455912125076277</v>
      </c>
      <c r="AW135" s="23">
        <f>EXP(-LN(2)/2)*AW134+(1-EXP(-LN(2)/2))/(LN(2)/2)*AQ135*AT135*VLOOKUP('Données projet'!$B$10,Paramètres!$A$1:$I$88,3,0)*0.475*44/12</f>
        <v>9.5718494185666812E-15</v>
      </c>
      <c r="AX135" s="23">
        <f t="shared" si="114"/>
        <v>2.6140789255742427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-2.8421709430404007E-14</v>
      </c>
      <c r="BE135" s="14">
        <f>BD135*VLOOKUP('Données projet'!$B$11,Paramètres!$A$1:$I$88,3,0)*VLOOKUP('Données projet'!$B$11,Paramètres!$A$1:$I$88,5,0)</f>
        <v>-2.4829205358400945E-14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223.81948236065614</v>
      </c>
      <c r="BJ135" s="62">
        <f t="shared" si="146"/>
        <v>320.1204011431372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0.4076359660023729</v>
      </c>
      <c r="BQ135" s="23">
        <f>EXP(-LN(2)/25)*BQ134+(1-EXP(-LN(2)/25))/(LN(2)/25)*Calculateur!BL135*Calculateur!BN135*VLOOKUP('Données projet'!$B$11,Paramètres!$A$1:$I$88,3,0)*0.475*44/12</f>
        <v>1.0461271732838011</v>
      </c>
      <c r="BR135" s="23">
        <f>EXP(-LN(2)/2)*BR134+(1-EXP(-LN(2)/2))/(LN(2)/2)*BL135*BO135*VLOOKUP('Données projet'!$B$11,Paramètres!$A$1:$I$88,3,0)*0.475*44/12</f>
        <v>1.2332360381412817E-14</v>
      </c>
      <c r="BS135" s="24">
        <f t="shared" si="117"/>
        <v>1.4537631392861865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4.5474735088646412E-13</v>
      </c>
      <c r="O136" s="14">
        <f>N136*VLOOKUP('Données projet'!$B$9,Paramètres!$A$1:$I$88,3,0)*VLOOKUP('Données projet'!$B$9,Paramètres!$A$1:$I$88,5,0)</f>
        <v>2.5420376914553347E-13</v>
      </c>
      <c r="P136" s="14">
        <f t="shared" si="141"/>
        <v>3.4258699088369875E-12</v>
      </c>
      <c r="Q136" s="22">
        <f t="shared" si="108"/>
        <v>6.4094616558195571E-12</v>
      </c>
      <c r="R136" s="62">
        <f t="shared" si="109"/>
        <v>293.33333333333974</v>
      </c>
      <c r="S136" s="62">
        <f ca="1">AVERAGE(OFFSET($R$3,0,0,'Données projet'!$E$9+1,1))-AVERAGE(OFFSET($H$3,0,0,'Données projet'!$E$9+1,1))</f>
        <v>373.16487843768437</v>
      </c>
      <c r="T136" s="62">
        <f t="shared" si="142"/>
        <v>376.53494965377718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2.6732841122231799</v>
      </c>
      <c r="AA136" s="23">
        <f>EXP(-LN(2)/25)*AA135+(1-EXP(-LN(2)/25))/(LN(2)/25)*Calculateur!V136*Calculateur!X136*VLOOKUP('Données projet'!$B$9,Paramètres!$A$1:$I$88,3,0)*0.475*44/12</f>
        <v>1.8924298578691432</v>
      </c>
      <c r="AB136" s="23">
        <f>EXP(-LN(2)/2)*AB135+(1-EXP(-LN(2)/2))/(LN(2)/2)*V136*Y136*VLOOKUP('Données projet'!$B$9,Paramètres!$A$1:$I$88,3,0)*0.475*44/12</f>
        <v>7.8666907129242E-15</v>
      </c>
      <c r="AC136" s="24">
        <f t="shared" si="111"/>
        <v>4.5657139700923315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projet'!$B$10,Paramètres!$A$1:$I$88,3,0)*VLOOKUP('Données projet'!$B$10,Paramètres!$A$1:$I$88,5,0)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210.04871822652808</v>
      </c>
      <c r="AO136" s="62">
        <f t="shared" si="144"/>
        <v>250.17540614049324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0.94949625973254537</v>
      </c>
      <c r="AV136" s="23">
        <f>EXP(-LN(2)/25)*AV135+(1-EXP(-LN(2)/25))/(LN(2)/25)*Calculateur!AQ136*Calculateur!AS136*VLOOKUP('Données projet'!$B$10,Paramètres!$A$1:$I$88,3,0)*0.475*44/12</f>
        <v>1.6005924342637259</v>
      </c>
      <c r="AW136" s="23">
        <f>EXP(-LN(2)/2)*AW135+(1-EXP(-LN(2)/2))/(LN(2)/2)*AQ136*AT136*VLOOKUP('Données projet'!$B$10,Paramètres!$A$1:$I$88,3,0)*0.475*44/12</f>
        <v>6.7683196323650125E-15</v>
      </c>
      <c r="AX136" s="23">
        <f t="shared" si="114"/>
        <v>2.5500886939962779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-2.8421709430404007E-14</v>
      </c>
      <c r="BE136" s="14">
        <f>BD136*VLOOKUP('Données projet'!$B$11,Paramètres!$A$1:$I$88,3,0)*VLOOKUP('Données projet'!$B$11,Paramètres!$A$1:$I$88,5,0)</f>
        <v>-2.4829205358400945E-14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223.81948236065614</v>
      </c>
      <c r="BJ136" s="62">
        <f t="shared" si="146"/>
        <v>320.1204011431372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0.39964247334245512</v>
      </c>
      <c r="BQ136" s="23">
        <f>EXP(-LN(2)/25)*BQ135+(1-EXP(-LN(2)/25))/(LN(2)/25)*Calculateur!BL136*Calculateur!BN136*VLOOKUP('Données projet'!$B$11,Paramètres!$A$1:$I$88,3,0)*0.475*44/12</f>
        <v>1.0175207707169185</v>
      </c>
      <c r="BR136" s="23">
        <f>EXP(-LN(2)/2)*BR135+(1-EXP(-LN(2)/2))/(LN(2)/2)*BL136*BO136*VLOOKUP('Données projet'!$B$11,Paramètres!$A$1:$I$88,3,0)*0.475*44/12</f>
        <v>8.7202956537333206E-15</v>
      </c>
      <c r="BS136" s="24">
        <f t="shared" si="117"/>
        <v>1.4171632440593822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4.5474735088646412E-13</v>
      </c>
      <c r="O137" s="14">
        <f>N137*VLOOKUP('Données projet'!$B$9,Paramètres!$A$1:$I$88,3,0)*VLOOKUP('Données projet'!$B$9,Paramètres!$A$1:$I$88,5,0)</f>
        <v>2.5420376914553347E-13</v>
      </c>
      <c r="P137" s="14">
        <f t="shared" si="141"/>
        <v>3.4258699088369875E-12</v>
      </c>
      <c r="Q137" s="22">
        <f t="shared" si="108"/>
        <v>6.4094616558195571E-12</v>
      </c>
      <c r="R137" s="62">
        <f t="shared" si="109"/>
        <v>293.33333333333974</v>
      </c>
      <c r="S137" s="62">
        <f ca="1">AVERAGE(OFFSET($R$3,0,0,'Données projet'!$E$9+1,1))-AVERAGE(OFFSET($H$3,0,0,'Données projet'!$E$9+1,1))</f>
        <v>373.16487843768437</v>
      </c>
      <c r="T137" s="62">
        <f t="shared" si="142"/>
        <v>376.53494965377718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2.6208626413247891</v>
      </c>
      <c r="AA137" s="23">
        <f>EXP(-LN(2)/25)*AA136+(1-EXP(-LN(2)/25))/(LN(2)/25)*Calculateur!V137*Calculateur!X137*VLOOKUP('Données projet'!$B$9,Paramètres!$A$1:$I$88,3,0)*0.475*44/12</f>
        <v>1.8406812638871504</v>
      </c>
      <c r="AB137" s="23">
        <f>EXP(-LN(2)/2)*AB136+(1-EXP(-LN(2)/2))/(LN(2)/2)*V137*Y137*VLOOKUP('Données projet'!$B$9,Paramètres!$A$1:$I$88,3,0)*0.475*44/12</f>
        <v>5.5625903486059379E-15</v>
      </c>
      <c r="AC137" s="24">
        <f t="shared" si="111"/>
        <v>4.4615439052119452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projet'!$B$10,Paramètres!$A$1:$I$88,3,0)*VLOOKUP('Données projet'!$B$10,Paramètres!$A$1:$I$88,5,0)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210.04871822652808</v>
      </c>
      <c r="AO137" s="62">
        <f t="shared" si="144"/>
        <v>250.17540614049324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0.93087721721472372</v>
      </c>
      <c r="AV137" s="23">
        <f>EXP(-LN(2)/25)*AV136+(1-EXP(-LN(2)/25))/(LN(2)/25)*Calculateur!AQ137*Calculateur!AS137*VLOOKUP('Données projet'!$B$10,Paramètres!$A$1:$I$88,3,0)*0.475*44/12</f>
        <v>1.5568241499772864</v>
      </c>
      <c r="AW137" s="23">
        <f>EXP(-LN(2)/2)*AW136+(1-EXP(-LN(2)/2))/(LN(2)/2)*AQ137*AT137*VLOOKUP('Données projet'!$B$10,Paramètres!$A$1:$I$88,3,0)*0.475*44/12</f>
        <v>4.7859247092833406E-15</v>
      </c>
      <c r="AX137" s="23">
        <f t="shared" si="114"/>
        <v>2.487701367192015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-2.8421709430404007E-14</v>
      </c>
      <c r="BE137" s="14">
        <f>BD137*VLOOKUP('Données projet'!$B$11,Paramètres!$A$1:$I$88,3,0)*VLOOKUP('Données projet'!$B$11,Paramètres!$A$1:$I$88,5,0)</f>
        <v>-2.4829205358400945E-14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223.81948236065614</v>
      </c>
      <c r="BJ137" s="62">
        <f t="shared" si="146"/>
        <v>320.1204011431372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0.39180572819804921</v>
      </c>
      <c r="BQ137" s="23">
        <f>EXP(-LN(2)/25)*BQ136+(1-EXP(-LN(2)/25))/(LN(2)/25)*Calculateur!BL137*Calculateur!BN137*VLOOKUP('Données projet'!$B$11,Paramètres!$A$1:$I$88,3,0)*0.475*44/12</f>
        <v>0.98969661173257262</v>
      </c>
      <c r="BR137" s="23">
        <f>EXP(-LN(2)/2)*BR136+(1-EXP(-LN(2)/2))/(LN(2)/2)*BL137*BO137*VLOOKUP('Données projet'!$B$11,Paramètres!$A$1:$I$88,3,0)*0.475*44/12</f>
        <v>6.1661801907064087E-15</v>
      </c>
      <c r="BS137" s="24">
        <f t="shared" si="117"/>
        <v>1.3815023399306281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4.5474735088646412E-13</v>
      </c>
      <c r="O138" s="14">
        <f>N138*VLOOKUP('Données projet'!$B$9,Paramètres!$A$1:$I$88,3,0)*VLOOKUP('Données projet'!$B$9,Paramètres!$A$1:$I$88,5,0)</f>
        <v>2.5420376914553347E-13</v>
      </c>
      <c r="P138" s="14">
        <f t="shared" si="141"/>
        <v>3.4258699088369875E-12</v>
      </c>
      <c r="Q138" s="22">
        <f t="shared" si="108"/>
        <v>6.4094616558195571E-12</v>
      </c>
      <c r="R138" s="62">
        <f t="shared" si="109"/>
        <v>293.33333333333974</v>
      </c>
      <c r="S138" s="62">
        <f ca="1">AVERAGE(OFFSET($R$3,0,0,'Données projet'!$E$9+1,1))-AVERAGE(OFFSET($H$3,0,0,'Données projet'!$E$9+1,1))</f>
        <v>373.16487843768437</v>
      </c>
      <c r="T138" s="62">
        <f t="shared" si="142"/>
        <v>376.53494965377718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2.5694691234967757</v>
      </c>
      <c r="AA138" s="23">
        <f>EXP(-LN(2)/25)*AA137+(1-EXP(-LN(2)/25))/(LN(2)/25)*Calculateur!V138*Calculateur!X138*VLOOKUP('Données projet'!$B$9,Paramètres!$A$1:$I$88,3,0)*0.475*44/12</f>
        <v>1.7903477379289354</v>
      </c>
      <c r="AB138" s="23">
        <f>EXP(-LN(2)/2)*AB137+(1-EXP(-LN(2)/2))/(LN(2)/2)*V138*Y138*VLOOKUP('Données projet'!$B$9,Paramètres!$A$1:$I$88,3,0)*0.475*44/12</f>
        <v>3.9333453564621E-15</v>
      </c>
      <c r="AC138" s="24">
        <f t="shared" si="111"/>
        <v>4.3598168614257151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projet'!$B$10,Paramètres!$A$1:$I$88,3,0)*VLOOKUP('Données projet'!$B$10,Paramètres!$A$1:$I$88,5,0)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210.04871822652808</v>
      </c>
      <c r="AO138" s="62">
        <f t="shared" si="144"/>
        <v>250.17540614049324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0.91262328276418192</v>
      </c>
      <c r="AV138" s="23">
        <f>EXP(-LN(2)/25)*AV137+(1-EXP(-LN(2)/25))/(LN(2)/25)*Calculateur!AQ138*Calculateur!AS138*VLOOKUP('Données projet'!$B$10,Paramètres!$A$1:$I$88,3,0)*0.475*44/12</f>
        <v>1.5142527117263336</v>
      </c>
      <c r="AW138" s="23">
        <f>EXP(-LN(2)/2)*AW137+(1-EXP(-LN(2)/2))/(LN(2)/2)*AQ138*AT138*VLOOKUP('Données projet'!$B$10,Paramètres!$A$1:$I$88,3,0)*0.475*44/12</f>
        <v>3.3841598161825062E-15</v>
      </c>
      <c r="AX138" s="23">
        <f t="shared" si="114"/>
        <v>2.4268759944905192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-2.8421709430404007E-14</v>
      </c>
      <c r="BE138" s="14">
        <f>BD138*VLOOKUP('Données projet'!$B$11,Paramètres!$A$1:$I$88,3,0)*VLOOKUP('Données projet'!$B$11,Paramètres!$A$1:$I$88,5,0)</f>
        <v>-2.4829205358400945E-14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223.81948236065614</v>
      </c>
      <c r="BJ138" s="62">
        <f t="shared" si="146"/>
        <v>320.1204011431372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0.38412265684598257</v>
      </c>
      <c r="BQ138" s="23">
        <f>EXP(-LN(2)/25)*BQ137+(1-EXP(-LN(2)/25))/(LN(2)/25)*Calculateur!BL138*Calculateur!BN138*VLOOKUP('Données projet'!$B$11,Paramètres!$A$1:$I$88,3,0)*0.475*44/12</f>
        <v>0.96263330583886264</v>
      </c>
      <c r="BR138" s="23">
        <f>EXP(-LN(2)/2)*BR137+(1-EXP(-LN(2)/2))/(LN(2)/2)*BL138*BO138*VLOOKUP('Données projet'!$B$11,Paramètres!$A$1:$I$88,3,0)*0.475*44/12</f>
        <v>4.3601478268666603E-15</v>
      </c>
      <c r="BS138" s="24">
        <f t="shared" si="117"/>
        <v>1.3467559626848495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4.5474735088646412E-13</v>
      </c>
      <c r="O139" s="14">
        <f>N139*VLOOKUP('Données projet'!$B$9,Paramètres!$A$1:$I$88,3,0)*VLOOKUP('Données projet'!$B$9,Paramètres!$A$1:$I$88,5,0)</f>
        <v>2.5420376914553347E-13</v>
      </c>
      <c r="P139" s="14">
        <f t="shared" si="141"/>
        <v>3.4258699088369875E-12</v>
      </c>
      <c r="Q139" s="22">
        <f t="shared" si="108"/>
        <v>6.4094616558195571E-12</v>
      </c>
      <c r="R139" s="62">
        <f t="shared" si="109"/>
        <v>293.33333333333974</v>
      </c>
      <c r="S139" s="62">
        <f ca="1">AVERAGE(OFFSET($R$3,0,0,'Données projet'!$E$9+1,1))-AVERAGE(OFFSET($H$3,0,0,'Données projet'!$E$9+1,1))</f>
        <v>373.16487843768437</v>
      </c>
      <c r="T139" s="62">
        <f t="shared" si="142"/>
        <v>376.53494965377718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2.5190834012064189</v>
      </c>
      <c r="AA139" s="23">
        <f>EXP(-LN(2)/25)*AA138+(1-EXP(-LN(2)/25))/(LN(2)/25)*Calculateur!V139*Calculateur!X139*VLOOKUP('Données projet'!$B$9,Paramètres!$A$1:$I$88,3,0)*0.475*44/12</f>
        <v>1.7413905848849731</v>
      </c>
      <c r="AB139" s="23">
        <f>EXP(-LN(2)/2)*AB138+(1-EXP(-LN(2)/2))/(LN(2)/2)*V139*Y139*VLOOKUP('Données projet'!$B$9,Paramètres!$A$1:$I$88,3,0)*0.475*44/12</f>
        <v>2.7812951743029689E-15</v>
      </c>
      <c r="AC139" s="24">
        <f t="shared" si="111"/>
        <v>4.2604739860913945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projet'!$B$10,Paramètres!$A$1:$I$88,3,0)*VLOOKUP('Données projet'!$B$10,Paramètres!$A$1:$I$88,5,0)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210.04871822652808</v>
      </c>
      <c r="AO139" s="62">
        <f t="shared" si="144"/>
        <v>250.17540614049324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0.89472729683441465</v>
      </c>
      <c r="AV139" s="23">
        <f>EXP(-LN(2)/25)*AV138+(1-EXP(-LN(2)/25))/(LN(2)/25)*Calculateur!AQ139*Calculateur!AS139*VLOOKUP('Données projet'!$B$10,Paramètres!$A$1:$I$88,3,0)*0.475*44/12</f>
        <v>1.4728453916930877</v>
      </c>
      <c r="AW139" s="23">
        <f>EXP(-LN(2)/2)*AW138+(1-EXP(-LN(2)/2))/(LN(2)/2)*AQ139*AT139*VLOOKUP('Données projet'!$B$10,Paramètres!$A$1:$I$88,3,0)*0.475*44/12</f>
        <v>2.3929623546416703E-15</v>
      </c>
      <c r="AX139" s="23">
        <f t="shared" si="114"/>
        <v>2.3675726885275048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-2.8421709430404007E-14</v>
      </c>
      <c r="BE139" s="14">
        <f>BD139*VLOOKUP('Données projet'!$B$11,Paramètres!$A$1:$I$88,3,0)*VLOOKUP('Données projet'!$B$11,Paramètres!$A$1:$I$88,5,0)</f>
        <v>-2.4829205358400945E-14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223.81948236065614</v>
      </c>
      <c r="BJ139" s="62">
        <f t="shared" si="146"/>
        <v>320.1204011431372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0.37659024583691914</v>
      </c>
      <c r="BQ139" s="23">
        <f>EXP(-LN(2)/25)*BQ138+(1-EXP(-LN(2)/25))/(LN(2)/25)*Calculateur!BL139*Calculateur!BN139*VLOOKUP('Données projet'!$B$11,Paramètres!$A$1:$I$88,3,0)*0.475*44/12</f>
        <v>0.9363100474680135</v>
      </c>
      <c r="BR139" s="23">
        <f>EXP(-LN(2)/2)*BR138+(1-EXP(-LN(2)/2))/(LN(2)/2)*BL139*BO139*VLOOKUP('Données projet'!$B$11,Paramètres!$A$1:$I$88,3,0)*0.475*44/12</f>
        <v>3.0830900953532043E-15</v>
      </c>
      <c r="BS139" s="24">
        <f t="shared" si="117"/>
        <v>1.3129002933049359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4.5474735088646412E-13</v>
      </c>
      <c r="O140" s="14">
        <f>N140*VLOOKUP('Données projet'!$B$9,Paramètres!$A$1:$I$88,3,0)*VLOOKUP('Données projet'!$B$9,Paramètres!$A$1:$I$88,5,0)</f>
        <v>2.5420376914553347E-13</v>
      </c>
      <c r="P140" s="14">
        <f t="shared" si="141"/>
        <v>3.4258699088369875E-12</v>
      </c>
      <c r="Q140" s="22">
        <f t="shared" si="108"/>
        <v>6.4094616558195571E-12</v>
      </c>
      <c r="R140" s="62">
        <f t="shared" si="109"/>
        <v>293.33333333333974</v>
      </c>
      <c r="S140" s="62">
        <f ca="1">AVERAGE(OFFSET($R$3,0,0,'Données projet'!$E$9+1,1))-AVERAGE(OFFSET($H$3,0,0,'Données projet'!$E$9+1,1))</f>
        <v>373.16487843768437</v>
      </c>
      <c r="T140" s="62">
        <f t="shared" si="142"/>
        <v>376.53494965377718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2.4696857121979199</v>
      </c>
      <c r="AA140" s="23">
        <f>EXP(-LN(2)/25)*AA139+(1-EXP(-LN(2)/25))/(LN(2)/25)*Calculateur!V140*Calculateur!X140*VLOOKUP('Données projet'!$B$9,Paramètres!$A$1:$I$88,3,0)*0.475*44/12</f>
        <v>1.6937721677655426</v>
      </c>
      <c r="AB140" s="23">
        <f>EXP(-LN(2)/2)*AB139+(1-EXP(-LN(2)/2))/(LN(2)/2)*V140*Y140*VLOOKUP('Données projet'!$B$9,Paramètres!$A$1:$I$88,3,0)*0.475*44/12</f>
        <v>1.96667267823105E-15</v>
      </c>
      <c r="AC140" s="24">
        <f t="shared" si="111"/>
        <v>4.1634578799634641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projet'!$B$10,Paramètres!$A$1:$I$88,3,0)*VLOOKUP('Données projet'!$B$10,Paramètres!$A$1:$I$88,5,0)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210.04871822652808</v>
      </c>
      <c r="AO140" s="62">
        <f t="shared" si="144"/>
        <v>250.17540614049324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0.87718224027325653</v>
      </c>
      <c r="AV140" s="23">
        <f>EXP(-LN(2)/25)*AV139+(1-EXP(-LN(2)/25))/(LN(2)/25)*Calculateur!AQ140*Calculateur!AS140*VLOOKUP('Données projet'!$B$10,Paramètres!$A$1:$I$88,3,0)*0.475*44/12</f>
        <v>1.4325703570036672</v>
      </c>
      <c r="AW140" s="23">
        <f>EXP(-LN(2)/2)*AW139+(1-EXP(-LN(2)/2))/(LN(2)/2)*AQ140*AT140*VLOOKUP('Données projet'!$B$10,Paramètres!$A$1:$I$88,3,0)*0.475*44/12</f>
        <v>1.6920799080912531E-15</v>
      </c>
      <c r="AX140" s="23">
        <f t="shared" si="114"/>
        <v>2.3097525972769253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-2.8421709430404007E-14</v>
      </c>
      <c r="BE140" s="14">
        <f>BD140*VLOOKUP('Données projet'!$B$11,Paramètres!$A$1:$I$88,3,0)*VLOOKUP('Données projet'!$B$11,Paramètres!$A$1:$I$88,5,0)</f>
        <v>-2.4829205358400945E-14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223.81948236065614</v>
      </c>
      <c r="BJ140" s="62">
        <f t="shared" si="146"/>
        <v>320.1204011431372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0.36920554081342638</v>
      </c>
      <c r="BQ140" s="23">
        <f>EXP(-LN(2)/25)*BQ139+(1-EXP(-LN(2)/25))/(LN(2)/25)*Calculateur!BL140*Calculateur!BN140*VLOOKUP('Données projet'!$B$11,Paramètres!$A$1:$I$88,3,0)*0.475*44/12</f>
        <v>0.9107065999815952</v>
      </c>
      <c r="BR140" s="23">
        <f>EXP(-LN(2)/2)*BR139+(1-EXP(-LN(2)/2))/(LN(2)/2)*BL140*BO140*VLOOKUP('Données projet'!$B$11,Paramètres!$A$1:$I$88,3,0)*0.475*44/12</f>
        <v>2.1800739134333302E-15</v>
      </c>
      <c r="BS140" s="24">
        <f t="shared" si="117"/>
        <v>1.2799121407950238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4.5474735088646412E-13</v>
      </c>
      <c r="O141" s="14">
        <f>N141*VLOOKUP('Données projet'!$B$9,Paramètres!$A$1:$I$88,3,0)*VLOOKUP('Données projet'!$B$9,Paramètres!$A$1:$I$88,5,0)</f>
        <v>2.5420376914553347E-13</v>
      </c>
      <c r="P141" s="14">
        <f t="shared" si="141"/>
        <v>3.4258699088369875E-12</v>
      </c>
      <c r="Q141" s="22">
        <f t="shared" si="108"/>
        <v>6.4094616558195571E-12</v>
      </c>
      <c r="R141" s="62">
        <f t="shared" si="109"/>
        <v>293.33333333333974</v>
      </c>
      <c r="S141" s="62">
        <f ca="1">AVERAGE(OFFSET($R$3,0,0,'Données projet'!$E$9+1,1))-AVERAGE(OFFSET($H$3,0,0,'Données projet'!$E$9+1,1))</f>
        <v>373.16487843768437</v>
      </c>
      <c r="T141" s="62">
        <f t="shared" si="142"/>
        <v>376.53494965377718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2.4212566817412626</v>
      </c>
      <c r="AA141" s="23">
        <f>EXP(-LN(2)/25)*AA140+(1-EXP(-LN(2)/25))/(LN(2)/25)*Calculateur!V141*Calculateur!X141*VLOOKUP('Données projet'!$B$9,Paramètres!$A$1:$I$88,3,0)*0.475*44/12</f>
        <v>1.6474558787663867</v>
      </c>
      <c r="AB141" s="23">
        <f>EXP(-LN(2)/2)*AB140+(1-EXP(-LN(2)/2))/(LN(2)/2)*V141*Y141*VLOOKUP('Données projet'!$B$9,Paramètres!$A$1:$I$88,3,0)*0.475*44/12</f>
        <v>1.3906475871514845E-15</v>
      </c>
      <c r="AC141" s="24">
        <f t="shared" si="111"/>
        <v>4.0687125605076506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projet'!$B$10,Paramètres!$A$1:$I$88,3,0)*VLOOKUP('Données projet'!$B$10,Paramètres!$A$1:$I$88,5,0)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210.04871822652808</v>
      </c>
      <c r="AO141" s="62">
        <f t="shared" si="144"/>
        <v>250.17540614049324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0.85998123156983486</v>
      </c>
      <c r="AV141" s="23">
        <f>EXP(-LN(2)/25)*AV140+(1-EXP(-LN(2)/25))/(LN(2)/25)*Calculateur!AQ141*Calculateur!AS141*VLOOKUP('Données projet'!$B$10,Paramètres!$A$1:$I$88,3,0)*0.475*44/12</f>
        <v>1.3933966452558011</v>
      </c>
      <c r="AW141" s="23">
        <f>EXP(-LN(2)/2)*AW140+(1-EXP(-LN(2)/2))/(LN(2)/2)*AQ141*AT141*VLOOKUP('Données projet'!$B$10,Paramètres!$A$1:$I$88,3,0)*0.475*44/12</f>
        <v>1.1964811773208351E-15</v>
      </c>
      <c r="AX141" s="23">
        <f t="shared" si="114"/>
        <v>2.2533778768256374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-2.8421709430404007E-14</v>
      </c>
      <c r="BE141" s="14">
        <f>BD141*VLOOKUP('Données projet'!$B$11,Paramètres!$A$1:$I$88,3,0)*VLOOKUP('Données projet'!$B$11,Paramètres!$A$1:$I$88,5,0)</f>
        <v>-2.4829205358400945E-14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223.81948236065614</v>
      </c>
      <c r="BJ141" s="62">
        <f t="shared" si="146"/>
        <v>320.1204011431372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0.361965645351219</v>
      </c>
      <c r="BQ141" s="23">
        <f>EXP(-LN(2)/25)*BQ140+(1-EXP(-LN(2)/25))/(LN(2)/25)*Calculateur!BL141*Calculateur!BN141*VLOOKUP('Données projet'!$B$11,Paramètres!$A$1:$I$88,3,0)*0.475*44/12</f>
        <v>0.88580328011311982</v>
      </c>
      <c r="BR141" s="23">
        <f>EXP(-LN(2)/2)*BR140+(1-EXP(-LN(2)/2))/(LN(2)/2)*BL141*BO141*VLOOKUP('Données projet'!$B$11,Paramètres!$A$1:$I$88,3,0)*0.475*44/12</f>
        <v>1.5415450476766022E-15</v>
      </c>
      <c r="BS141" s="24">
        <f t="shared" si="117"/>
        <v>1.2477689254643403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4.5474735088646412E-13</v>
      </c>
      <c r="O142" s="14">
        <f>N142*VLOOKUP('Données projet'!$B$9,Paramètres!$A$1:$I$88,3,0)*VLOOKUP('Données projet'!$B$9,Paramètres!$A$1:$I$88,5,0)</f>
        <v>2.5420376914553347E-13</v>
      </c>
      <c r="P142" s="14">
        <f t="shared" si="141"/>
        <v>3.4258699088369875E-12</v>
      </c>
      <c r="Q142" s="22">
        <f t="shared" si="108"/>
        <v>6.4094616558195571E-12</v>
      </c>
      <c r="R142" s="62">
        <f t="shared" si="109"/>
        <v>293.33333333333974</v>
      </c>
      <c r="S142" s="62">
        <f ca="1">AVERAGE(OFFSET($R$3,0,0,'Données projet'!$E$9+1,1))-AVERAGE(OFFSET($H$3,0,0,'Données projet'!$E$9+1,1))</f>
        <v>373.16487843768437</v>
      </c>
      <c r="T142" s="62">
        <f t="shared" si="142"/>
        <v>376.53494965377718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2.3737773150330685</v>
      </c>
      <c r="AA142" s="23">
        <f>EXP(-LN(2)/25)*AA141+(1-EXP(-LN(2)/25))/(LN(2)/25)*Calculateur!V142*Calculateur!X142*VLOOKUP('Données projet'!$B$9,Paramètres!$A$1:$I$88,3,0)*0.475*44/12</f>
        <v>1.6024061111255805</v>
      </c>
      <c r="AB142" s="23">
        <f>EXP(-LN(2)/2)*AB141+(1-EXP(-LN(2)/2))/(LN(2)/2)*V142*Y142*VLOOKUP('Données projet'!$B$9,Paramètres!$A$1:$I$88,3,0)*0.475*44/12</f>
        <v>9.83336339115525E-16</v>
      </c>
      <c r="AC142" s="24">
        <f t="shared" si="111"/>
        <v>3.9761834261586499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projet'!$B$10,Paramètres!$A$1:$I$88,3,0)*VLOOKUP('Données projet'!$B$10,Paramètres!$A$1:$I$88,5,0)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210.04871822652808</v>
      </c>
      <c r="AO142" s="62">
        <f t="shared" si="144"/>
        <v>250.17540614049324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0.843117524155508</v>
      </c>
      <c r="AV142" s="23">
        <f>EXP(-LN(2)/25)*AV141+(1-EXP(-LN(2)/25))/(LN(2)/25)*Calculateur!AQ142*Calculateur!AS142*VLOOKUP('Données projet'!$B$10,Paramètres!$A$1:$I$88,3,0)*0.475*44/12</f>
        <v>1.3552941407157364</v>
      </c>
      <c r="AW142" s="23">
        <f>EXP(-LN(2)/2)*AW141+(1-EXP(-LN(2)/2))/(LN(2)/2)*AQ142*AT142*VLOOKUP('Données projet'!$B$10,Paramètres!$A$1:$I$88,3,0)*0.475*44/12</f>
        <v>8.4603995404562656E-16</v>
      </c>
      <c r="AX142" s="23">
        <f t="shared" si="114"/>
        <v>2.1984116648712453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-2.8421709430404007E-14</v>
      </c>
      <c r="BE142" s="14">
        <f>BD142*VLOOKUP('Données projet'!$B$11,Paramètres!$A$1:$I$88,3,0)*VLOOKUP('Données projet'!$B$11,Paramètres!$A$1:$I$88,5,0)</f>
        <v>-2.4829205358400945E-14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223.81948236065614</v>
      </c>
      <c r="BJ142" s="62">
        <f t="shared" si="146"/>
        <v>320.1204011431372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0.35486771982312532</v>
      </c>
      <c r="BQ142" s="23">
        <f>EXP(-LN(2)/25)*BQ141+(1-EXP(-LN(2)/25))/(LN(2)/25)*Calculateur!BL142*Calculateur!BN142*VLOOKUP('Données projet'!$B$11,Paramètres!$A$1:$I$88,3,0)*0.475*44/12</f>
        <v>0.86158094283605657</v>
      </c>
      <c r="BR142" s="23">
        <f>EXP(-LN(2)/2)*BR141+(1-EXP(-LN(2)/2))/(LN(2)/2)*BL142*BO142*VLOOKUP('Données projet'!$B$11,Paramètres!$A$1:$I$88,3,0)*0.475*44/12</f>
        <v>1.0900369567166651E-15</v>
      </c>
      <c r="BS142" s="24">
        <f t="shared" si="117"/>
        <v>1.2164486626591831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4.5474735088646412E-13</v>
      </c>
      <c r="O143" s="14">
        <f>N143*VLOOKUP('Données projet'!$B$9,Paramètres!$A$1:$I$88,3,0)*VLOOKUP('Données projet'!$B$9,Paramètres!$A$1:$I$88,5,0)</f>
        <v>2.5420376914553347E-13</v>
      </c>
      <c r="P143" s="14">
        <f t="shared" si="141"/>
        <v>3.4258699088369875E-12</v>
      </c>
      <c r="Q143" s="22">
        <f t="shared" si="108"/>
        <v>6.4094616558195571E-12</v>
      </c>
      <c r="R143" s="62">
        <f t="shared" si="109"/>
        <v>293.33333333333974</v>
      </c>
      <c r="S143" s="62">
        <f ca="1">AVERAGE(OFFSET($R$3,0,0,'Données projet'!$E$9+1,1))-AVERAGE(OFFSET($H$3,0,0,'Données projet'!$E$9+1,1))</f>
        <v>373.16487843768437</v>
      </c>
      <c r="T143" s="62">
        <f t="shared" si="142"/>
        <v>376.53494965377718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2.3272289897464677</v>
      </c>
      <c r="AA143" s="23">
        <f>EXP(-LN(2)/25)*AA142+(1-EXP(-LN(2)/25))/(LN(2)/25)*Calculateur!V143*Calculateur!X143*VLOOKUP('Données projet'!$B$9,Paramètres!$A$1:$I$88,3,0)*0.475*44/12</f>
        <v>1.5585882317499764</v>
      </c>
      <c r="AB143" s="23">
        <f>EXP(-LN(2)/2)*AB142+(1-EXP(-LN(2)/2))/(LN(2)/2)*V143*Y143*VLOOKUP('Données projet'!$B$9,Paramètres!$A$1:$I$88,3,0)*0.475*44/12</f>
        <v>6.9532379357574224E-16</v>
      </c>
      <c r="AC143" s="24">
        <f t="shared" si="111"/>
        <v>3.885817221496445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projet'!$B$10,Paramètres!$A$1:$I$88,3,0)*VLOOKUP('Données projet'!$B$10,Paramètres!$A$1:$I$88,5,0)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210.04871822652808</v>
      </c>
      <c r="AO143" s="62">
        <f t="shared" si="144"/>
        <v>250.17540614049324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0.82658450375773018</v>
      </c>
      <c r="AV143" s="23">
        <f>EXP(-LN(2)/25)*AV142+(1-EXP(-LN(2)/25))/(LN(2)/25)*Calculateur!AQ143*Calculateur!AS143*VLOOKUP('Données projet'!$B$10,Paramètres!$A$1:$I$88,3,0)*0.475*44/12</f>
        <v>1.3182335511660432</v>
      </c>
      <c r="AW143" s="23">
        <f>EXP(-LN(2)/2)*AW142+(1-EXP(-LN(2)/2))/(LN(2)/2)*AQ143*AT143*VLOOKUP('Données projet'!$B$10,Paramètres!$A$1:$I$88,3,0)*0.475*44/12</f>
        <v>5.9824058866041757E-16</v>
      </c>
      <c r="AX143" s="23">
        <f t="shared" si="114"/>
        <v>2.1448180549237739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-2.8421709430404007E-14</v>
      </c>
      <c r="BE143" s="14">
        <f>BD143*VLOOKUP('Données projet'!$B$11,Paramètres!$A$1:$I$88,3,0)*VLOOKUP('Données projet'!$B$11,Paramètres!$A$1:$I$88,5,0)</f>
        <v>-2.4829205358400945E-14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223.81948236065614</v>
      </c>
      <c r="BJ143" s="62">
        <f t="shared" si="146"/>
        <v>320.1204011431372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0.34790898028533046</v>
      </c>
      <c r="BQ143" s="23">
        <f>EXP(-LN(2)/25)*BQ142+(1-EXP(-LN(2)/25))/(LN(2)/25)*Calculateur!BL143*Calculateur!BN143*VLOOKUP('Données projet'!$B$11,Paramètres!$A$1:$I$88,3,0)*0.475*44/12</f>
        <v>0.83802096664563197</v>
      </c>
      <c r="BR143" s="23">
        <f>EXP(-LN(2)/2)*BR142+(1-EXP(-LN(2)/2))/(LN(2)/2)*BL143*BO143*VLOOKUP('Données projet'!$B$11,Paramètres!$A$1:$I$88,3,0)*0.475*44/12</f>
        <v>7.7077252383830108E-16</v>
      </c>
      <c r="BS143" s="24">
        <f t="shared" si="117"/>
        <v>1.185929946930963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4.5474735088646412E-13</v>
      </c>
      <c r="O144" s="14">
        <f>N144*VLOOKUP('Données projet'!$B$9,Paramètres!$A$1:$I$88,3,0)*VLOOKUP('Données projet'!$B$9,Paramètres!$A$1:$I$88,5,0)</f>
        <v>2.5420376914553347E-13</v>
      </c>
      <c r="P144" s="14">
        <f t="shared" si="141"/>
        <v>3.4258699088369875E-12</v>
      </c>
      <c r="Q144" s="22">
        <f t="shared" si="108"/>
        <v>6.4094616558195571E-12</v>
      </c>
      <c r="R144" s="62">
        <f t="shared" si="109"/>
        <v>293.33333333333974</v>
      </c>
      <c r="S144" s="62">
        <f ca="1">AVERAGE(OFFSET($R$3,0,0,'Données projet'!$E$9+1,1))-AVERAGE(OFFSET($H$3,0,0,'Données projet'!$E$9+1,1))</f>
        <v>373.16487843768437</v>
      </c>
      <c r="T144" s="62">
        <f t="shared" si="142"/>
        <v>376.53494965377718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2.2815934487270622</v>
      </c>
      <c r="AA144" s="23">
        <f>EXP(-LN(2)/25)*AA143+(1-EXP(-LN(2)/25))/(LN(2)/25)*Calculateur!V144*Calculateur!X144*VLOOKUP('Données projet'!$B$9,Paramètres!$A$1:$I$88,3,0)*0.475*44/12</f>
        <v>1.5159685545901804</v>
      </c>
      <c r="AB144" s="23">
        <f>EXP(-LN(2)/2)*AB143+(1-EXP(-LN(2)/2))/(LN(2)/2)*V144*Y144*VLOOKUP('Données projet'!$B$9,Paramètres!$A$1:$I$88,3,0)*0.475*44/12</f>
        <v>4.916681695577625E-16</v>
      </c>
      <c r="AC144" s="24">
        <f t="shared" si="111"/>
        <v>3.797562003317243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projet'!$B$10,Paramètres!$A$1:$I$88,3,0)*VLOOKUP('Données projet'!$B$10,Paramètres!$A$1:$I$88,5,0)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210.04871822652808</v>
      </c>
      <c r="AO144" s="62">
        <f t="shared" si="144"/>
        <v>250.17540614049324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0.8103756858058061</v>
      </c>
      <c r="AV144" s="23">
        <f>EXP(-LN(2)/25)*AV143+(1-EXP(-LN(2)/25))/(LN(2)/25)*Calculateur!AQ144*Calculateur!AS144*VLOOKUP('Données projet'!$B$10,Paramètres!$A$1:$I$88,3,0)*0.475*44/12</f>
        <v>1.2821863853865183</v>
      </c>
      <c r="AW144" s="23">
        <f>EXP(-LN(2)/2)*AW143+(1-EXP(-LN(2)/2))/(LN(2)/2)*AQ144*AT144*VLOOKUP('Données projet'!$B$10,Paramètres!$A$1:$I$88,3,0)*0.475*44/12</f>
        <v>4.2301997702281328E-16</v>
      </c>
      <c r="AX144" s="23">
        <f t="shared" si="114"/>
        <v>2.092562071192325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-2.8421709430404007E-14</v>
      </c>
      <c r="BE144" s="14">
        <f>BD144*VLOOKUP('Données projet'!$B$11,Paramètres!$A$1:$I$88,3,0)*VLOOKUP('Données projet'!$B$11,Paramètres!$A$1:$I$88,5,0)</f>
        <v>-2.4829205358400945E-14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223.81948236065614</v>
      </c>
      <c r="BJ144" s="62">
        <f t="shared" si="146"/>
        <v>320.1204011431372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0.34108669738545977</v>
      </c>
      <c r="BQ144" s="23">
        <f>EXP(-LN(2)/25)*BQ143+(1-EXP(-LN(2)/25))/(LN(2)/25)*Calculateur!BL144*Calculateur!BN144*VLOOKUP('Données projet'!$B$11,Paramètres!$A$1:$I$88,3,0)*0.475*44/12</f>
        <v>0.81510523924309985</v>
      </c>
      <c r="BR144" s="23">
        <f>EXP(-LN(2)/2)*BR143+(1-EXP(-LN(2)/2))/(LN(2)/2)*BL144*BO144*VLOOKUP('Données projet'!$B$11,Paramètres!$A$1:$I$88,3,0)*0.475*44/12</f>
        <v>5.4501847835833254E-16</v>
      </c>
      <c r="BS144" s="24">
        <f t="shared" si="117"/>
        <v>1.15619193662856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4.5474735088646412E-13</v>
      </c>
      <c r="O145" s="14">
        <f>N145*VLOOKUP('Données projet'!$B$9,Paramètres!$A$1:$I$88,3,0)*VLOOKUP('Données projet'!$B$9,Paramètres!$A$1:$I$88,5,0)</f>
        <v>2.5420376914553347E-13</v>
      </c>
      <c r="P145" s="14">
        <f t="shared" si="141"/>
        <v>3.4258699088369875E-12</v>
      </c>
      <c r="Q145" s="22">
        <f t="shared" si="108"/>
        <v>6.4094616558195571E-12</v>
      </c>
      <c r="R145" s="62">
        <f t="shared" si="109"/>
        <v>293.33333333333974</v>
      </c>
      <c r="S145" s="62">
        <f ca="1">AVERAGE(OFFSET($R$3,0,0,'Données projet'!$E$9+1,1))-AVERAGE(OFFSET($H$3,0,0,'Données projet'!$E$9+1,1))</f>
        <v>373.16487843768437</v>
      </c>
      <c r="T145" s="62">
        <f t="shared" si="142"/>
        <v>376.53494965377718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2.2368527928321158</v>
      </c>
      <c r="AA145" s="23">
        <f>EXP(-LN(2)/25)*AA144+(1-EXP(-LN(2)/25))/(LN(2)/25)*Calculateur!V145*Calculateur!X145*VLOOKUP('Données projet'!$B$9,Paramètres!$A$1:$I$88,3,0)*0.475*44/12</f>
        <v>1.4745143147435904</v>
      </c>
      <c r="AB145" s="23">
        <f>EXP(-LN(2)/2)*AB144+(1-EXP(-LN(2)/2))/(LN(2)/2)*V145*Y145*VLOOKUP('Données projet'!$B$9,Paramètres!$A$1:$I$88,3,0)*0.475*44/12</f>
        <v>3.4766189678787112E-16</v>
      </c>
      <c r="AC145" s="24">
        <f t="shared" si="111"/>
        <v>3.7113671075757066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projet'!$B$10,Paramètres!$A$1:$I$88,3,0)*VLOOKUP('Données projet'!$B$10,Paramètres!$A$1:$I$88,5,0)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210.04871822652808</v>
      </c>
      <c r="AO145" s="62">
        <f t="shared" si="144"/>
        <v>250.17540614049324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0.79448471288751643</v>
      </c>
      <c r="AV145" s="23">
        <f>EXP(-LN(2)/25)*AV144+(1-EXP(-LN(2)/25))/(LN(2)/25)*Calculateur!AQ145*Calculateur!AS145*VLOOKUP('Données projet'!$B$10,Paramètres!$A$1:$I$88,3,0)*0.475*44/12</f>
        <v>1.2471249312508725</v>
      </c>
      <c r="AW145" s="23">
        <f>EXP(-LN(2)/2)*AW144+(1-EXP(-LN(2)/2))/(LN(2)/2)*AQ145*AT145*VLOOKUP('Données projet'!$B$10,Paramètres!$A$1:$I$88,3,0)*0.475*44/12</f>
        <v>2.9912029433020879E-16</v>
      </c>
      <c r="AX145" s="23">
        <f t="shared" si="114"/>
        <v>2.0416096441383895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-2.8421709430404007E-14</v>
      </c>
      <c r="BE145" s="14">
        <f>BD145*VLOOKUP('Données projet'!$B$11,Paramètres!$A$1:$I$88,3,0)*VLOOKUP('Données projet'!$B$11,Paramètres!$A$1:$I$88,5,0)</f>
        <v>-2.4829205358400945E-14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223.81948236065614</v>
      </c>
      <c r="BJ145" s="62">
        <f t="shared" si="146"/>
        <v>320.1204011431372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0.33439819529207382</v>
      </c>
      <c r="BQ145" s="23">
        <f>EXP(-LN(2)/25)*BQ144+(1-EXP(-LN(2)/25))/(LN(2)/25)*Calculateur!BL145*Calculateur!BN145*VLOOKUP('Données projet'!$B$11,Paramètres!$A$1:$I$88,3,0)*0.475*44/12</f>
        <v>0.79281614361147568</v>
      </c>
      <c r="BR145" s="23">
        <f>EXP(-LN(2)/2)*BR144+(1-EXP(-LN(2)/2))/(LN(2)/2)*BL145*BO145*VLOOKUP('Données projet'!$B$11,Paramètres!$A$1:$I$88,3,0)*0.475*44/12</f>
        <v>3.8538626191915054E-16</v>
      </c>
      <c r="BS145" s="24">
        <f t="shared" si="117"/>
        <v>1.1272143389035501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4.5474735088646412E-13</v>
      </c>
      <c r="O146" s="14">
        <f>N146*VLOOKUP('Données projet'!$B$9,Paramètres!$A$1:$I$88,3,0)*VLOOKUP('Données projet'!$B$9,Paramètres!$A$1:$I$88,5,0)</f>
        <v>2.5420376914553347E-13</v>
      </c>
      <c r="P146" s="14">
        <f t="shared" si="141"/>
        <v>3.4258699088369875E-12</v>
      </c>
      <c r="Q146" s="22">
        <f t="shared" si="108"/>
        <v>6.4094616558195571E-12</v>
      </c>
      <c r="R146" s="62">
        <f t="shared" si="109"/>
        <v>293.33333333333974</v>
      </c>
      <c r="S146" s="62">
        <f ca="1">AVERAGE(OFFSET($R$3,0,0,'Données projet'!$E$9+1,1))-AVERAGE(OFFSET($H$3,0,0,'Données projet'!$E$9+1,1))</f>
        <v>373.16487843768437</v>
      </c>
      <c r="T146" s="62">
        <f t="shared" si="142"/>
        <v>376.53494965377718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2.1929894739101639</v>
      </c>
      <c r="AA146" s="23">
        <f>EXP(-LN(2)/25)*AA145+(1-EXP(-LN(2)/25))/(LN(2)/25)*Calculateur!V146*Calculateur!X146*VLOOKUP('Données projet'!$B$9,Paramètres!$A$1:$I$88,3,0)*0.475*44/12</f>
        <v>1.4341936432655891</v>
      </c>
      <c r="AB146" s="23">
        <f>EXP(-LN(2)/2)*AB145+(1-EXP(-LN(2)/2))/(LN(2)/2)*V146*Y146*VLOOKUP('Données projet'!$B$9,Paramètres!$A$1:$I$88,3,0)*0.475*44/12</f>
        <v>2.4583408477888125E-16</v>
      </c>
      <c r="AC146" s="24">
        <f t="shared" si="111"/>
        <v>3.6271831171757536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projet'!$B$10,Paramètres!$A$1:$I$88,3,0)*VLOOKUP('Données projet'!$B$10,Paramètres!$A$1:$I$88,5,0)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210.04871822652808</v>
      </c>
      <c r="AO146" s="62">
        <f t="shared" si="144"/>
        <v>250.17540614049324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0.77890535225561797</v>
      </c>
      <c r="AV146" s="23">
        <f>EXP(-LN(2)/25)*AV145+(1-EXP(-LN(2)/25))/(LN(2)/25)*Calculateur!AQ146*Calculateur!AS146*VLOOKUP('Données projet'!$B$10,Paramètres!$A$1:$I$88,3,0)*0.475*44/12</f>
        <v>1.2130222344223676</v>
      </c>
      <c r="AW146" s="23">
        <f>EXP(-LN(2)/2)*AW145+(1-EXP(-LN(2)/2))/(LN(2)/2)*AQ146*AT146*VLOOKUP('Données projet'!$B$10,Paramètres!$A$1:$I$88,3,0)*0.475*44/12</f>
        <v>2.1150998851140664E-16</v>
      </c>
      <c r="AX146" s="23">
        <f t="shared" si="114"/>
        <v>1.9919275866779858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-2.8421709430404007E-14</v>
      </c>
      <c r="BE146" s="14">
        <f>BD146*VLOOKUP('Données projet'!$B$11,Paramètres!$A$1:$I$88,3,0)*VLOOKUP('Données projet'!$B$11,Paramètres!$A$1:$I$88,5,0)</f>
        <v>-2.4829205358400945E-14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223.81948236065614</v>
      </c>
      <c r="BJ146" s="62">
        <f t="shared" si="146"/>
        <v>320.1204011431372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0.32784085064515572</v>
      </c>
      <c r="BQ146" s="23">
        <f>EXP(-LN(2)/25)*BQ145+(1-EXP(-LN(2)/25))/(LN(2)/25)*Calculateur!BL146*Calculateur!BN146*VLOOKUP('Données projet'!$B$11,Paramètres!$A$1:$I$88,3,0)*0.475*44/12</f>
        <v>0.77113654447203084</v>
      </c>
      <c r="BR146" s="23">
        <f>EXP(-LN(2)/2)*BR145+(1-EXP(-LN(2)/2))/(LN(2)/2)*BL146*BO146*VLOOKUP('Données projet'!$B$11,Paramètres!$A$1:$I$88,3,0)*0.475*44/12</f>
        <v>2.7250923917916627E-16</v>
      </c>
      <c r="BS146" s="24">
        <f t="shared" si="117"/>
        <v>1.0989773951171868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4.5474735088646412E-13</v>
      </c>
      <c r="O147" s="14">
        <f>N147*VLOOKUP('Données projet'!$B$9,Paramètres!$A$1:$I$88,3,0)*VLOOKUP('Données projet'!$B$9,Paramètres!$A$1:$I$88,5,0)</f>
        <v>2.5420376914553347E-13</v>
      </c>
      <c r="P147" s="14">
        <f t="shared" si="141"/>
        <v>3.4258699088369875E-12</v>
      </c>
      <c r="Q147" s="22">
        <f t="shared" si="108"/>
        <v>6.4094616558195571E-12</v>
      </c>
      <c r="R147" s="62">
        <f t="shared" si="109"/>
        <v>293.33333333333974</v>
      </c>
      <c r="S147" s="62">
        <f ca="1">AVERAGE(OFFSET($R$3,0,0,'Données projet'!$E$9+1,1))-AVERAGE(OFFSET($H$3,0,0,'Données projet'!$E$9+1,1))</f>
        <v>373.16487843768437</v>
      </c>
      <c r="T147" s="62">
        <f t="shared" si="142"/>
        <v>376.53494965377718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2.1499862879182885</v>
      </c>
      <c r="AA147" s="23">
        <f>EXP(-LN(2)/25)*AA146+(1-EXP(-LN(2)/25))/(LN(2)/25)*Calculateur!V147*Calculateur!X147*VLOOKUP('Données projet'!$B$9,Paramètres!$A$1:$I$88,3,0)*0.475*44/12</f>
        <v>1.3949755426695258</v>
      </c>
      <c r="AB147" s="23">
        <f>EXP(-LN(2)/2)*AB146+(1-EXP(-LN(2)/2))/(LN(2)/2)*V147*Y147*VLOOKUP('Données projet'!$B$9,Paramètres!$A$1:$I$88,3,0)*0.475*44/12</f>
        <v>1.7383094839393556E-16</v>
      </c>
      <c r="AC147" s="24">
        <f t="shared" si="111"/>
        <v>3.5449618305878143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projet'!$B$10,Paramètres!$A$1:$I$88,3,0)*VLOOKUP('Données projet'!$B$10,Paramètres!$A$1:$I$88,5,0)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210.04871822652808</v>
      </c>
      <c r="AO147" s="62">
        <f t="shared" si="144"/>
        <v>250.17540614049324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0.76363149338323943</v>
      </c>
      <c r="AV147" s="23">
        <f>EXP(-LN(2)/25)*AV146+(1-EXP(-LN(2)/25))/(LN(2)/25)*Calculateur!AQ147*Calculateur!AS147*VLOOKUP('Données projet'!$B$10,Paramètres!$A$1:$I$88,3,0)*0.475*44/12</f>
        <v>1.1798520776320209</v>
      </c>
      <c r="AW147" s="23">
        <f>EXP(-LN(2)/2)*AW146+(1-EXP(-LN(2)/2))/(LN(2)/2)*AQ147*AT147*VLOOKUP('Données projet'!$B$10,Paramètres!$A$1:$I$88,3,0)*0.475*44/12</f>
        <v>1.4956014716510439E-16</v>
      </c>
      <c r="AX147" s="23">
        <f t="shared" si="114"/>
        <v>1.9434835710152607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-2.8421709430404007E-14</v>
      </c>
      <c r="BE147" s="14">
        <f>BD147*VLOOKUP('Données projet'!$B$11,Paramètres!$A$1:$I$88,3,0)*VLOOKUP('Données projet'!$B$11,Paramètres!$A$1:$I$88,5,0)</f>
        <v>-2.4829205358400945E-14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223.81948236065614</v>
      </c>
      <c r="BJ147" s="62">
        <f t="shared" si="146"/>
        <v>320.1204011431372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0.32141209152717837</v>
      </c>
      <c r="BQ147" s="23">
        <f>EXP(-LN(2)/25)*BQ146+(1-EXP(-LN(2)/25))/(LN(2)/25)*Calculateur!BL147*Calculateur!BN147*VLOOKUP('Données projet'!$B$11,Paramètres!$A$1:$I$88,3,0)*0.475*44/12</f>
        <v>0.75004977511113469</v>
      </c>
      <c r="BR147" s="23">
        <f>EXP(-LN(2)/2)*BR146+(1-EXP(-LN(2)/2))/(LN(2)/2)*BL147*BO147*VLOOKUP('Données projet'!$B$11,Paramètres!$A$1:$I$88,3,0)*0.475*44/12</f>
        <v>1.9269313095957527E-16</v>
      </c>
      <c r="BS147" s="24">
        <f t="shared" si="117"/>
        <v>1.0714618666383133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4.5474735088646412E-13</v>
      </c>
      <c r="O148" s="14">
        <f>N148*VLOOKUP('Données projet'!$B$9,Paramètres!$A$1:$I$88,3,0)*VLOOKUP('Données projet'!$B$9,Paramètres!$A$1:$I$88,5,0)</f>
        <v>2.5420376914553347E-13</v>
      </c>
      <c r="P148" s="14">
        <f t="shared" si="141"/>
        <v>3.4258699088369875E-12</v>
      </c>
      <c r="Q148" s="22">
        <f t="shared" si="108"/>
        <v>6.4094616558195571E-12</v>
      </c>
      <c r="R148" s="62">
        <f t="shared" si="109"/>
        <v>293.33333333333974</v>
      </c>
      <c r="S148" s="62">
        <f ca="1">AVERAGE(OFFSET($R$3,0,0,'Données projet'!$E$9+1,1))-AVERAGE(OFFSET($H$3,0,0,'Données projet'!$E$9+1,1))</f>
        <v>373.16487843768437</v>
      </c>
      <c r="T148" s="62">
        <f t="shared" si="142"/>
        <v>376.53494965377718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2.1078263681743601</v>
      </c>
      <c r="AA148" s="23">
        <f>EXP(-LN(2)/25)*AA147+(1-EXP(-LN(2)/25))/(LN(2)/25)*Calculateur!V148*Calculateur!X148*VLOOKUP('Données projet'!$B$9,Paramètres!$A$1:$I$88,3,0)*0.475*44/12</f>
        <v>1.3568298630966522</v>
      </c>
      <c r="AB148" s="23">
        <f>EXP(-LN(2)/2)*AB147+(1-EXP(-LN(2)/2))/(LN(2)/2)*V148*Y148*VLOOKUP('Données projet'!$B$9,Paramètres!$A$1:$I$88,3,0)*0.475*44/12</f>
        <v>1.2291704238944063E-16</v>
      </c>
      <c r="AC148" s="24">
        <f t="shared" si="111"/>
        <v>3.4646562312710123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projet'!$B$10,Paramètres!$A$1:$I$88,3,0)*VLOOKUP('Données projet'!$B$10,Paramètres!$A$1:$I$88,5,0)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210.04871822652808</v>
      </c>
      <c r="AO148" s="62">
        <f t="shared" si="144"/>
        <v>250.17540614049324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0.74865714556721419</v>
      </c>
      <c r="AV148" s="23">
        <f>EXP(-LN(2)/25)*AV147+(1-EXP(-LN(2)/25))/(LN(2)/25)*Calculateur!AQ148*Calculateur!AS148*VLOOKUP('Données projet'!$B$10,Paramètres!$A$1:$I$88,3,0)*0.475*44/12</f>
        <v>1.1475889605234491</v>
      </c>
      <c r="AW148" s="23">
        <f>EXP(-LN(2)/2)*AW147+(1-EXP(-LN(2)/2))/(LN(2)/2)*AQ148*AT148*VLOOKUP('Données projet'!$B$10,Paramètres!$A$1:$I$88,3,0)*0.475*44/12</f>
        <v>1.0575499425570332E-16</v>
      </c>
      <c r="AX148" s="23">
        <f t="shared" si="114"/>
        <v>1.8962461060906632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-2.8421709430404007E-14</v>
      </c>
      <c r="BE148" s="14">
        <f>BD148*VLOOKUP('Données projet'!$B$11,Paramètres!$A$1:$I$88,3,0)*VLOOKUP('Données projet'!$B$11,Paramètres!$A$1:$I$88,5,0)</f>
        <v>-2.4829205358400945E-14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223.81948236065614</v>
      </c>
      <c r="BJ148" s="62">
        <f t="shared" si="146"/>
        <v>320.1204011431372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0.31510939645434871</v>
      </c>
      <c r="BQ148" s="23">
        <f>EXP(-LN(2)/25)*BQ147+(1-EXP(-LN(2)/25))/(LN(2)/25)*Calculateur!BL148*Calculateur!BN148*VLOOKUP('Données projet'!$B$11,Paramètres!$A$1:$I$88,3,0)*0.475*44/12</f>
        <v>0.72953962456731725</v>
      </c>
      <c r="BR148" s="23">
        <f>EXP(-LN(2)/2)*BR147+(1-EXP(-LN(2)/2))/(LN(2)/2)*BL148*BO148*VLOOKUP('Données projet'!$B$11,Paramètres!$A$1:$I$88,3,0)*0.475*44/12</f>
        <v>1.3625461958958313E-16</v>
      </c>
      <c r="BS148" s="24">
        <f t="shared" si="117"/>
        <v>1.0446490210216661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4.5474735088646412E-13</v>
      </c>
      <c r="O149" s="14">
        <f>N149*VLOOKUP('Données projet'!$B$9,Paramètres!$A$1:$I$88,3,0)*VLOOKUP('Données projet'!$B$9,Paramètres!$A$1:$I$88,5,0)</f>
        <v>2.5420376914553347E-13</v>
      </c>
      <c r="P149" s="14">
        <f t="shared" si="141"/>
        <v>3.4258699088369875E-12</v>
      </c>
      <c r="Q149" s="22">
        <f t="shared" si="108"/>
        <v>6.4094616558195571E-12</v>
      </c>
      <c r="R149" s="62">
        <f t="shared" si="109"/>
        <v>293.33333333333974</v>
      </c>
      <c r="S149" s="62">
        <f ca="1">AVERAGE(OFFSET($R$3,0,0,'Données projet'!$E$9+1,1))-AVERAGE(OFFSET($H$3,0,0,'Données projet'!$E$9+1,1))</f>
        <v>373.16487843768437</v>
      </c>
      <c r="T149" s="62">
        <f t="shared" si="142"/>
        <v>376.53494965377718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2.0664931787415983</v>
      </c>
      <c r="AA149" s="23">
        <f>EXP(-LN(2)/25)*AA148+(1-EXP(-LN(2)/25))/(LN(2)/25)*Calculateur!V149*Calculateur!X149*VLOOKUP('Données projet'!$B$9,Paramètres!$A$1:$I$88,3,0)*0.475*44/12</f>
        <v>1.3197272791376928</v>
      </c>
      <c r="AB149" s="23">
        <f>EXP(-LN(2)/2)*AB148+(1-EXP(-LN(2)/2))/(LN(2)/2)*V149*Y149*VLOOKUP('Données projet'!$B$9,Paramètres!$A$1:$I$88,3,0)*0.475*44/12</f>
        <v>8.691547419696778E-17</v>
      </c>
      <c r="AC149" s="24">
        <f t="shared" si="111"/>
        <v>3.3862204578792912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projet'!$B$10,Paramètres!$A$1:$I$88,3,0)*VLOOKUP('Données projet'!$B$10,Paramètres!$A$1:$I$88,5,0)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210.04871822652808</v>
      </c>
      <c r="AO149" s="62">
        <f t="shared" si="144"/>
        <v>250.17540614049324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0.73397643557841086</v>
      </c>
      <c r="AV149" s="23">
        <f>EXP(-LN(2)/25)*AV148+(1-EXP(-LN(2)/25))/(LN(2)/25)*Calculateur!AQ149*Calculateur!AS149*VLOOKUP('Données projet'!$B$10,Paramètres!$A$1:$I$88,3,0)*0.475*44/12</f>
        <v>1.1162080800488547</v>
      </c>
      <c r="AW149" s="23">
        <f>EXP(-LN(2)/2)*AW148+(1-EXP(-LN(2)/2))/(LN(2)/2)*AQ149*AT149*VLOOKUP('Données projet'!$B$10,Paramètres!$A$1:$I$88,3,0)*0.475*44/12</f>
        <v>7.4780073582552197E-17</v>
      </c>
      <c r="AX149" s="23">
        <f t="shared" si="114"/>
        <v>1.8501845156272656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-2.8421709430404007E-14</v>
      </c>
      <c r="BE149" s="14">
        <f>BD149*VLOOKUP('Données projet'!$B$11,Paramètres!$A$1:$I$88,3,0)*VLOOKUP('Données projet'!$B$11,Paramètres!$A$1:$I$88,5,0)</f>
        <v>-2.4829205358400945E-14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223.81948236065614</v>
      </c>
      <c r="BJ149" s="62">
        <f t="shared" si="146"/>
        <v>320.1204011431372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0.30893029338763284</v>
      </c>
      <c r="BQ149" s="23">
        <f>EXP(-LN(2)/25)*BQ148+(1-EXP(-LN(2)/25))/(LN(2)/25)*Calculateur!BL149*Calculateur!BN149*VLOOKUP('Données projet'!$B$11,Paramètres!$A$1:$I$88,3,0)*0.475*44/12</f>
        <v>0.70959032516870246</v>
      </c>
      <c r="BR149" s="23">
        <f>EXP(-LN(2)/2)*BR148+(1-EXP(-LN(2)/2))/(LN(2)/2)*BL149*BO149*VLOOKUP('Données projet'!$B$11,Paramètres!$A$1:$I$88,3,0)*0.475*44/12</f>
        <v>9.6346565479787636E-17</v>
      </c>
      <c r="BS149" s="24">
        <f t="shared" si="117"/>
        <v>1.0185206185563354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4.5474735088646412E-13</v>
      </c>
      <c r="O150" s="14">
        <f>N150*VLOOKUP('Données projet'!$B$9,Paramètres!$A$1:$I$88,3,0)*VLOOKUP('Données projet'!$B$9,Paramètres!$A$1:$I$88,5,0)</f>
        <v>2.5420376914553347E-13</v>
      </c>
      <c r="P150" s="14">
        <f t="shared" si="141"/>
        <v>3.4258699088369875E-12</v>
      </c>
      <c r="Q150" s="22">
        <f t="shared" si="108"/>
        <v>6.4094616558195571E-12</v>
      </c>
      <c r="R150" s="62">
        <f t="shared" si="109"/>
        <v>293.33333333333974</v>
      </c>
      <c r="S150" s="62">
        <f ca="1">AVERAGE(OFFSET($R$3,0,0,'Données projet'!$E$9+1,1))-AVERAGE(OFFSET($H$3,0,0,'Données projet'!$E$9+1,1))</f>
        <v>373.16487843768437</v>
      </c>
      <c r="T150" s="62">
        <f t="shared" si="142"/>
        <v>376.53494965377718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2.0259705079428567</v>
      </c>
      <c r="AA150" s="23">
        <f>EXP(-LN(2)/25)*AA149+(1-EXP(-LN(2)/25))/(LN(2)/25)*Calculateur!V150*Calculateur!X150*VLOOKUP('Données projet'!$B$9,Paramètres!$A$1:$I$88,3,0)*0.475*44/12</f>
        <v>1.2836392672882313</v>
      </c>
      <c r="AB150" s="23">
        <f>EXP(-LN(2)/2)*AB149+(1-EXP(-LN(2)/2))/(LN(2)/2)*V150*Y150*VLOOKUP('Données projet'!$B$9,Paramètres!$A$1:$I$88,3,0)*0.475*44/12</f>
        <v>6.1458521194720313E-17</v>
      </c>
      <c r="AC150" s="24">
        <f t="shared" si="111"/>
        <v>3.3096097752310882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projet'!$B$10,Paramètres!$A$1:$I$88,3,0)*VLOOKUP('Données projet'!$B$10,Paramètres!$A$1:$I$88,5,0)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210.04871822652808</v>
      </c>
      <c r="AO150" s="62">
        <f t="shared" si="144"/>
        <v>250.17540614049324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0.71958360535813903</v>
      </c>
      <c r="AV150" s="23">
        <f>EXP(-LN(2)/25)*AV149+(1-EXP(-LN(2)/25))/(LN(2)/25)*Calculateur!AQ150*Calculateur!AS150*VLOOKUP('Données projet'!$B$10,Paramètres!$A$1:$I$88,3,0)*0.475*44/12</f>
        <v>1.0856853114010869</v>
      </c>
      <c r="AW150" s="23">
        <f>EXP(-LN(2)/2)*AW149+(1-EXP(-LN(2)/2))/(LN(2)/2)*AQ150*AT150*VLOOKUP('Données projet'!$B$10,Paramètres!$A$1:$I$88,3,0)*0.475*44/12</f>
        <v>5.287749712785166E-17</v>
      </c>
      <c r="AX150" s="23">
        <f t="shared" si="114"/>
        <v>1.805268916759226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-2.8421709430404007E-14</v>
      </c>
      <c r="BE150" s="14">
        <f>BD150*VLOOKUP('Données projet'!$B$11,Paramètres!$A$1:$I$88,3,0)*VLOOKUP('Données projet'!$B$11,Paramètres!$A$1:$I$88,5,0)</f>
        <v>-2.4829205358400945E-14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223.81948236065614</v>
      </c>
      <c r="BJ150" s="62">
        <f t="shared" si="146"/>
        <v>320.1204011431372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0.30287235876317453</v>
      </c>
      <c r="BQ150" s="23">
        <f>EXP(-LN(2)/25)*BQ149+(1-EXP(-LN(2)/25))/(LN(2)/25)*Calculateur!BL150*Calculateur!BN150*VLOOKUP('Données projet'!$B$11,Paramètres!$A$1:$I$88,3,0)*0.475*44/12</f>
        <v>0.69018654041123084</v>
      </c>
      <c r="BR150" s="23">
        <f>EXP(-LN(2)/2)*BR149+(1-EXP(-LN(2)/2))/(LN(2)/2)*BL150*BO150*VLOOKUP('Données projet'!$B$11,Paramètres!$A$1:$I$88,3,0)*0.475*44/12</f>
        <v>6.8127309794791567E-17</v>
      </c>
      <c r="BS150" s="24">
        <f t="shared" si="117"/>
        <v>0.99305889917440548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4.5474735088646412E-13</v>
      </c>
      <c r="O151" s="14">
        <f>N151*VLOOKUP('Données projet'!$B$9,Paramètres!$A$1:$I$88,3,0)*VLOOKUP('Données projet'!$B$9,Paramètres!$A$1:$I$88,5,0)</f>
        <v>2.5420376914553347E-13</v>
      </c>
      <c r="P151" s="14">
        <f t="shared" si="141"/>
        <v>3.4258699088369875E-12</v>
      </c>
      <c r="Q151" s="22">
        <f t="shared" si="108"/>
        <v>6.4094616558195571E-12</v>
      </c>
      <c r="R151" s="62">
        <f t="shared" si="109"/>
        <v>293.33333333333974</v>
      </c>
      <c r="S151" s="62">
        <f ca="1">AVERAGE(OFFSET($R$3,0,0,'Données projet'!$E$9+1,1))-AVERAGE(OFFSET($H$3,0,0,'Données projet'!$E$9+1,1))</f>
        <v>373.16487843768437</v>
      </c>
      <c r="T151" s="62">
        <f t="shared" si="142"/>
        <v>376.53494965377718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1.98624246200209</v>
      </c>
      <c r="AA151" s="23">
        <f>EXP(-LN(2)/25)*AA150+(1-EXP(-LN(2)/25))/(LN(2)/25)*Calculateur!V151*Calculateur!X151*VLOOKUP('Données projet'!$B$9,Paramètres!$A$1:$I$88,3,0)*0.475*44/12</f>
        <v>1.2485380840205793</v>
      </c>
      <c r="AB151" s="23">
        <f>EXP(-LN(2)/2)*AB150+(1-EXP(-LN(2)/2))/(LN(2)/2)*V151*Y151*VLOOKUP('Données projet'!$B$9,Paramètres!$A$1:$I$88,3,0)*0.475*44/12</f>
        <v>4.345773709848389E-17</v>
      </c>
      <c r="AC151" s="24">
        <f t="shared" si="111"/>
        <v>3.2347805460226695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projet'!$B$10,Paramètres!$A$1:$I$88,3,0)*VLOOKUP('Données projet'!$B$10,Paramètres!$A$1:$I$88,5,0)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210.04871822652808</v>
      </c>
      <c r="AO151" s="62">
        <f t="shared" si="144"/>
        <v>250.17540614049324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0.70547300975972715</v>
      </c>
      <c r="AV151" s="23">
        <f>EXP(-LN(2)/25)*AV150+(1-EXP(-LN(2)/25))/(LN(2)/25)*Calculateur!AQ151*Calculateur!AS151*VLOOKUP('Données projet'!$B$10,Paramètres!$A$1:$I$88,3,0)*0.475*44/12</f>
        <v>1.055997189467115</v>
      </c>
      <c r="AW151" s="23">
        <f>EXP(-LN(2)/2)*AW150+(1-EXP(-LN(2)/2))/(LN(2)/2)*AQ151*AT151*VLOOKUP('Données projet'!$B$10,Paramètres!$A$1:$I$88,3,0)*0.475*44/12</f>
        <v>3.7390036791276098E-17</v>
      </c>
      <c r="AX151" s="23">
        <f t="shared" si="114"/>
        <v>1.7614701992268422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-2.8421709430404007E-14</v>
      </c>
      <c r="BE151" s="14">
        <f>BD151*VLOOKUP('Données projet'!$B$11,Paramètres!$A$1:$I$88,3,0)*VLOOKUP('Données projet'!$B$11,Paramètres!$A$1:$I$88,5,0)</f>
        <v>-2.4829205358400945E-14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223.81948236065614</v>
      </c>
      <c r="BJ151" s="62">
        <f t="shared" si="146"/>
        <v>320.1204011431372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0.29693321654172655</v>
      </c>
      <c r="BQ151" s="23">
        <f>EXP(-LN(2)/25)*BQ150+(1-EXP(-LN(2)/25))/(LN(2)/25)*Calculateur!BL151*Calculateur!BN151*VLOOKUP('Données projet'!$B$11,Paramètres!$A$1:$I$88,3,0)*0.475*44/12</f>
        <v>0.67131335316835306</v>
      </c>
      <c r="BR151" s="23">
        <f>EXP(-LN(2)/2)*BR150+(1-EXP(-LN(2)/2))/(LN(2)/2)*BL151*BO151*VLOOKUP('Données projet'!$B$11,Paramètres!$A$1:$I$88,3,0)*0.475*44/12</f>
        <v>4.8173282739893818E-17</v>
      </c>
      <c r="BS151" s="24">
        <f t="shared" si="117"/>
        <v>0.96824656971007961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4.5474735088646412E-13</v>
      </c>
      <c r="O152" s="14">
        <f>N152*VLOOKUP('Données projet'!$B$9,Paramètres!$A$1:$I$88,3,0)*VLOOKUP('Données projet'!$B$9,Paramètres!$A$1:$I$88,5,0)</f>
        <v>2.5420376914553347E-13</v>
      </c>
      <c r="P152" s="14">
        <f t="shared" si="141"/>
        <v>3.4258699088369875E-12</v>
      </c>
      <c r="Q152" s="22">
        <f t="shared" si="108"/>
        <v>6.4094616558195571E-12</v>
      </c>
      <c r="R152" s="62">
        <f t="shared" si="109"/>
        <v>293.33333333333974</v>
      </c>
      <c r="S152" s="62">
        <f ca="1">AVERAGE(OFFSET($R$3,0,0,'Données projet'!$E$9+1,1))-AVERAGE(OFFSET($H$3,0,0,'Données projet'!$E$9+1,1))</f>
        <v>373.16487843768437</v>
      </c>
      <c r="T152" s="62">
        <f t="shared" si="142"/>
        <v>376.53494965377718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1.9472934588105062</v>
      </c>
      <c r="AA152" s="23">
        <f>EXP(-LN(2)/25)*AA151+(1-EXP(-LN(2)/25))/(LN(2)/25)*Calculateur!V152*Calculateur!X152*VLOOKUP('Données projet'!$B$9,Paramètres!$A$1:$I$88,3,0)*0.475*44/12</f>
        <v>1.2143967444552723</v>
      </c>
      <c r="AB152" s="23">
        <f>EXP(-LN(2)/2)*AB151+(1-EXP(-LN(2)/2))/(LN(2)/2)*V152*Y152*VLOOKUP('Données projet'!$B$9,Paramètres!$A$1:$I$88,3,0)*0.475*44/12</f>
        <v>3.0729260597360156E-17</v>
      </c>
      <c r="AC152" s="24">
        <f t="shared" si="111"/>
        <v>3.1616902032657785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projet'!$B$10,Paramètres!$A$1:$I$88,3,0)*VLOOKUP('Données projet'!$B$10,Paramètres!$A$1:$I$88,5,0)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210.04871822652808</v>
      </c>
      <c r="AO152" s="62">
        <f t="shared" si="144"/>
        <v>250.17540614049324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0.69163911433438663</v>
      </c>
      <c r="AV152" s="23">
        <f>EXP(-LN(2)/25)*AV151+(1-EXP(-LN(2)/25))/(LN(2)/25)*Calculateur!AQ152*Calculateur!AS152*VLOOKUP('Données projet'!$B$10,Paramètres!$A$1:$I$88,3,0)*0.475*44/12</f>
        <v>1.027120890788658</v>
      </c>
      <c r="AW152" s="23">
        <f>EXP(-LN(2)/2)*AW151+(1-EXP(-LN(2)/2))/(LN(2)/2)*AQ152*AT152*VLOOKUP('Données projet'!$B$10,Paramètres!$A$1:$I$88,3,0)*0.475*44/12</f>
        <v>2.643874856392583E-17</v>
      </c>
      <c r="AX152" s="23">
        <f t="shared" si="114"/>
        <v>1.7187600051230447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-2.8421709430404007E-14</v>
      </c>
      <c r="BE152" s="14">
        <f>BD152*VLOOKUP('Données projet'!$B$11,Paramètres!$A$1:$I$88,3,0)*VLOOKUP('Données projet'!$B$11,Paramètres!$A$1:$I$88,5,0)</f>
        <v>-2.4829205358400945E-14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223.81948236065614</v>
      </c>
      <c r="BJ152" s="62">
        <f t="shared" si="146"/>
        <v>320.1204011431372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0.29111053727672215</v>
      </c>
      <c r="BQ152" s="23">
        <f>EXP(-LN(2)/25)*BQ151+(1-EXP(-LN(2)/25))/(LN(2)/25)*Calculateur!BL152*Calculateur!BN152*VLOOKUP('Données projet'!$B$11,Paramètres!$A$1:$I$88,3,0)*0.475*44/12</f>
        <v>0.65295625422312953</v>
      </c>
      <c r="BR152" s="23">
        <f>EXP(-LN(2)/2)*BR151+(1-EXP(-LN(2)/2))/(LN(2)/2)*BL152*BO152*VLOOKUP('Données projet'!$B$11,Paramètres!$A$1:$I$88,3,0)*0.475*44/12</f>
        <v>3.4063654897395784E-17</v>
      </c>
      <c r="BS152" s="24">
        <f t="shared" si="117"/>
        <v>0.94406679149985173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4.5474735088646412E-13</v>
      </c>
      <c r="O153" s="14">
        <f>N153*VLOOKUP('Données projet'!$B$9,Paramètres!$A$1:$I$88,3,0)*VLOOKUP('Données projet'!$B$9,Paramètres!$A$1:$I$88,5,0)</f>
        <v>2.5420376914553347E-13</v>
      </c>
      <c r="P153" s="14">
        <f t="shared" si="141"/>
        <v>3.4258699088369875E-12</v>
      </c>
      <c r="Q153" s="22">
        <f t="shared" si="108"/>
        <v>6.4094616558195571E-12</v>
      </c>
      <c r="R153" s="62">
        <f t="shared" si="109"/>
        <v>293.33333333333974</v>
      </c>
      <c r="S153" s="62">
        <f ca="1">AVERAGE(OFFSET($R$3,0,0,'Données projet'!$E$9+1,1))-AVERAGE(OFFSET($H$3,0,0,'Données projet'!$E$9+1,1))</f>
        <v>373.16487843768437</v>
      </c>
      <c r="T153" s="62">
        <f t="shared" si="142"/>
        <v>376.53494965377718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1.9091082218149633</v>
      </c>
      <c r="AA153" s="23">
        <f>EXP(-LN(2)/25)*AA152+(1-EXP(-LN(2)/25))/(LN(2)/25)*Calculateur!V153*Calculateur!X153*VLOOKUP('Données projet'!$B$9,Paramètres!$A$1:$I$88,3,0)*0.475*44/12</f>
        <v>1.1811890016157938</v>
      </c>
      <c r="AB153" s="23">
        <f>EXP(-LN(2)/2)*AB152+(1-EXP(-LN(2)/2))/(LN(2)/2)*V153*Y153*VLOOKUP('Données projet'!$B$9,Paramètres!$A$1:$I$88,3,0)*0.475*44/12</f>
        <v>2.1728868549241945E-17</v>
      </c>
      <c r="AC153" s="24">
        <f t="shared" si="111"/>
        <v>3.0902972234307571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projet'!$B$10,Paramètres!$A$1:$I$88,3,0)*VLOOKUP('Données projet'!$B$10,Paramètres!$A$1:$I$88,5,0)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210.04871822652808</v>
      </c>
      <c r="AO153" s="62">
        <f t="shared" si="144"/>
        <v>250.17540614049324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0.67807649316049401</v>
      </c>
      <c r="AV153" s="23">
        <f>EXP(-LN(2)/25)*AV152+(1-EXP(-LN(2)/25))/(LN(2)/25)*Calculateur!AQ153*Calculateur!AS153*VLOOKUP('Données projet'!$B$10,Paramètres!$A$1:$I$88,3,0)*0.475*44/12</f>
        <v>0.99903421601610198</v>
      </c>
      <c r="AW153" s="23">
        <f>EXP(-LN(2)/2)*AW152+(1-EXP(-LN(2)/2))/(LN(2)/2)*AQ153*AT153*VLOOKUP('Données projet'!$B$10,Paramètres!$A$1:$I$88,3,0)*0.475*44/12</f>
        <v>1.8695018395638049E-17</v>
      </c>
      <c r="AX153" s="23">
        <f t="shared" si="114"/>
        <v>1.677110709176596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-2.8421709430404007E-14</v>
      </c>
      <c r="BE153" s="14">
        <f>BD153*VLOOKUP('Données projet'!$B$11,Paramètres!$A$1:$I$88,3,0)*VLOOKUP('Données projet'!$B$11,Paramètres!$A$1:$I$88,5,0)</f>
        <v>-2.4829205358400945E-14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223.81948236065614</v>
      </c>
      <c r="BJ153" s="62">
        <f t="shared" si="146"/>
        <v>320.1204011431372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0.2854020372006208</v>
      </c>
      <c r="BQ153" s="23">
        <f>EXP(-LN(2)/25)*BQ152+(1-EXP(-LN(2)/25))/(LN(2)/25)*Calculateur!BL153*Calculateur!BN153*VLOOKUP('Données projet'!$B$11,Paramètres!$A$1:$I$88,3,0)*0.475*44/12</f>
        <v>0.63510113111392097</v>
      </c>
      <c r="BR153" s="23">
        <f>EXP(-LN(2)/2)*BR152+(1-EXP(-LN(2)/2))/(LN(2)/2)*BL153*BO153*VLOOKUP('Données projet'!$B$11,Paramètres!$A$1:$I$88,3,0)*0.475*44/12</f>
        <v>2.4086641369946909E-17</v>
      </c>
      <c r="BS153" s="24">
        <f t="shared" si="117"/>
        <v>0.92050316831454171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4.5474735088646412E-13</v>
      </c>
      <c r="O154" s="14">
        <f>N154*VLOOKUP('Données projet'!$B$9,Paramètres!$A$1:$I$88,3,0)*VLOOKUP('Données projet'!$B$9,Paramètres!$A$1:$I$88,5,0)</f>
        <v>2.5420376914553347E-13</v>
      </c>
      <c r="P154" s="14">
        <f t="shared" si="141"/>
        <v>3.4258699088369875E-12</v>
      </c>
      <c r="Q154" s="22">
        <f t="shared" ref="Q154:Q203" si="162">(O154+P154)*0.475*44/12</f>
        <v>6.4094616558195571E-12</v>
      </c>
      <c r="R154" s="62">
        <f t="shared" si="109"/>
        <v>293.33333333333974</v>
      </c>
      <c r="S154" s="62">
        <f ca="1">AVERAGE(OFFSET($R$3,0,0,'Données projet'!$E$9+1,1))-AVERAGE(OFFSET($H$3,0,0,'Données projet'!$E$9+1,1))</f>
        <v>373.16487843768437</v>
      </c>
      <c r="T154" s="62">
        <f t="shared" si="142"/>
        <v>376.53494965377718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1.8716717740262081</v>
      </c>
      <c r="AA154" s="23">
        <f>EXP(-LN(2)/25)*AA153+(1-EXP(-LN(2)/25))/(LN(2)/25)*Calculateur!V154*Calculateur!X154*VLOOKUP('Données projet'!$B$9,Paramètres!$A$1:$I$88,3,0)*0.475*44/12</f>
        <v>1.1488893262505799</v>
      </c>
      <c r="AB154" s="23">
        <f>EXP(-LN(2)/2)*AB153+(1-EXP(-LN(2)/2))/(LN(2)/2)*V154*Y154*VLOOKUP('Données projet'!$B$9,Paramètres!$A$1:$I$88,3,0)*0.475*44/12</f>
        <v>1.5364630298680078E-17</v>
      </c>
      <c r="AC154" s="24">
        <f t="shared" ref="AC154:AC203" si="163">SUM(Z154:AB154)</f>
        <v>3.020561100276788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projet'!$B$10,Paramètres!$A$1:$I$88,3,0)*VLOOKUP('Données projet'!$B$10,Paramètres!$A$1:$I$88,5,0)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210.04871822652808</v>
      </c>
      <c r="AO154" s="62">
        <f t="shared" si="144"/>
        <v>250.17540614049324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0.66477982671543934</v>
      </c>
      <c r="AV154" s="23">
        <f>EXP(-LN(2)/25)*AV153+(1-EXP(-LN(2)/25))/(LN(2)/25)*Calculateur!AQ154*Calculateur!AS154*VLOOKUP('Données projet'!$B$10,Paramètres!$A$1:$I$88,3,0)*0.475*44/12</f>
        <v>0.97171557284221555</v>
      </c>
      <c r="AW154" s="23">
        <f>EXP(-LN(2)/2)*AW153+(1-EXP(-LN(2)/2))/(LN(2)/2)*AQ154*AT154*VLOOKUP('Données projet'!$B$10,Paramètres!$A$1:$I$88,3,0)*0.475*44/12</f>
        <v>1.3219374281962915E-17</v>
      </c>
      <c r="AX154" s="23">
        <f t="shared" ref="AX154:AX203" si="166">SUM(AU154:AW154)</f>
        <v>1.636495399557655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-2.8421709430404007E-14</v>
      </c>
      <c r="BE154" s="14">
        <f>BD154*VLOOKUP('Données projet'!$B$11,Paramètres!$A$1:$I$88,3,0)*VLOOKUP('Données projet'!$B$11,Paramètres!$A$1:$I$88,5,0)</f>
        <v>-2.4829205358400945E-14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223.81948236065614</v>
      </c>
      <c r="BJ154" s="62">
        <f t="shared" si="146"/>
        <v>320.1204011431372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0.27980547732917055</v>
      </c>
      <c r="BQ154" s="23">
        <f>EXP(-LN(2)/25)*BQ153+(1-EXP(-LN(2)/25))/(LN(2)/25)*Calculateur!BL154*Calculateur!BN154*VLOOKUP('Données projet'!$B$11,Paramètres!$A$1:$I$88,3,0)*0.475*44/12</f>
        <v>0.6177342572850939</v>
      </c>
      <c r="BR154" s="23">
        <f>EXP(-LN(2)/2)*BR153+(1-EXP(-LN(2)/2))/(LN(2)/2)*BL154*BO154*VLOOKUP('Données projet'!$B$11,Paramètres!$A$1:$I$88,3,0)*0.475*44/12</f>
        <v>1.7031827448697892E-17</v>
      </c>
      <c r="BS154" s="24">
        <f t="shared" ref="BS154:BS203" si="169">SUM(BP154:BR154)</f>
        <v>0.8975397346142644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4.5474735088646412E-13</v>
      </c>
      <c r="O155" s="14">
        <f>N155*VLOOKUP('Données projet'!$B$9,Paramètres!$A$1:$I$88,3,0)*VLOOKUP('Données projet'!$B$9,Paramètres!$A$1:$I$88,5,0)</f>
        <v>2.5420376914553347E-13</v>
      </c>
      <c r="P155" s="14">
        <f t="shared" si="141"/>
        <v>3.4258699088369875E-12</v>
      </c>
      <c r="Q155" s="22">
        <f t="shared" si="162"/>
        <v>6.4094616558195571E-12</v>
      </c>
      <c r="R155" s="62">
        <f t="shared" si="109"/>
        <v>293.33333333333974</v>
      </c>
      <c r="S155" s="62">
        <f ca="1">AVERAGE(OFFSET($R$3,0,0,'Données projet'!$E$9+1,1))-AVERAGE(OFFSET($H$3,0,0,'Données projet'!$E$9+1,1))</f>
        <v>373.16487843768437</v>
      </c>
      <c r="T155" s="62">
        <f t="shared" si="142"/>
        <v>376.53494965377718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1.8349694321446119</v>
      </c>
      <c r="AA155" s="23">
        <f>EXP(-LN(2)/25)*AA154+(1-EXP(-LN(2)/25))/(LN(2)/25)*Calculateur!V155*Calculateur!X155*VLOOKUP('Données projet'!$B$9,Paramètres!$A$1:$I$88,3,0)*0.475*44/12</f>
        <v>1.1174728872067941</v>
      </c>
      <c r="AB155" s="23">
        <f>EXP(-LN(2)/2)*AB154+(1-EXP(-LN(2)/2))/(LN(2)/2)*V155*Y155*VLOOKUP('Données projet'!$B$9,Paramètres!$A$1:$I$88,3,0)*0.475*44/12</f>
        <v>1.0864434274620972E-17</v>
      </c>
      <c r="AC155" s="24">
        <f t="shared" si="163"/>
        <v>2.9524423193514062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projet'!$B$10,Paramètres!$A$1:$I$88,3,0)*VLOOKUP('Données projet'!$B$10,Paramètres!$A$1:$I$88,5,0)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210.04871822652808</v>
      </c>
      <c r="AO155" s="62">
        <f t="shared" si="144"/>
        <v>250.17540614049324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0.65174389978920644</v>
      </c>
      <c r="AV155" s="23">
        <f>EXP(-LN(2)/25)*AV154+(1-EXP(-LN(2)/25))/(LN(2)/25)*Calculateur!AQ155*Calculateur!AS155*VLOOKUP('Données projet'!$B$10,Paramètres!$A$1:$I$88,3,0)*0.475*44/12</f>
        <v>0.94514395940254403</v>
      </c>
      <c r="AW155" s="23">
        <f>EXP(-LN(2)/2)*AW154+(1-EXP(-LN(2)/2))/(LN(2)/2)*AQ155*AT155*VLOOKUP('Données projet'!$B$10,Paramètres!$A$1:$I$88,3,0)*0.475*44/12</f>
        <v>9.3475091978190246E-18</v>
      </c>
      <c r="AX155" s="23">
        <f t="shared" si="166"/>
        <v>1.5968878591917504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-2.8421709430404007E-14</v>
      </c>
      <c r="BE155" s="14">
        <f>BD155*VLOOKUP('Données projet'!$B$11,Paramètres!$A$1:$I$88,3,0)*VLOOKUP('Données projet'!$B$11,Paramètres!$A$1:$I$88,5,0)</f>
        <v>-2.4829205358400945E-14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223.81948236065614</v>
      </c>
      <c r="BJ155" s="62">
        <f t="shared" si="146"/>
        <v>320.1204011431372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0.27431866258323495</v>
      </c>
      <c r="BQ155" s="23">
        <f>EXP(-LN(2)/25)*BQ154+(1-EXP(-LN(2)/25))/(LN(2)/25)*Calculateur!BL155*Calculateur!BN155*VLOOKUP('Données projet'!$B$11,Paramètres!$A$1:$I$88,3,0)*0.475*44/12</f>
        <v>0.60084228153440022</v>
      </c>
      <c r="BR155" s="23">
        <f>EXP(-LN(2)/2)*BR154+(1-EXP(-LN(2)/2))/(LN(2)/2)*BL155*BO155*VLOOKUP('Données projet'!$B$11,Paramètres!$A$1:$I$88,3,0)*0.475*44/12</f>
        <v>1.2043320684973454E-17</v>
      </c>
      <c r="BS155" s="24">
        <f t="shared" si="169"/>
        <v>0.87516094411763512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4.5474735088646412E-13</v>
      </c>
      <c r="O156" s="14">
        <f>N156*VLOOKUP('Données projet'!$B$9,Paramètres!$A$1:$I$88,3,0)*VLOOKUP('Données projet'!$B$9,Paramètres!$A$1:$I$88,5,0)</f>
        <v>2.5420376914553347E-13</v>
      </c>
      <c r="P156" s="14">
        <f t="shared" si="141"/>
        <v>3.4258699088369875E-12</v>
      </c>
      <c r="Q156" s="22">
        <f t="shared" si="162"/>
        <v>6.4094616558195571E-12</v>
      </c>
      <c r="R156" s="62">
        <f t="shared" si="109"/>
        <v>293.33333333333974</v>
      </c>
      <c r="S156" s="62">
        <f ca="1">AVERAGE(OFFSET($R$3,0,0,'Données projet'!$E$9+1,1))-AVERAGE(OFFSET($H$3,0,0,'Données projet'!$E$9+1,1))</f>
        <v>373.16487843768437</v>
      </c>
      <c r="T156" s="62">
        <f t="shared" si="142"/>
        <v>376.53494965377718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1.7989868008010959</v>
      </c>
      <c r="AA156" s="23">
        <f>EXP(-LN(2)/25)*AA155+(1-EXP(-LN(2)/25))/(LN(2)/25)*Calculateur!V156*Calculateur!X156*VLOOKUP('Données projet'!$B$9,Paramètres!$A$1:$I$88,3,0)*0.475*44/12</f>
        <v>1.0869155323407791</v>
      </c>
      <c r="AB156" s="23">
        <f>EXP(-LN(2)/2)*AB155+(1-EXP(-LN(2)/2))/(LN(2)/2)*V156*Y156*VLOOKUP('Données projet'!$B$9,Paramètres!$A$1:$I$88,3,0)*0.475*44/12</f>
        <v>7.6823151493400391E-18</v>
      </c>
      <c r="AC156" s="24">
        <f t="shared" si="163"/>
        <v>2.8859023331418747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projet'!$B$10,Paramètres!$A$1:$I$88,3,0)*VLOOKUP('Données projet'!$B$10,Paramètres!$A$1:$I$88,5,0)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210.04871822652808</v>
      </c>
      <c r="AO156" s="62">
        <f t="shared" si="144"/>
        <v>250.17540614049324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0.63896359943886671</v>
      </c>
      <c r="AV156" s="23">
        <f>EXP(-LN(2)/25)*AV155+(1-EXP(-LN(2)/25))/(LN(2)/25)*Calculateur!AQ156*Calculateur!AS156*VLOOKUP('Données projet'!$B$10,Paramètres!$A$1:$I$88,3,0)*0.475*44/12</f>
        <v>0.91929894812972079</v>
      </c>
      <c r="AW156" s="23">
        <f>EXP(-LN(2)/2)*AW155+(1-EXP(-LN(2)/2))/(LN(2)/2)*AQ156*AT156*VLOOKUP('Données projet'!$B$10,Paramètres!$A$1:$I$88,3,0)*0.475*44/12</f>
        <v>6.6096871409814575E-18</v>
      </c>
      <c r="AX156" s="23">
        <f t="shared" si="166"/>
        <v>1.5582625475685874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-2.8421709430404007E-14</v>
      </c>
      <c r="BE156" s="14">
        <f>BD156*VLOOKUP('Données projet'!$B$11,Paramètres!$A$1:$I$88,3,0)*VLOOKUP('Données projet'!$B$11,Paramètres!$A$1:$I$88,5,0)</f>
        <v>-2.4829205358400945E-14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223.81948236065614</v>
      </c>
      <c r="BJ156" s="62">
        <f t="shared" si="146"/>
        <v>320.1204011431372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0.26893944092784061</v>
      </c>
      <c r="BQ156" s="23">
        <f>EXP(-LN(2)/25)*BQ155+(1-EXP(-LN(2)/25))/(LN(2)/25)*Calculateur!BL156*Calculateur!BN156*VLOOKUP('Données projet'!$B$11,Paramètres!$A$1:$I$88,3,0)*0.475*44/12</f>
        <v>0.58441221774891972</v>
      </c>
      <c r="BR156" s="23">
        <f>EXP(-LN(2)/2)*BR155+(1-EXP(-LN(2)/2))/(LN(2)/2)*BL156*BO156*VLOOKUP('Données projet'!$B$11,Paramètres!$A$1:$I$88,3,0)*0.475*44/12</f>
        <v>8.5159137243489459E-18</v>
      </c>
      <c r="BS156" s="24">
        <f t="shared" si="169"/>
        <v>0.85335165867676033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4.5474735088646412E-13</v>
      </c>
      <c r="O157" s="14">
        <f>N157*VLOOKUP('Données projet'!$B$9,Paramètres!$A$1:$I$88,3,0)*VLOOKUP('Données projet'!$B$9,Paramètres!$A$1:$I$88,5,0)</f>
        <v>2.5420376914553347E-13</v>
      </c>
      <c r="P157" s="14">
        <f t="shared" si="141"/>
        <v>3.4258699088369875E-12</v>
      </c>
      <c r="Q157" s="22">
        <f t="shared" si="162"/>
        <v>6.4094616558195571E-12</v>
      </c>
      <c r="R157" s="62">
        <f t="shared" si="109"/>
        <v>293.33333333333974</v>
      </c>
      <c r="S157" s="62">
        <f ca="1">AVERAGE(OFFSET($R$3,0,0,'Données projet'!$E$9+1,1))-AVERAGE(OFFSET($H$3,0,0,'Données projet'!$E$9+1,1))</f>
        <v>373.16487843768437</v>
      </c>
      <c r="T157" s="62">
        <f t="shared" si="142"/>
        <v>376.53494965377718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1.763709766910988</v>
      </c>
      <c r="AA157" s="23">
        <f>EXP(-LN(2)/25)*AA156+(1-EXP(-LN(2)/25))/(LN(2)/25)*Calculateur!V157*Calculateur!X157*VLOOKUP('Données projet'!$B$9,Paramètres!$A$1:$I$88,3,0)*0.475*44/12</f>
        <v>1.0571937699505167</v>
      </c>
      <c r="AB157" s="23">
        <f>EXP(-LN(2)/2)*AB156+(1-EXP(-LN(2)/2))/(LN(2)/2)*V157*Y157*VLOOKUP('Données projet'!$B$9,Paramètres!$A$1:$I$88,3,0)*0.475*44/12</f>
        <v>5.4322171373104862E-18</v>
      </c>
      <c r="AC157" s="24">
        <f t="shared" si="163"/>
        <v>2.820903536861505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projet'!$B$10,Paramètres!$A$1:$I$88,3,0)*VLOOKUP('Données projet'!$B$10,Paramètres!$A$1:$I$88,5,0)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210.04871822652808</v>
      </c>
      <c r="AO157" s="62">
        <f t="shared" si="144"/>
        <v>250.17540614049324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0.62643391298318363</v>
      </c>
      <c r="AV157" s="23">
        <f>EXP(-LN(2)/25)*AV156+(1-EXP(-LN(2)/25))/(LN(2)/25)*Calculateur!AQ157*Calculateur!AS157*VLOOKUP('Données projet'!$B$10,Paramètres!$A$1:$I$88,3,0)*0.475*44/12</f>
        <v>0.89416067004928301</v>
      </c>
      <c r="AW157" s="23">
        <f>EXP(-LN(2)/2)*AW156+(1-EXP(-LN(2)/2))/(LN(2)/2)*AQ157*AT157*VLOOKUP('Données projet'!$B$10,Paramètres!$A$1:$I$88,3,0)*0.475*44/12</f>
        <v>4.6737545989095123E-18</v>
      </c>
      <c r="AX157" s="23">
        <f t="shared" si="166"/>
        <v>1.5205945830324668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-2.8421709430404007E-14</v>
      </c>
      <c r="BE157" s="14">
        <f>BD157*VLOOKUP('Données projet'!$B$11,Paramètres!$A$1:$I$88,3,0)*VLOOKUP('Données projet'!$B$11,Paramètres!$A$1:$I$88,5,0)</f>
        <v>-2.4829205358400945E-14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223.81948236065614</v>
      </c>
      <c r="BJ157" s="62">
        <f t="shared" si="146"/>
        <v>320.1204011431372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0.26366570252810734</v>
      </c>
      <c r="BQ157" s="23">
        <f>EXP(-LN(2)/25)*BQ156+(1-EXP(-LN(2)/25))/(LN(2)/25)*Calculateur!BL157*Calculateur!BN157*VLOOKUP('Données projet'!$B$11,Paramètres!$A$1:$I$88,3,0)*0.475*44/12</f>
        <v>0.5684314349216727</v>
      </c>
      <c r="BR157" s="23">
        <f>EXP(-LN(2)/2)*BR156+(1-EXP(-LN(2)/2))/(LN(2)/2)*BL157*BO157*VLOOKUP('Données projet'!$B$11,Paramètres!$A$1:$I$88,3,0)*0.475*44/12</f>
        <v>6.0216603424867272E-18</v>
      </c>
      <c r="BS157" s="24">
        <f t="shared" si="169"/>
        <v>0.83209713744978009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4.5474735088646412E-13</v>
      </c>
      <c r="O158" s="14">
        <f>N158*VLOOKUP('Données projet'!$B$9,Paramètres!$A$1:$I$88,3,0)*VLOOKUP('Données projet'!$B$9,Paramètres!$A$1:$I$88,5,0)</f>
        <v>2.5420376914553347E-13</v>
      </c>
      <c r="P158" s="14">
        <f t="shared" si="141"/>
        <v>3.4258699088369875E-12</v>
      </c>
      <c r="Q158" s="22">
        <f t="shared" si="162"/>
        <v>6.4094616558195571E-12</v>
      </c>
      <c r="R158" s="62">
        <f t="shared" si="109"/>
        <v>293.33333333333974</v>
      </c>
      <c r="S158" s="62">
        <f ca="1">AVERAGE(OFFSET($R$3,0,0,'Données projet'!$E$9+1,1))-AVERAGE(OFFSET($H$3,0,0,'Données projet'!$E$9+1,1))</f>
        <v>373.16487843768437</v>
      </c>
      <c r="T158" s="62">
        <f t="shared" si="142"/>
        <v>376.53494965377718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1.7291244941385993</v>
      </c>
      <c r="AA158" s="23">
        <f>EXP(-LN(2)/25)*AA157+(1-EXP(-LN(2)/25))/(LN(2)/25)*Calculateur!V158*Calculateur!X158*VLOOKUP('Données projet'!$B$9,Paramètres!$A$1:$I$88,3,0)*0.475*44/12</f>
        <v>1.0282847507158157</v>
      </c>
      <c r="AB158" s="23">
        <f>EXP(-LN(2)/2)*AB157+(1-EXP(-LN(2)/2))/(LN(2)/2)*V158*Y158*VLOOKUP('Données projet'!$B$9,Paramètres!$A$1:$I$88,3,0)*0.475*44/12</f>
        <v>3.8411575746700195E-18</v>
      </c>
      <c r="AC158" s="24">
        <f t="shared" si="163"/>
        <v>2.757409244854415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projet'!$B$10,Paramètres!$A$1:$I$88,3,0)*VLOOKUP('Données projet'!$B$10,Paramètres!$A$1:$I$88,5,0)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210.04871822652808</v>
      </c>
      <c r="AO158" s="62">
        <f t="shared" si="144"/>
        <v>250.17540614049324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0.61414992603654239</v>
      </c>
      <c r="AV158" s="23">
        <f>EXP(-LN(2)/25)*AV157+(1-EXP(-LN(2)/25))/(LN(2)/25)*Calculateur!AQ158*Calculateur!AS158*VLOOKUP('Données projet'!$B$10,Paramètres!$A$1:$I$88,3,0)*0.475*44/12</f>
        <v>0.86970979950491933</v>
      </c>
      <c r="AW158" s="23">
        <f>EXP(-LN(2)/2)*AW157+(1-EXP(-LN(2)/2))/(LN(2)/2)*AQ158*AT158*VLOOKUP('Données projet'!$B$10,Paramètres!$A$1:$I$88,3,0)*0.475*44/12</f>
        <v>3.3048435704907287E-18</v>
      </c>
      <c r="AX158" s="23">
        <f t="shared" si="166"/>
        <v>1.4838597255414618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-2.8421709430404007E-14</v>
      </c>
      <c r="BE158" s="14">
        <f>BD158*VLOOKUP('Données projet'!$B$11,Paramètres!$A$1:$I$88,3,0)*VLOOKUP('Données projet'!$B$11,Paramètres!$A$1:$I$88,5,0)</f>
        <v>-2.4829205358400945E-14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223.81948236065614</v>
      </c>
      <c r="BJ158" s="62">
        <f t="shared" si="146"/>
        <v>320.1204011431372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0.25849537892173002</v>
      </c>
      <c r="BQ158" s="23">
        <f>EXP(-LN(2)/25)*BQ157+(1-EXP(-LN(2)/25))/(LN(2)/25)*Calculateur!BL158*Calculateur!BN158*VLOOKUP('Données projet'!$B$11,Paramètres!$A$1:$I$88,3,0)*0.475*44/12</f>
        <v>0.55288764744122953</v>
      </c>
      <c r="BR158" s="23">
        <f>EXP(-LN(2)/2)*BR157+(1-EXP(-LN(2)/2))/(LN(2)/2)*BL158*BO158*VLOOKUP('Données projet'!$B$11,Paramètres!$A$1:$I$88,3,0)*0.475*44/12</f>
        <v>4.257956862174473E-18</v>
      </c>
      <c r="BS158" s="24">
        <f t="shared" si="169"/>
        <v>0.81138302636295956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4.5474735088646412E-13</v>
      </c>
      <c r="O159" s="14">
        <f>N159*VLOOKUP('Données projet'!$B$9,Paramètres!$A$1:$I$88,3,0)*VLOOKUP('Données projet'!$B$9,Paramètres!$A$1:$I$88,5,0)</f>
        <v>2.5420376914553347E-13</v>
      </c>
      <c r="P159" s="14">
        <f t="shared" si="141"/>
        <v>3.4258699088369875E-12</v>
      </c>
      <c r="Q159" s="22">
        <f t="shared" si="162"/>
        <v>6.4094616558195571E-12</v>
      </c>
      <c r="R159" s="62">
        <f t="shared" si="109"/>
        <v>293.33333333333974</v>
      </c>
      <c r="S159" s="62">
        <f ca="1">AVERAGE(OFFSET($R$3,0,0,'Données projet'!$E$9+1,1))-AVERAGE(OFFSET($H$3,0,0,'Données projet'!$E$9+1,1))</f>
        <v>373.16487843768437</v>
      </c>
      <c r="T159" s="62">
        <f t="shared" si="142"/>
        <v>376.53494965377718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1.6952174174703436</v>
      </c>
      <c r="AA159" s="23">
        <f>EXP(-LN(2)/25)*AA158+(1-EXP(-LN(2)/25))/(LN(2)/25)*Calculateur!V159*Calculateur!X159*VLOOKUP('Données projet'!$B$9,Paramètres!$A$1:$I$88,3,0)*0.475*44/12</f>
        <v>1.0001662501323469</v>
      </c>
      <c r="AB159" s="23">
        <f>EXP(-LN(2)/2)*AB158+(1-EXP(-LN(2)/2))/(LN(2)/2)*V159*Y159*VLOOKUP('Données projet'!$B$9,Paramètres!$A$1:$I$88,3,0)*0.475*44/12</f>
        <v>2.7161085686552431E-18</v>
      </c>
      <c r="AC159" s="24">
        <f t="shared" si="163"/>
        <v>2.6953836676026905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projet'!$B$10,Paramètres!$A$1:$I$88,3,0)*VLOOKUP('Données projet'!$B$10,Paramètres!$A$1:$I$88,5,0)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210.04871822652808</v>
      </c>
      <c r="AO159" s="62">
        <f t="shared" si="144"/>
        <v>250.17540614049324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0.6021068205814325</v>
      </c>
      <c r="AV159" s="23">
        <f>EXP(-LN(2)/25)*AV158+(1-EXP(-LN(2)/25))/(LN(2)/25)*Calculateur!AQ159*Calculateur!AS159*VLOOKUP('Données projet'!$B$10,Paramètres!$A$1:$I$88,3,0)*0.475*44/12</f>
        <v>0.84592753930140674</v>
      </c>
      <c r="AW159" s="23">
        <f>EXP(-LN(2)/2)*AW158+(1-EXP(-LN(2)/2))/(LN(2)/2)*AQ159*AT159*VLOOKUP('Données projet'!$B$10,Paramètres!$A$1:$I$88,3,0)*0.475*44/12</f>
        <v>2.3368772994547561E-18</v>
      </c>
      <c r="AX159" s="23">
        <f t="shared" si="166"/>
        <v>1.4480343598828394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-2.8421709430404007E-14</v>
      </c>
      <c r="BE159" s="14">
        <f>BD159*VLOOKUP('Données projet'!$B$11,Paramètres!$A$1:$I$88,3,0)*VLOOKUP('Données projet'!$B$11,Paramètres!$A$1:$I$88,5,0)</f>
        <v>-2.4829205358400945E-14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223.81948236065614</v>
      </c>
      <c r="BJ159" s="62">
        <f t="shared" si="146"/>
        <v>320.1204011431372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0.25342644220768773</v>
      </c>
      <c r="BQ159" s="23">
        <f>EXP(-LN(2)/25)*BQ158+(1-EXP(-LN(2)/25))/(LN(2)/25)*Calculateur!BL159*Calculateur!BN159*VLOOKUP('Données projet'!$B$11,Paramètres!$A$1:$I$88,3,0)*0.475*44/12</f>
        <v>0.53776890564685143</v>
      </c>
      <c r="BR159" s="23">
        <f>EXP(-LN(2)/2)*BR158+(1-EXP(-LN(2)/2))/(LN(2)/2)*BL159*BO159*VLOOKUP('Données projet'!$B$11,Paramètres!$A$1:$I$88,3,0)*0.475*44/12</f>
        <v>3.0108301712433636E-18</v>
      </c>
      <c r="BS159" s="24">
        <f t="shared" si="169"/>
        <v>0.79119534785453915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4.5474735088646412E-13</v>
      </c>
      <c r="O160" s="14">
        <f>N160*VLOOKUP('Données projet'!$B$9,Paramètres!$A$1:$I$88,3,0)*VLOOKUP('Données projet'!$B$9,Paramètres!$A$1:$I$88,5,0)</f>
        <v>2.5420376914553347E-13</v>
      </c>
      <c r="P160" s="14">
        <f t="shared" si="141"/>
        <v>3.4258699088369875E-12</v>
      </c>
      <c r="Q160" s="22">
        <f t="shared" si="162"/>
        <v>6.4094616558195571E-12</v>
      </c>
      <c r="R160" s="62">
        <f t="shared" si="109"/>
        <v>293.33333333333974</v>
      </c>
      <c r="S160" s="62">
        <f ca="1">AVERAGE(OFFSET($R$3,0,0,'Données projet'!$E$9+1,1))-AVERAGE(OFFSET($H$3,0,0,'Données projet'!$E$9+1,1))</f>
        <v>373.16487843768437</v>
      </c>
      <c r="T160" s="62">
        <f t="shared" si="142"/>
        <v>376.53494965377718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1.6619752378942778</v>
      </c>
      <c r="AA160" s="23">
        <f>EXP(-LN(2)/25)*AA159+(1-EXP(-LN(2)/25))/(LN(2)/25)*Calculateur!V160*Calculateur!X160*VLOOKUP('Données projet'!$B$9,Paramètres!$A$1:$I$88,3,0)*0.475*44/12</f>
        <v>0.9728166514260207</v>
      </c>
      <c r="AB160" s="23">
        <f>EXP(-LN(2)/2)*AB159+(1-EXP(-LN(2)/2))/(LN(2)/2)*V160*Y160*VLOOKUP('Données projet'!$B$9,Paramètres!$A$1:$I$88,3,0)*0.475*44/12</f>
        <v>1.9205787873350098E-18</v>
      </c>
      <c r="AC160" s="24">
        <f t="shared" si="163"/>
        <v>2.6347918893202986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projet'!$B$10,Paramètres!$A$1:$I$88,3,0)*VLOOKUP('Données projet'!$B$10,Paramètres!$A$1:$I$88,5,0)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210.04871822652808</v>
      </c>
      <c r="AO160" s="62">
        <f t="shared" si="144"/>
        <v>250.17540614049324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0.59029987307872833</v>
      </c>
      <c r="AV160" s="23">
        <f>EXP(-LN(2)/25)*AV159+(1-EXP(-LN(2)/25))/(LN(2)/25)*Calculateur!AQ160*Calculateur!AS160*VLOOKUP('Données projet'!$B$10,Paramètres!$A$1:$I$88,3,0)*0.475*44/12</f>
        <v>0.82279560625381387</v>
      </c>
      <c r="AW160" s="23">
        <f>EXP(-LN(2)/2)*AW159+(1-EXP(-LN(2)/2))/(LN(2)/2)*AQ160*AT160*VLOOKUP('Données projet'!$B$10,Paramètres!$A$1:$I$88,3,0)*0.475*44/12</f>
        <v>1.6524217852453644E-18</v>
      </c>
      <c r="AX160" s="23">
        <f t="shared" si="166"/>
        <v>1.4130954793325423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-2.8421709430404007E-14</v>
      </c>
      <c r="BE160" s="14">
        <f>BD160*VLOOKUP('Données projet'!$B$11,Paramètres!$A$1:$I$88,3,0)*VLOOKUP('Données projet'!$B$11,Paramètres!$A$1:$I$88,5,0)</f>
        <v>-2.4829205358400945E-14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223.81948236065614</v>
      </c>
      <c r="BJ160" s="62">
        <f t="shared" si="146"/>
        <v>320.1204011431372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0.24845690425086173</v>
      </c>
      <c r="BQ160" s="23">
        <f>EXP(-LN(2)/25)*BQ159+(1-EXP(-LN(2)/25))/(LN(2)/25)*Calculateur!BL160*Calculateur!BN160*VLOOKUP('Données projet'!$B$11,Paramètres!$A$1:$I$88,3,0)*0.475*44/12</f>
        <v>0.52306358664190056</v>
      </c>
      <c r="BR160" s="23">
        <f>EXP(-LN(2)/2)*BR159+(1-EXP(-LN(2)/2))/(LN(2)/2)*BL160*BO160*VLOOKUP('Données projet'!$B$11,Paramètres!$A$1:$I$88,3,0)*0.475*44/12</f>
        <v>2.1289784310872365E-18</v>
      </c>
      <c r="BS160" s="24">
        <f t="shared" si="169"/>
        <v>0.77152049089276231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4.5474735088646412E-13</v>
      </c>
      <c r="O161" s="14">
        <f>N161*VLOOKUP('Données projet'!$B$9,Paramètres!$A$1:$I$88,3,0)*VLOOKUP('Données projet'!$B$9,Paramètres!$A$1:$I$88,5,0)</f>
        <v>2.5420376914553347E-13</v>
      </c>
      <c r="P161" s="14">
        <f t="shared" si="141"/>
        <v>3.4258699088369875E-12</v>
      </c>
      <c r="Q161" s="22">
        <f t="shared" si="162"/>
        <v>6.4094616558195571E-12</v>
      </c>
      <c r="R161" s="62">
        <f t="shared" si="109"/>
        <v>293.33333333333974</v>
      </c>
      <c r="S161" s="62">
        <f ca="1">AVERAGE(OFFSET($R$3,0,0,'Données projet'!$E$9+1,1))-AVERAGE(OFFSET($H$3,0,0,'Données projet'!$E$9+1,1))</f>
        <v>373.16487843768437</v>
      </c>
      <c r="T161" s="62">
        <f t="shared" si="142"/>
        <v>376.53494965377718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1.6293849171839712</v>
      </c>
      <c r="AA161" s="23">
        <f>EXP(-LN(2)/25)*AA160+(1-EXP(-LN(2)/25))/(LN(2)/25)*Calculateur!V161*Calculateur!X161*VLOOKUP('Données projet'!$B$9,Paramètres!$A$1:$I$88,3,0)*0.475*44/12</f>
        <v>0.94621492893457182</v>
      </c>
      <c r="AB161" s="23">
        <f>EXP(-LN(2)/2)*AB160+(1-EXP(-LN(2)/2))/(LN(2)/2)*V161*Y161*VLOOKUP('Données projet'!$B$9,Paramètres!$A$1:$I$88,3,0)*0.475*44/12</f>
        <v>1.3580542843276216E-18</v>
      </c>
      <c r="AC161" s="24">
        <f t="shared" si="163"/>
        <v>2.5755998461185428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projet'!$B$10,Paramètres!$A$1:$I$88,3,0)*VLOOKUP('Données projet'!$B$10,Paramètres!$A$1:$I$88,5,0)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210.04871822652808</v>
      </c>
      <c r="AO161" s="62">
        <f t="shared" si="144"/>
        <v>250.17540614049324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0.57872445261502536</v>
      </c>
      <c r="AV161" s="23">
        <f>EXP(-LN(2)/25)*AV160+(1-EXP(-LN(2)/25))/(LN(2)/25)*Calculateur!AQ161*Calculateur!AS161*VLOOKUP('Données projet'!$B$10,Paramètres!$A$1:$I$88,3,0)*0.475*44/12</f>
        <v>0.80029621713186294</v>
      </c>
      <c r="AW161" s="23">
        <f>EXP(-LN(2)/2)*AW160+(1-EXP(-LN(2)/2))/(LN(2)/2)*AQ161*AT161*VLOOKUP('Données projet'!$B$10,Paramètres!$A$1:$I$88,3,0)*0.475*44/12</f>
        <v>1.1684386497273781E-18</v>
      </c>
      <c r="AX161" s="23">
        <f t="shared" si="166"/>
        <v>1.3790206697468883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-2.8421709430404007E-14</v>
      </c>
      <c r="BE161" s="14">
        <f>BD161*VLOOKUP('Données projet'!$B$11,Paramètres!$A$1:$I$88,3,0)*VLOOKUP('Données projet'!$B$11,Paramètres!$A$1:$I$88,5,0)</f>
        <v>-2.4829205358400945E-14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223.81948236065614</v>
      </c>
      <c r="BJ161" s="62">
        <f t="shared" si="146"/>
        <v>320.1204011431372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0.24358481590225023</v>
      </c>
      <c r="BQ161" s="23">
        <f>EXP(-LN(2)/25)*BQ160+(1-EXP(-LN(2)/25))/(LN(2)/25)*Calculateur!BL161*Calculateur!BN161*VLOOKUP('Données projet'!$B$11,Paramètres!$A$1:$I$88,3,0)*0.475*44/12</f>
        <v>0.50876038535845924</v>
      </c>
      <c r="BR161" s="23">
        <f>EXP(-LN(2)/2)*BR160+(1-EXP(-LN(2)/2))/(LN(2)/2)*BL161*BO161*VLOOKUP('Données projet'!$B$11,Paramètres!$A$1:$I$88,3,0)*0.475*44/12</f>
        <v>1.5054150856216818E-18</v>
      </c>
      <c r="BS161" s="24">
        <f t="shared" si="169"/>
        <v>0.75234520126070947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4.5474735088646412E-13</v>
      </c>
      <c r="O162" s="14">
        <f>N162*VLOOKUP('Données projet'!$B$9,Paramètres!$A$1:$I$88,3,0)*VLOOKUP('Données projet'!$B$9,Paramètres!$A$1:$I$88,5,0)</f>
        <v>2.5420376914553347E-13</v>
      </c>
      <c r="P162" s="14">
        <f t="shared" si="141"/>
        <v>3.4258699088369875E-12</v>
      </c>
      <c r="Q162" s="22">
        <f t="shared" si="162"/>
        <v>6.4094616558195571E-12</v>
      </c>
      <c r="R162" s="62">
        <f t="shared" si="109"/>
        <v>293.33333333333974</v>
      </c>
      <c r="S162" s="62">
        <f ca="1">AVERAGE(OFFSET($R$3,0,0,'Données projet'!$E$9+1,1))-AVERAGE(OFFSET($H$3,0,0,'Données projet'!$E$9+1,1))</f>
        <v>373.16487843768437</v>
      </c>
      <c r="T162" s="62">
        <f t="shared" si="142"/>
        <v>376.53494965377718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1.5974336727846608</v>
      </c>
      <c r="AA162" s="23">
        <f>EXP(-LN(2)/25)*AA161+(1-EXP(-LN(2)/25))/(LN(2)/25)*Calculateur!V162*Calculateur!X162*VLOOKUP('Données projet'!$B$9,Paramètres!$A$1:$I$88,3,0)*0.475*44/12</f>
        <v>0.9203406319435754</v>
      </c>
      <c r="AB162" s="23">
        <f>EXP(-LN(2)/2)*AB161+(1-EXP(-LN(2)/2))/(LN(2)/2)*V162*Y162*VLOOKUP('Données projet'!$B$9,Paramètres!$A$1:$I$88,3,0)*0.475*44/12</f>
        <v>9.6028939366750488E-19</v>
      </c>
      <c r="AC162" s="24">
        <f t="shared" si="163"/>
        <v>2.5177743047282362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projet'!$B$10,Paramètres!$A$1:$I$88,3,0)*VLOOKUP('Données projet'!$B$10,Paramètres!$A$1:$I$88,5,0)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210.04871822652808</v>
      </c>
      <c r="AO162" s="62">
        <f t="shared" si="144"/>
        <v>250.17540614049324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0.56737601908630619</v>
      </c>
      <c r="AV162" s="23">
        <f>EXP(-LN(2)/25)*AV161+(1-EXP(-LN(2)/25))/(LN(2)/25)*Calculateur!AQ162*Calculateur!AS162*VLOOKUP('Données projet'!$B$10,Paramètres!$A$1:$I$88,3,0)*0.475*44/12</f>
        <v>0.77841207498864318</v>
      </c>
      <c r="AW162" s="23">
        <f>EXP(-LN(2)/2)*AW161+(1-EXP(-LN(2)/2))/(LN(2)/2)*AQ162*AT162*VLOOKUP('Données projet'!$B$10,Paramètres!$A$1:$I$88,3,0)*0.475*44/12</f>
        <v>8.2621089262268218E-19</v>
      </c>
      <c r="AX162" s="23">
        <f t="shared" si="166"/>
        <v>1.3457880940749494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-2.8421709430404007E-14</v>
      </c>
      <c r="BE162" s="14">
        <f>BD162*VLOOKUP('Données projet'!$B$11,Paramètres!$A$1:$I$88,3,0)*VLOOKUP('Données projet'!$B$11,Paramètres!$A$1:$I$88,5,0)</f>
        <v>-2.4829205358400945E-14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223.81948236065614</v>
      </c>
      <c r="BJ162" s="62">
        <f t="shared" si="146"/>
        <v>320.1204011431372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0.23880826623447454</v>
      </c>
      <c r="BQ162" s="23">
        <f>EXP(-LN(2)/25)*BQ161+(1-EXP(-LN(2)/25))/(LN(2)/25)*Calculateur!BL162*Calculateur!BN162*VLOOKUP('Données projet'!$B$11,Paramètres!$A$1:$I$88,3,0)*0.475*44/12</f>
        <v>0.49484830586628631</v>
      </c>
      <c r="BR162" s="23">
        <f>EXP(-LN(2)/2)*BR161+(1-EXP(-LN(2)/2))/(LN(2)/2)*BL162*BO162*VLOOKUP('Données projet'!$B$11,Paramètres!$A$1:$I$88,3,0)*0.475*44/12</f>
        <v>1.0644892155436182E-18</v>
      </c>
      <c r="BS162" s="24">
        <f t="shared" si="169"/>
        <v>0.73365657210076085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4.5474735088646412E-13</v>
      </c>
      <c r="O163" s="14">
        <f>N163*VLOOKUP('Données projet'!$B$9,Paramètres!$A$1:$I$88,3,0)*VLOOKUP('Données projet'!$B$9,Paramètres!$A$1:$I$88,5,0)</f>
        <v>2.5420376914553347E-13</v>
      </c>
      <c r="P163" s="14">
        <f t="shared" si="141"/>
        <v>3.4258699088369875E-12</v>
      </c>
      <c r="Q163" s="22">
        <f t="shared" si="162"/>
        <v>6.4094616558195571E-12</v>
      </c>
      <c r="R163" s="62">
        <f t="shared" si="109"/>
        <v>293.33333333333974</v>
      </c>
      <c r="S163" s="62">
        <f ca="1">AVERAGE(OFFSET($R$3,0,0,'Données projet'!$E$9+1,1))-AVERAGE(OFFSET($H$3,0,0,'Données projet'!$E$9+1,1))</f>
        <v>373.16487843768437</v>
      </c>
      <c r="T163" s="62">
        <f t="shared" si="142"/>
        <v>376.53494965377718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1.566108972799686</v>
      </c>
      <c r="AA163" s="23">
        <f>EXP(-LN(2)/25)*AA162+(1-EXP(-LN(2)/25))/(LN(2)/25)*Calculateur!V163*Calculateur!X163*VLOOKUP('Données projet'!$B$9,Paramètres!$A$1:$I$88,3,0)*0.475*44/12</f>
        <v>0.89517386896446793</v>
      </c>
      <c r="AB163" s="23">
        <f>EXP(-LN(2)/2)*AB162+(1-EXP(-LN(2)/2))/(LN(2)/2)*V163*Y163*VLOOKUP('Données projet'!$B$9,Paramètres!$A$1:$I$88,3,0)*0.475*44/12</f>
        <v>6.7902714216381078E-19</v>
      </c>
      <c r="AC163" s="24">
        <f t="shared" si="163"/>
        <v>2.4612828417641541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projet'!$B$10,Paramètres!$A$1:$I$88,3,0)*VLOOKUP('Données projet'!$B$10,Paramètres!$A$1:$I$88,5,0)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210.04871822652808</v>
      </c>
      <c r="AO163" s="62">
        <f t="shared" si="144"/>
        <v>250.17540614049324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0.5562501214172243</v>
      </c>
      <c r="AV163" s="23">
        <f>EXP(-LN(2)/25)*AV162+(1-EXP(-LN(2)/25))/(LN(2)/25)*Calculateur!AQ163*Calculateur!AS163*VLOOKUP('Données projet'!$B$10,Paramètres!$A$1:$I$88,3,0)*0.475*44/12</f>
        <v>0.75712635586316679</v>
      </c>
      <c r="AW163" s="23">
        <f>EXP(-LN(2)/2)*AW162+(1-EXP(-LN(2)/2))/(LN(2)/2)*AQ163*AT163*VLOOKUP('Données projet'!$B$10,Paramètres!$A$1:$I$88,3,0)*0.475*44/12</f>
        <v>5.8421932486368904E-19</v>
      </c>
      <c r="AX163" s="23">
        <f t="shared" si="166"/>
        <v>1.3133764772803911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-2.8421709430404007E-14</v>
      </c>
      <c r="BE163" s="14">
        <f>BD163*VLOOKUP('Données projet'!$B$11,Paramètres!$A$1:$I$88,3,0)*VLOOKUP('Données projet'!$B$11,Paramètres!$A$1:$I$88,5,0)</f>
        <v>-2.4829205358400945E-14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223.81948236065614</v>
      </c>
      <c r="BJ163" s="62">
        <f t="shared" si="146"/>
        <v>320.1204011431372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0.23412538179227629</v>
      </c>
      <c r="BQ163" s="23">
        <f>EXP(-LN(2)/25)*BQ162+(1-EXP(-LN(2)/25))/(LN(2)/25)*Calculateur!BL163*Calculateur!BN163*VLOOKUP('Données projet'!$B$11,Paramètres!$A$1:$I$88,3,0)*0.475*44/12</f>
        <v>0.48131665291943132</v>
      </c>
      <c r="BR163" s="23">
        <f>EXP(-LN(2)/2)*BR162+(1-EXP(-LN(2)/2))/(LN(2)/2)*BL163*BO163*VLOOKUP('Données projet'!$B$11,Paramètres!$A$1:$I$88,3,0)*0.475*44/12</f>
        <v>7.527075428108409E-19</v>
      </c>
      <c r="BS163" s="24">
        <f t="shared" si="169"/>
        <v>0.71544203471170764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4.5474735088646412E-13</v>
      </c>
      <c r="O164" s="14">
        <f>N164*VLOOKUP('Données projet'!$B$9,Paramètres!$A$1:$I$88,3,0)*VLOOKUP('Données projet'!$B$9,Paramètres!$A$1:$I$88,5,0)</f>
        <v>2.5420376914553347E-13</v>
      </c>
      <c r="P164" s="14">
        <f t="shared" si="141"/>
        <v>3.4258699088369875E-12</v>
      </c>
      <c r="Q164" s="22">
        <f t="shared" si="162"/>
        <v>6.4094616558195571E-12</v>
      </c>
      <c r="R164" s="62">
        <f t="shared" si="109"/>
        <v>293.33333333333974</v>
      </c>
      <c r="S164" s="62">
        <f ca="1">AVERAGE(OFFSET($R$3,0,0,'Données projet'!$E$9+1,1))-AVERAGE(OFFSET($H$3,0,0,'Données projet'!$E$9+1,1))</f>
        <v>373.16487843768437</v>
      </c>
      <c r="T164" s="62">
        <f t="shared" si="142"/>
        <v>376.53494965377718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1.5353985310752363</v>
      </c>
      <c r="AA164" s="23">
        <f>EXP(-LN(2)/25)*AA163+(1-EXP(-LN(2)/25))/(LN(2)/25)*Calculateur!V164*Calculateur!X164*VLOOKUP('Données projet'!$B$9,Paramètres!$A$1:$I$88,3,0)*0.475*44/12</f>
        <v>0.87069529244248678</v>
      </c>
      <c r="AB164" s="23">
        <f>EXP(-LN(2)/2)*AB163+(1-EXP(-LN(2)/2))/(LN(2)/2)*V164*Y164*VLOOKUP('Données projet'!$B$9,Paramètres!$A$1:$I$88,3,0)*0.475*44/12</f>
        <v>4.8014469683375244E-19</v>
      </c>
      <c r="AC164" s="24">
        <f t="shared" si="163"/>
        <v>2.4060938235177232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projet'!$B$10,Paramètres!$A$1:$I$88,3,0)*VLOOKUP('Données projet'!$B$10,Paramètres!$A$1:$I$88,5,0)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210.04871822652808</v>
      </c>
      <c r="AO164" s="62">
        <f t="shared" si="144"/>
        <v>250.17540614049324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0.54534239581530553</v>
      </c>
      <c r="AV164" s="23">
        <f>EXP(-LN(2)/25)*AV163+(1-EXP(-LN(2)/25))/(LN(2)/25)*Calculateur!AQ164*Calculateur!AS164*VLOOKUP('Données projet'!$B$10,Paramètres!$A$1:$I$88,3,0)*0.475*44/12</f>
        <v>0.73642269584654385</v>
      </c>
      <c r="AW164" s="23">
        <f>EXP(-LN(2)/2)*AW163+(1-EXP(-LN(2)/2))/(LN(2)/2)*AQ164*AT164*VLOOKUP('Données projet'!$B$10,Paramètres!$A$1:$I$88,3,0)*0.475*44/12</f>
        <v>4.1310544631134109E-19</v>
      </c>
      <c r="AX164" s="23">
        <f t="shared" si="166"/>
        <v>1.2817650916618493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-2.8421709430404007E-14</v>
      </c>
      <c r="BE164" s="14">
        <f>BD164*VLOOKUP('Données projet'!$B$11,Paramètres!$A$1:$I$88,3,0)*VLOOKUP('Données projet'!$B$11,Paramètres!$A$1:$I$88,5,0)</f>
        <v>-2.4829205358400945E-14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223.81948236065614</v>
      </c>
      <c r="BJ164" s="62">
        <f t="shared" si="146"/>
        <v>320.1204011431372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0.22953432585771208</v>
      </c>
      <c r="BQ164" s="23">
        <f>EXP(-LN(2)/25)*BQ163+(1-EXP(-LN(2)/25))/(LN(2)/25)*Calculateur!BL164*Calculateur!BN164*VLOOKUP('Données projet'!$B$11,Paramètres!$A$1:$I$88,3,0)*0.475*44/12</f>
        <v>0.46815502373400675</v>
      </c>
      <c r="BR164" s="23">
        <f>EXP(-LN(2)/2)*BR163+(1-EXP(-LN(2)/2))/(LN(2)/2)*BL164*BO164*VLOOKUP('Données projet'!$B$11,Paramètres!$A$1:$I$88,3,0)*0.475*44/12</f>
        <v>5.3224460777180912E-19</v>
      </c>
      <c r="BS164" s="24">
        <f t="shared" si="169"/>
        <v>0.6976893495917188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4.5474735088646412E-13</v>
      </c>
      <c r="O165" s="14">
        <f>N165*VLOOKUP('Données projet'!$B$9,Paramètres!$A$1:$I$88,3,0)*VLOOKUP('Données projet'!$B$9,Paramètres!$A$1:$I$88,5,0)</f>
        <v>2.5420376914553347E-13</v>
      </c>
      <c r="P165" s="14">
        <f t="shared" si="141"/>
        <v>3.4258699088369875E-12</v>
      </c>
      <c r="Q165" s="22">
        <f t="shared" si="162"/>
        <v>6.4094616558195571E-12</v>
      </c>
      <c r="R165" s="62">
        <f t="shared" si="109"/>
        <v>293.33333333333974</v>
      </c>
      <c r="S165" s="62">
        <f ca="1">AVERAGE(OFFSET($R$3,0,0,'Données projet'!$E$9+1,1))-AVERAGE(OFFSET($H$3,0,0,'Données projet'!$E$9+1,1))</f>
        <v>373.16487843768437</v>
      </c>
      <c r="T165" s="62">
        <f t="shared" si="142"/>
        <v>376.53494965377718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1.505290302381483</v>
      </c>
      <c r="AA165" s="23">
        <f>EXP(-LN(2)/25)*AA164+(1-EXP(-LN(2)/25))/(LN(2)/25)*Calculateur!V165*Calculateur!X165*VLOOKUP('Données projet'!$B$9,Paramètres!$A$1:$I$88,3,0)*0.475*44/12</f>
        <v>0.84688608388277153</v>
      </c>
      <c r="AB165" s="23">
        <f>EXP(-LN(2)/2)*AB164+(1-EXP(-LN(2)/2))/(LN(2)/2)*V165*Y165*VLOOKUP('Données projet'!$B$9,Paramètres!$A$1:$I$88,3,0)*0.475*44/12</f>
        <v>3.3951357108190539E-19</v>
      </c>
      <c r="AC165" s="24">
        <f t="shared" si="163"/>
        <v>2.3521763862642544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projet'!$B$10,Paramètres!$A$1:$I$88,3,0)*VLOOKUP('Données projet'!$B$10,Paramètres!$A$1:$I$88,5,0)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210.04871822652808</v>
      </c>
      <c r="AO165" s="62">
        <f t="shared" si="144"/>
        <v>250.17540614049324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0.53464856405938477</v>
      </c>
      <c r="AV165" s="23">
        <f>EXP(-LN(2)/25)*AV164+(1-EXP(-LN(2)/25))/(LN(2)/25)*Calculateur!AQ165*Calculateur!AS165*VLOOKUP('Données projet'!$B$10,Paramètres!$A$1:$I$88,3,0)*0.475*44/12</f>
        <v>0.7162851785018336</v>
      </c>
      <c r="AW165" s="23">
        <f>EXP(-LN(2)/2)*AW164+(1-EXP(-LN(2)/2))/(LN(2)/2)*AQ165*AT165*VLOOKUP('Données projet'!$B$10,Paramètres!$A$1:$I$88,3,0)*0.475*44/12</f>
        <v>2.9210966243184452E-19</v>
      </c>
      <c r="AX165" s="23">
        <f t="shared" si="166"/>
        <v>1.2509337425612184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-2.8421709430404007E-14</v>
      </c>
      <c r="BE165" s="14">
        <f>BD165*VLOOKUP('Données projet'!$B$11,Paramètres!$A$1:$I$88,3,0)*VLOOKUP('Données projet'!$B$11,Paramètres!$A$1:$I$88,5,0)</f>
        <v>-2.4829205358400945E-14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223.81948236065614</v>
      </c>
      <c r="BJ165" s="62">
        <f t="shared" si="146"/>
        <v>320.1204011431372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0.22503329772975705</v>
      </c>
      <c r="BQ165" s="23">
        <f>EXP(-LN(2)/25)*BQ164+(1-EXP(-LN(2)/25))/(LN(2)/25)*Calculateur!BL165*Calculateur!BN165*VLOOKUP('Données projet'!$B$11,Paramètres!$A$1:$I$88,3,0)*0.475*44/12</f>
        <v>0.4553532999907976</v>
      </c>
      <c r="BR165" s="23">
        <f>EXP(-LN(2)/2)*BR164+(1-EXP(-LN(2)/2))/(LN(2)/2)*BL165*BO165*VLOOKUP('Données projet'!$B$11,Paramètres!$A$1:$I$88,3,0)*0.475*44/12</f>
        <v>3.7635377140542045E-19</v>
      </c>
      <c r="BS165" s="24">
        <f t="shared" si="169"/>
        <v>0.68038659772055465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4.5474735088646412E-13</v>
      </c>
      <c r="O166" s="14">
        <f>N166*VLOOKUP('Données projet'!$B$9,Paramètres!$A$1:$I$88,3,0)*VLOOKUP('Données projet'!$B$9,Paramètres!$A$1:$I$88,5,0)</f>
        <v>2.5420376914553347E-13</v>
      </c>
      <c r="P166" s="14">
        <f t="shared" si="141"/>
        <v>3.4258699088369875E-12</v>
      </c>
      <c r="Q166" s="22">
        <f t="shared" si="162"/>
        <v>6.4094616558195571E-12</v>
      </c>
      <c r="R166" s="62">
        <f t="shared" si="109"/>
        <v>293.33333333333974</v>
      </c>
      <c r="S166" s="62">
        <f ca="1">AVERAGE(OFFSET($R$3,0,0,'Données projet'!$E$9+1,1))-AVERAGE(OFFSET($H$3,0,0,'Données projet'!$E$9+1,1))</f>
        <v>373.16487843768437</v>
      </c>
      <c r="T166" s="62">
        <f t="shared" si="142"/>
        <v>376.53494965377718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1.4757724776882082</v>
      </c>
      <c r="AA166" s="23">
        <f>EXP(-LN(2)/25)*AA165+(1-EXP(-LN(2)/25))/(LN(2)/25)*Calculateur!V166*Calculateur!X166*VLOOKUP('Données projet'!$B$9,Paramètres!$A$1:$I$88,3,0)*0.475*44/12</f>
        <v>0.82372793938319355</v>
      </c>
      <c r="AB166" s="23">
        <f>EXP(-LN(2)/2)*AB165+(1-EXP(-LN(2)/2))/(LN(2)/2)*V166*Y166*VLOOKUP('Données projet'!$B$9,Paramètres!$A$1:$I$88,3,0)*0.475*44/12</f>
        <v>2.4007234841687622E-19</v>
      </c>
      <c r="AC166" s="24">
        <f t="shared" si="163"/>
        <v>2.2995004170714015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projet'!$B$10,Paramètres!$A$1:$I$88,3,0)*VLOOKUP('Données projet'!$B$10,Paramètres!$A$1:$I$88,5,0)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210.04871822652808</v>
      </c>
      <c r="AO166" s="62">
        <f t="shared" si="144"/>
        <v>250.17540614049324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0.52416443182160422</v>
      </c>
      <c r="AV166" s="23">
        <f>EXP(-LN(2)/25)*AV165+(1-EXP(-LN(2)/25))/(LN(2)/25)*Calculateur!AQ166*Calculateur!AS166*VLOOKUP('Données projet'!$B$10,Paramètres!$A$1:$I$88,3,0)*0.475*44/12</f>
        <v>0.69669832262790055</v>
      </c>
      <c r="AW166" s="23">
        <f>EXP(-LN(2)/2)*AW165+(1-EXP(-LN(2)/2))/(LN(2)/2)*AQ166*AT166*VLOOKUP('Données projet'!$B$10,Paramètres!$A$1:$I$88,3,0)*0.475*44/12</f>
        <v>2.0655272315567055E-19</v>
      </c>
      <c r="AX166" s="23">
        <f t="shared" si="166"/>
        <v>1.2208627544495048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-2.8421709430404007E-14</v>
      </c>
      <c r="BE166" s="14">
        <f>BD166*VLOOKUP('Données projet'!$B$11,Paramètres!$A$1:$I$88,3,0)*VLOOKUP('Données projet'!$B$11,Paramètres!$A$1:$I$88,5,0)</f>
        <v>-2.4829205358400945E-14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223.81948236065614</v>
      </c>
      <c r="BJ166" s="62">
        <f t="shared" si="146"/>
        <v>320.1204011431372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0.22062053201803516</v>
      </c>
      <c r="BQ166" s="23">
        <f>EXP(-LN(2)/25)*BQ165+(1-EXP(-LN(2)/25))/(LN(2)/25)*Calculateur!BL166*Calculateur!BN166*VLOOKUP('Données projet'!$B$11,Paramètres!$A$1:$I$88,3,0)*0.475*44/12</f>
        <v>0.44290164005655991</v>
      </c>
      <c r="BR166" s="23">
        <f>EXP(-LN(2)/2)*BR165+(1-EXP(-LN(2)/2))/(LN(2)/2)*BL166*BO166*VLOOKUP('Données projet'!$B$11,Paramètres!$A$1:$I$88,3,0)*0.475*44/12</f>
        <v>2.6612230388590456E-19</v>
      </c>
      <c r="BS166" s="24">
        <f t="shared" si="169"/>
        <v>0.66352217207459507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4.5474735088646412E-13</v>
      </c>
      <c r="O167" s="14">
        <f>N167*VLOOKUP('Données projet'!$B$9,Paramètres!$A$1:$I$88,3,0)*VLOOKUP('Données projet'!$B$9,Paramètres!$A$1:$I$88,5,0)</f>
        <v>2.5420376914553347E-13</v>
      </c>
      <c r="P167" s="14">
        <f t="shared" si="141"/>
        <v>3.4258699088369875E-12</v>
      </c>
      <c r="Q167" s="22">
        <f t="shared" si="162"/>
        <v>6.4094616558195571E-12</v>
      </c>
      <c r="R167" s="62">
        <f t="shared" si="109"/>
        <v>293.33333333333974</v>
      </c>
      <c r="S167" s="62">
        <f ca="1">AVERAGE(OFFSET($R$3,0,0,'Données projet'!$E$9+1,1))-AVERAGE(OFFSET($H$3,0,0,'Données projet'!$E$9+1,1))</f>
        <v>373.16487843768437</v>
      </c>
      <c r="T167" s="62">
        <f t="shared" si="142"/>
        <v>376.53494965377718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1.4468334795330731</v>
      </c>
      <c r="AA167" s="23">
        <f>EXP(-LN(2)/25)*AA166+(1-EXP(-LN(2)/25))/(LN(2)/25)*Calculateur!V167*Calculateur!X167*VLOOKUP('Données projet'!$B$9,Paramètres!$A$1:$I$88,3,0)*0.475*44/12</f>
        <v>0.80120305556279048</v>
      </c>
      <c r="AB167" s="23">
        <f>EXP(-LN(2)/2)*AB166+(1-EXP(-LN(2)/2))/(LN(2)/2)*V167*Y167*VLOOKUP('Données projet'!$B$9,Paramètres!$A$1:$I$88,3,0)*0.475*44/12</f>
        <v>1.6975678554095269E-19</v>
      </c>
      <c r="AC167" s="24">
        <f t="shared" si="163"/>
        <v>2.2480365350958635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projet'!$B$10,Paramètres!$A$1:$I$88,3,0)*VLOOKUP('Données projet'!$B$10,Paramètres!$A$1:$I$88,5,0)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210.04871822652808</v>
      </c>
      <c r="AO167" s="62">
        <f t="shared" si="144"/>
        <v>250.17540614049324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0.5138858870223173</v>
      </c>
      <c r="AV167" s="23">
        <f>EXP(-LN(2)/25)*AV166+(1-EXP(-LN(2)/25))/(LN(2)/25)*Calculateur!AQ167*Calculateur!AS167*VLOOKUP('Données projet'!$B$10,Paramètres!$A$1:$I$88,3,0)*0.475*44/12</f>
        <v>0.6776470703578682</v>
      </c>
      <c r="AW167" s="23">
        <f>EXP(-LN(2)/2)*AW166+(1-EXP(-LN(2)/2))/(LN(2)/2)*AQ167*AT167*VLOOKUP('Données projet'!$B$10,Paramètres!$A$1:$I$88,3,0)*0.475*44/12</f>
        <v>1.4605483121592226E-19</v>
      </c>
      <c r="AX167" s="23">
        <f t="shared" si="166"/>
        <v>1.1915329573801854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-2.8421709430404007E-14</v>
      </c>
      <c r="BE167" s="14">
        <f>BD167*VLOOKUP('Données projet'!$B$11,Paramètres!$A$1:$I$88,3,0)*VLOOKUP('Données projet'!$B$11,Paramètres!$A$1:$I$88,5,0)</f>
        <v>-2.4829205358400945E-14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223.81948236065614</v>
      </c>
      <c r="BJ167" s="62">
        <f t="shared" si="146"/>
        <v>320.1204011431372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0.21629429795039881</v>
      </c>
      <c r="BQ167" s="23">
        <f>EXP(-LN(2)/25)*BQ166+(1-EXP(-LN(2)/25))/(LN(2)/25)*Calculateur!BL167*Calculateur!BN167*VLOOKUP('Données projet'!$B$11,Paramètres!$A$1:$I$88,3,0)*0.475*44/12</f>
        <v>0.43079047141802829</v>
      </c>
      <c r="BR167" s="23">
        <f>EXP(-LN(2)/2)*BR166+(1-EXP(-LN(2)/2))/(LN(2)/2)*BL167*BO167*VLOOKUP('Données projet'!$B$11,Paramètres!$A$1:$I$88,3,0)*0.475*44/12</f>
        <v>1.8817688570271023E-19</v>
      </c>
      <c r="BS167" s="24">
        <f t="shared" si="169"/>
        <v>0.64708476936842707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4.5474735088646412E-13</v>
      </c>
      <c r="O168" s="14">
        <f>N168*VLOOKUP('Données projet'!$B$9,Paramètres!$A$1:$I$88,3,0)*VLOOKUP('Données projet'!$B$9,Paramètres!$A$1:$I$88,5,0)</f>
        <v>2.5420376914553347E-13</v>
      </c>
      <c r="P168" s="14">
        <f t="shared" si="141"/>
        <v>3.4258699088369875E-12</v>
      </c>
      <c r="Q168" s="22">
        <f t="shared" si="162"/>
        <v>6.4094616558195571E-12</v>
      </c>
      <c r="R168" s="62">
        <f t="shared" si="109"/>
        <v>293.33333333333974</v>
      </c>
      <c r="S168" s="62">
        <f ca="1">AVERAGE(OFFSET($R$3,0,0,'Données projet'!$E$9+1,1))-AVERAGE(OFFSET($H$3,0,0,'Données projet'!$E$9+1,1))</f>
        <v>373.16487843768437</v>
      </c>
      <c r="T168" s="62">
        <f t="shared" si="142"/>
        <v>376.53494965377718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1.4184619574807142</v>
      </c>
      <c r="AA168" s="23">
        <f>EXP(-LN(2)/25)*AA167+(1-EXP(-LN(2)/25))/(LN(2)/25)*Calculateur!V168*Calculateur!X168*VLOOKUP('Données projet'!$B$9,Paramètres!$A$1:$I$88,3,0)*0.475*44/12</f>
        <v>0.77929411587498842</v>
      </c>
      <c r="AB168" s="23">
        <f>EXP(-LN(2)/2)*AB167+(1-EXP(-LN(2)/2))/(LN(2)/2)*V168*Y168*VLOOKUP('Données projet'!$B$9,Paramètres!$A$1:$I$88,3,0)*0.475*44/12</f>
        <v>1.2003617420843811E-19</v>
      </c>
      <c r="AC168" s="24">
        <f t="shared" si="163"/>
        <v>2.1977560733557029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projet'!$B$10,Paramètres!$A$1:$I$88,3,0)*VLOOKUP('Données projet'!$B$10,Paramètres!$A$1:$I$88,5,0)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210.04871822652808</v>
      </c>
      <c r="AO168" s="62">
        <f t="shared" si="144"/>
        <v>250.17540614049324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0.50380889821725117</v>
      </c>
      <c r="AV168" s="23">
        <f>EXP(-LN(2)/25)*AV167+(1-EXP(-LN(2)/25))/(LN(2)/25)*Calculateur!AQ168*Calculateur!AS168*VLOOKUP('Données projet'!$B$10,Paramètres!$A$1:$I$88,3,0)*0.475*44/12</f>
        <v>0.65911677558302162</v>
      </c>
      <c r="AW168" s="23">
        <f>EXP(-LN(2)/2)*AW167+(1-EXP(-LN(2)/2))/(LN(2)/2)*AQ168*AT168*VLOOKUP('Données projet'!$B$10,Paramètres!$A$1:$I$88,3,0)*0.475*44/12</f>
        <v>1.0327636157783527E-19</v>
      </c>
      <c r="AX168" s="23">
        <f t="shared" si="166"/>
        <v>1.1629256738002729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-2.8421709430404007E-14</v>
      </c>
      <c r="BE168" s="14">
        <f>BD168*VLOOKUP('Données projet'!$B$11,Paramètres!$A$1:$I$88,3,0)*VLOOKUP('Données projet'!$B$11,Paramètres!$A$1:$I$88,5,0)</f>
        <v>-2.4829205358400945E-14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223.81948236065614</v>
      </c>
      <c r="BJ168" s="62">
        <f t="shared" si="146"/>
        <v>320.1204011431372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0.21205289869408658</v>
      </c>
      <c r="BQ168" s="23">
        <f>EXP(-LN(2)/25)*BQ167+(1-EXP(-LN(2)/25))/(LN(2)/25)*Calculateur!BL168*Calculateur!BN168*VLOOKUP('Données projet'!$B$11,Paramètres!$A$1:$I$88,3,0)*0.475*44/12</f>
        <v>0.41901048332281599</v>
      </c>
      <c r="BR168" s="23">
        <f>EXP(-LN(2)/2)*BR167+(1-EXP(-LN(2)/2))/(LN(2)/2)*BL168*BO168*VLOOKUP('Données projet'!$B$11,Paramètres!$A$1:$I$88,3,0)*0.475*44/12</f>
        <v>1.3306115194295228E-19</v>
      </c>
      <c r="BS168" s="24">
        <f t="shared" si="169"/>
        <v>0.6310633820169026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4.5474735088646412E-13</v>
      </c>
      <c r="O169" s="14">
        <f>N169*VLOOKUP('Données projet'!$B$9,Paramètres!$A$1:$I$88,3,0)*VLOOKUP('Données projet'!$B$9,Paramètres!$A$1:$I$88,5,0)</f>
        <v>2.5420376914553347E-13</v>
      </c>
      <c r="P169" s="14">
        <f t="shared" si="141"/>
        <v>3.4258699088369875E-12</v>
      </c>
      <c r="Q169" s="22">
        <f t="shared" si="162"/>
        <v>6.4094616558195571E-12</v>
      </c>
      <c r="R169" s="62">
        <f t="shared" si="109"/>
        <v>293.33333333333974</v>
      </c>
      <c r="S169" s="62">
        <f ca="1">AVERAGE(OFFSET($R$3,0,0,'Données projet'!$E$9+1,1))-AVERAGE(OFFSET($H$3,0,0,'Données projet'!$E$9+1,1))</f>
        <v>373.16487843768437</v>
      </c>
      <c r="T169" s="62">
        <f t="shared" si="142"/>
        <v>376.53494965377718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1.3906467836708825</v>
      </c>
      <c r="AA169" s="23">
        <f>EXP(-LN(2)/25)*AA168+(1-EXP(-LN(2)/25))/(LN(2)/25)*Calculateur!V169*Calculateur!X169*VLOOKUP('Données projet'!$B$9,Paramètres!$A$1:$I$88,3,0)*0.475*44/12</f>
        <v>0.75798427729509044</v>
      </c>
      <c r="AB169" s="23">
        <f>EXP(-LN(2)/2)*AB168+(1-EXP(-LN(2)/2))/(LN(2)/2)*V169*Y169*VLOOKUP('Données projet'!$B$9,Paramètres!$A$1:$I$88,3,0)*0.475*44/12</f>
        <v>8.4878392770476347E-20</v>
      </c>
      <c r="AC169" s="24">
        <f t="shared" si="163"/>
        <v>2.1486310609659727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projet'!$B$10,Paramètres!$A$1:$I$88,3,0)*VLOOKUP('Données projet'!$B$10,Paramètres!$A$1:$I$88,5,0)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210.04871822652808</v>
      </c>
      <c r="AO169" s="62">
        <f t="shared" si="144"/>
        <v>250.17540614049324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0.49392951301629612</v>
      </c>
      <c r="AV169" s="23">
        <f>EXP(-LN(2)/25)*AV168+(1-EXP(-LN(2)/25))/(LN(2)/25)*Calculateur!AQ169*Calculateur!AS169*VLOOKUP('Données projet'!$B$10,Paramètres!$A$1:$I$88,3,0)*0.475*44/12</f>
        <v>0.64109319269325915</v>
      </c>
      <c r="AW169" s="23">
        <f>EXP(-LN(2)/2)*AW168+(1-EXP(-LN(2)/2))/(LN(2)/2)*AQ169*AT169*VLOOKUP('Données projet'!$B$10,Paramètres!$A$1:$I$88,3,0)*0.475*44/12</f>
        <v>7.302741560796113E-20</v>
      </c>
      <c r="AX169" s="23">
        <f t="shared" si="166"/>
        <v>1.1350227057095552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-2.8421709430404007E-14</v>
      </c>
      <c r="BE169" s="14">
        <f>BD169*VLOOKUP('Données projet'!$B$11,Paramètres!$A$1:$I$88,3,0)*VLOOKUP('Données projet'!$B$11,Paramètres!$A$1:$I$88,5,0)</f>
        <v>-2.4829205358400945E-14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223.81948236065614</v>
      </c>
      <c r="BJ169" s="62">
        <f t="shared" si="146"/>
        <v>320.1204011431372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0.20789467069019255</v>
      </c>
      <c r="BQ169" s="23">
        <f>EXP(-LN(2)/25)*BQ168+(1-EXP(-LN(2)/25))/(LN(2)/25)*Calculateur!BL169*Calculateur!BN169*VLOOKUP('Données projet'!$B$11,Paramètres!$A$1:$I$88,3,0)*0.475*44/12</f>
        <v>0.40755261962154993</v>
      </c>
      <c r="BR169" s="23">
        <f>EXP(-LN(2)/2)*BR168+(1-EXP(-LN(2)/2))/(LN(2)/2)*BL169*BO169*VLOOKUP('Données projet'!$B$11,Paramètres!$A$1:$I$88,3,0)*0.475*44/12</f>
        <v>9.4088442851355113E-20</v>
      </c>
      <c r="BS169" s="24">
        <f t="shared" si="169"/>
        <v>0.6154472903117425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4.5474735088646412E-13</v>
      </c>
      <c r="O170" s="14">
        <f>N170*VLOOKUP('Données projet'!$B$9,Paramètres!$A$1:$I$88,3,0)*VLOOKUP('Données projet'!$B$9,Paramètres!$A$1:$I$88,5,0)</f>
        <v>2.5420376914553347E-13</v>
      </c>
      <c r="P170" s="14">
        <f t="shared" si="141"/>
        <v>3.4258699088369875E-12</v>
      </c>
      <c r="Q170" s="22">
        <f t="shared" si="162"/>
        <v>6.4094616558195571E-12</v>
      </c>
      <c r="R170" s="62">
        <f t="shared" si="109"/>
        <v>293.33333333333974</v>
      </c>
      <c r="S170" s="62">
        <f ca="1">AVERAGE(OFFSET($R$3,0,0,'Données projet'!$E$9+1,1))-AVERAGE(OFFSET($H$3,0,0,'Données projet'!$E$9+1,1))</f>
        <v>373.16487843768437</v>
      </c>
      <c r="T170" s="62">
        <f t="shared" si="142"/>
        <v>376.53494965377718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1.3633770484538805</v>
      </c>
      <c r="AA170" s="23">
        <f>EXP(-LN(2)/25)*AA169+(1-EXP(-LN(2)/25))/(LN(2)/25)*Calculateur!V170*Calculateur!X170*VLOOKUP('Données projet'!$B$9,Paramètres!$A$1:$I$88,3,0)*0.475*44/12</f>
        <v>0.73725715737179542</v>
      </c>
      <c r="AB170" s="23">
        <f>EXP(-LN(2)/2)*AB169+(1-EXP(-LN(2)/2))/(LN(2)/2)*V170*Y170*VLOOKUP('Données projet'!$B$9,Paramètres!$A$1:$I$88,3,0)*0.475*44/12</f>
        <v>6.0018087104219055E-20</v>
      </c>
      <c r="AC170" s="24">
        <f t="shared" si="163"/>
        <v>2.1006342058256759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projet'!$B$10,Paramètres!$A$1:$I$88,3,0)*VLOOKUP('Données projet'!$B$10,Paramètres!$A$1:$I$88,5,0)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210.04871822652808</v>
      </c>
      <c r="AO170" s="62">
        <f t="shared" si="144"/>
        <v>250.17540614049324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0.48424385653330182</v>
      </c>
      <c r="AV170" s="23">
        <f>EXP(-LN(2)/25)*AV169+(1-EXP(-LN(2)/25))/(LN(2)/25)*Calculateur!AQ170*Calculateur!AS170*VLOOKUP('Données projet'!$B$10,Paramètres!$A$1:$I$88,3,0)*0.475*44/12</f>
        <v>0.62356246562543627</v>
      </c>
      <c r="AW170" s="23">
        <f>EXP(-LN(2)/2)*AW169+(1-EXP(-LN(2)/2))/(LN(2)/2)*AQ170*AT170*VLOOKUP('Données projet'!$B$10,Paramètres!$A$1:$I$88,3,0)*0.475*44/12</f>
        <v>5.1638180788917637E-20</v>
      </c>
      <c r="AX170" s="23">
        <f t="shared" si="166"/>
        <v>1.107806322158738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-2.8421709430404007E-14</v>
      </c>
      <c r="BE170" s="14">
        <f>BD170*VLOOKUP('Données projet'!$B$11,Paramètres!$A$1:$I$88,3,0)*VLOOKUP('Données projet'!$B$11,Paramètres!$A$1:$I$88,5,0)</f>
        <v>-2.4829205358400945E-14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223.81948236065614</v>
      </c>
      <c r="BJ170" s="62">
        <f t="shared" si="146"/>
        <v>320.1204011431372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0.2038179830011862</v>
      </c>
      <c r="BQ170" s="23">
        <f>EXP(-LN(2)/25)*BQ169+(1-EXP(-LN(2)/25))/(LN(2)/25)*Calculateur!BL170*Calculateur!BN170*VLOOKUP('Données projet'!$B$11,Paramètres!$A$1:$I$88,3,0)*0.475*44/12</f>
        <v>0.39640807180573784</v>
      </c>
      <c r="BR170" s="23">
        <f>EXP(-LN(2)/2)*BR169+(1-EXP(-LN(2)/2))/(LN(2)/2)*BL170*BO170*VLOOKUP('Données projet'!$B$11,Paramètres!$A$1:$I$88,3,0)*0.475*44/12</f>
        <v>6.653057597147614E-20</v>
      </c>
      <c r="BS170" s="24">
        <f t="shared" si="169"/>
        <v>0.60022605480692404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4.5474735088646412E-13</v>
      </c>
      <c r="O171" s="14">
        <f>N171*VLOOKUP('Données projet'!$B$9,Paramètres!$A$1:$I$88,3,0)*VLOOKUP('Données projet'!$B$9,Paramètres!$A$1:$I$88,5,0)</f>
        <v>2.5420376914553347E-13</v>
      </c>
      <c r="P171" s="14">
        <f t="shared" si="141"/>
        <v>3.4258699088369875E-12</v>
      </c>
      <c r="Q171" s="22">
        <f t="shared" si="162"/>
        <v>6.4094616558195571E-12</v>
      </c>
      <c r="R171" s="62">
        <f t="shared" si="109"/>
        <v>293.33333333333974</v>
      </c>
      <c r="S171" s="62">
        <f ca="1">AVERAGE(OFFSET($R$3,0,0,'Données projet'!$E$9+1,1))-AVERAGE(OFFSET($H$3,0,0,'Données projet'!$E$9+1,1))</f>
        <v>373.16487843768437</v>
      </c>
      <c r="T171" s="62">
        <f t="shared" si="142"/>
        <v>376.53494965377718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1.3366420561115879</v>
      </c>
      <c r="AA171" s="23">
        <f>EXP(-LN(2)/25)*AA170+(1-EXP(-LN(2)/25))/(LN(2)/25)*Calculateur!V171*Calculateur!X171*VLOOKUP('Données projet'!$B$9,Paramètres!$A$1:$I$88,3,0)*0.475*44/12</f>
        <v>0.71709682163279476</v>
      </c>
      <c r="AB171" s="23">
        <f>EXP(-LN(2)/2)*AB170+(1-EXP(-LN(2)/2))/(LN(2)/2)*V171*Y171*VLOOKUP('Données projet'!$B$9,Paramètres!$A$1:$I$88,3,0)*0.475*44/12</f>
        <v>4.2439196385238174E-20</v>
      </c>
      <c r="AC171" s="24">
        <f t="shared" si="163"/>
        <v>2.0537388777443826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projet'!$B$10,Paramètres!$A$1:$I$88,3,0)*VLOOKUP('Données projet'!$B$10,Paramètres!$A$1:$I$88,5,0)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210.04871822652808</v>
      </c>
      <c r="AO171" s="62">
        <f t="shared" si="144"/>
        <v>250.17540614049324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0.47474812986627191</v>
      </c>
      <c r="AV171" s="23">
        <f>EXP(-LN(2)/25)*AV170+(1-EXP(-LN(2)/25))/(LN(2)/25)*Calculateur!AQ171*Calculateur!AS171*VLOOKUP('Données projet'!$B$10,Paramètres!$A$1:$I$88,3,0)*0.475*44/12</f>
        <v>0.60651111721118378</v>
      </c>
      <c r="AW171" s="23">
        <f>EXP(-LN(2)/2)*AW170+(1-EXP(-LN(2)/2))/(LN(2)/2)*AQ171*AT171*VLOOKUP('Données projet'!$B$10,Paramètres!$A$1:$I$88,3,0)*0.475*44/12</f>
        <v>3.6513707803980565E-20</v>
      </c>
      <c r="AX171" s="23">
        <f t="shared" si="166"/>
        <v>1.0812592470774556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-2.8421709430404007E-14</v>
      </c>
      <c r="BE171" s="14">
        <f>BD171*VLOOKUP('Données projet'!$B$11,Paramètres!$A$1:$I$88,3,0)*VLOOKUP('Données projet'!$B$11,Paramètres!$A$1:$I$88,5,0)</f>
        <v>-2.4829205358400945E-14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223.81948236065614</v>
      </c>
      <c r="BJ171" s="62">
        <f t="shared" si="146"/>
        <v>320.1204011431372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0.19982123667122731</v>
      </c>
      <c r="BQ171" s="23">
        <f>EXP(-LN(2)/25)*BQ170+(1-EXP(-LN(2)/25))/(LN(2)/25)*Calculateur!BL171*Calculateur!BN171*VLOOKUP('Données projet'!$B$11,Paramètres!$A$1:$I$88,3,0)*0.475*44/12</f>
        <v>0.38556827223601542</v>
      </c>
      <c r="BR171" s="23">
        <f>EXP(-LN(2)/2)*BR170+(1-EXP(-LN(2)/2))/(LN(2)/2)*BL171*BO171*VLOOKUP('Données projet'!$B$11,Paramètres!$A$1:$I$88,3,0)*0.475*44/12</f>
        <v>4.7044221425677556E-20</v>
      </c>
      <c r="BS171" s="24">
        <f t="shared" si="169"/>
        <v>0.58538950890724273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4.5474735088646412E-13</v>
      </c>
      <c r="O172" s="14">
        <f>N172*VLOOKUP('Données projet'!$B$9,Paramètres!$A$1:$I$88,3,0)*VLOOKUP('Données projet'!$B$9,Paramètres!$A$1:$I$88,5,0)</f>
        <v>2.5420376914553347E-13</v>
      </c>
      <c r="P172" s="14">
        <f t="shared" si="141"/>
        <v>3.4258699088369875E-12</v>
      </c>
      <c r="Q172" s="22">
        <f t="shared" si="162"/>
        <v>6.4094616558195571E-12</v>
      </c>
      <c r="R172" s="62">
        <f t="shared" si="109"/>
        <v>293.33333333333974</v>
      </c>
      <c r="S172" s="62">
        <f ca="1">AVERAGE(OFFSET($R$3,0,0,'Données projet'!$E$9+1,1))-AVERAGE(OFFSET($H$3,0,0,'Données projet'!$E$9+1,1))</f>
        <v>373.16487843768437</v>
      </c>
      <c r="T172" s="62">
        <f t="shared" si="142"/>
        <v>376.53494965377718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1.3104313206623925</v>
      </c>
      <c r="AA172" s="23">
        <f>EXP(-LN(2)/25)*AA171+(1-EXP(-LN(2)/25))/(LN(2)/25)*Calculateur!V172*Calculateur!X172*VLOOKUP('Données projet'!$B$9,Paramètres!$A$1:$I$88,3,0)*0.475*44/12</f>
        <v>0.69748777133476303</v>
      </c>
      <c r="AB172" s="23">
        <f>EXP(-LN(2)/2)*AB171+(1-EXP(-LN(2)/2))/(LN(2)/2)*V172*Y172*VLOOKUP('Données projet'!$B$9,Paramètres!$A$1:$I$88,3,0)*0.475*44/12</f>
        <v>3.0009043552109528E-20</v>
      </c>
      <c r="AC172" s="24">
        <f t="shared" si="163"/>
        <v>2.0079190919971555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projet'!$B$10,Paramètres!$A$1:$I$88,3,0)*VLOOKUP('Données projet'!$B$10,Paramètres!$A$1:$I$88,5,0)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210.04871822652808</v>
      </c>
      <c r="AO172" s="62">
        <f t="shared" si="144"/>
        <v>250.17540614049324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0.46543860860736108</v>
      </c>
      <c r="AV172" s="23">
        <f>EXP(-LN(2)/25)*AV171+(1-EXP(-LN(2)/25))/(LN(2)/25)*Calculateur!AQ172*Calculateur!AS172*VLOOKUP('Données projet'!$B$10,Paramètres!$A$1:$I$88,3,0)*0.475*44/12</f>
        <v>0.58992603881601047</v>
      </c>
      <c r="AW172" s="23">
        <f>EXP(-LN(2)/2)*AW171+(1-EXP(-LN(2)/2))/(LN(2)/2)*AQ172*AT172*VLOOKUP('Données projet'!$B$10,Paramètres!$A$1:$I$88,3,0)*0.475*44/12</f>
        <v>2.5819090394458818E-20</v>
      </c>
      <c r="AX172" s="23">
        <f t="shared" si="166"/>
        <v>1.0553646474233715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-2.8421709430404007E-14</v>
      </c>
      <c r="BE172" s="14">
        <f>BD172*VLOOKUP('Données projet'!$B$11,Paramètres!$A$1:$I$88,3,0)*VLOOKUP('Données projet'!$B$11,Paramètres!$A$1:$I$88,5,0)</f>
        <v>-2.4829205358400945E-14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223.81948236065614</v>
      </c>
      <c r="BJ172" s="62">
        <f t="shared" si="146"/>
        <v>320.1204011431372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0.19590286409902435</v>
      </c>
      <c r="BQ172" s="23">
        <f>EXP(-LN(2)/25)*BQ171+(1-EXP(-LN(2)/25))/(LN(2)/25)*Calculateur!BL172*Calculateur!BN172*VLOOKUP('Données projet'!$B$11,Paramètres!$A$1:$I$88,3,0)*0.475*44/12</f>
        <v>0.37502488755556734</v>
      </c>
      <c r="BR172" s="23">
        <f>EXP(-LN(2)/2)*BR171+(1-EXP(-LN(2)/2))/(LN(2)/2)*BL172*BO172*VLOOKUP('Données projet'!$B$11,Paramètres!$A$1:$I$88,3,0)*0.475*44/12</f>
        <v>3.326528798573807E-20</v>
      </c>
      <c r="BS172" s="24">
        <f t="shared" si="169"/>
        <v>0.57092775165459164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4.5474735088646412E-13</v>
      </c>
      <c r="O173" s="14">
        <f>N173*VLOOKUP('Données projet'!$B$9,Paramètres!$A$1:$I$88,3,0)*VLOOKUP('Données projet'!$B$9,Paramètres!$A$1:$I$88,5,0)</f>
        <v>2.5420376914553347E-13</v>
      </c>
      <c r="P173" s="14">
        <f t="shared" si="141"/>
        <v>3.4258699088369875E-12</v>
      </c>
      <c r="Q173" s="22">
        <f t="shared" si="162"/>
        <v>6.4094616558195571E-12</v>
      </c>
      <c r="R173" s="62">
        <f t="shared" si="109"/>
        <v>293.33333333333974</v>
      </c>
      <c r="S173" s="62">
        <f ca="1">AVERAGE(OFFSET($R$3,0,0,'Données projet'!$E$9+1,1))-AVERAGE(OFFSET($H$3,0,0,'Données projet'!$E$9+1,1))</f>
        <v>373.16487843768437</v>
      </c>
      <c r="T173" s="62">
        <f t="shared" si="142"/>
        <v>376.53494965377718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1.2847345617483859</v>
      </c>
      <c r="AA173" s="23">
        <f>EXP(-LN(2)/25)*AA172+(1-EXP(-LN(2)/25))/(LN(2)/25)*Calculateur!V173*Calculateur!X173*VLOOKUP('Données projet'!$B$9,Paramètres!$A$1:$I$88,3,0)*0.475*44/12</f>
        <v>0.67841493154832622</v>
      </c>
      <c r="AB173" s="23">
        <f>EXP(-LN(2)/2)*AB172+(1-EXP(-LN(2)/2))/(LN(2)/2)*V173*Y173*VLOOKUP('Données projet'!$B$9,Paramètres!$A$1:$I$88,3,0)*0.475*44/12</f>
        <v>2.1219598192619087E-20</v>
      </c>
      <c r="AC173" s="24">
        <f t="shared" si="163"/>
        <v>1.963149493296712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projet'!$B$10,Paramètres!$A$1:$I$88,3,0)*VLOOKUP('Données projet'!$B$10,Paramètres!$A$1:$I$88,5,0)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210.04871822652808</v>
      </c>
      <c r="AO173" s="62">
        <f t="shared" si="144"/>
        <v>250.17540614049324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0.45631164138209024</v>
      </c>
      <c r="AV173" s="23">
        <f>EXP(-LN(2)/25)*AV172+(1-EXP(-LN(2)/25))/(LN(2)/25)*Calculateur!AQ173*Calculateur!AS173*VLOOKUP('Données projet'!$B$10,Paramètres!$A$1:$I$88,3,0)*0.475*44/12</f>
        <v>0.57379448026172453</v>
      </c>
      <c r="AW173" s="23">
        <f>EXP(-LN(2)/2)*AW172+(1-EXP(-LN(2)/2))/(LN(2)/2)*AQ173*AT173*VLOOKUP('Données projet'!$B$10,Paramètres!$A$1:$I$88,3,0)*0.475*44/12</f>
        <v>1.8256853901990282E-20</v>
      </c>
      <c r="AX173" s="23">
        <f t="shared" si="166"/>
        <v>1.0301061216438148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-2.8421709430404007E-14</v>
      </c>
      <c r="BE173" s="14">
        <f>BD173*VLOOKUP('Données projet'!$B$11,Paramètres!$A$1:$I$88,3,0)*VLOOKUP('Données projet'!$B$11,Paramètres!$A$1:$I$88,5,0)</f>
        <v>-2.4829205358400945E-14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223.81948236065614</v>
      </c>
      <c r="BJ173" s="62">
        <f t="shared" si="146"/>
        <v>320.1204011431372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0.19206132842299103</v>
      </c>
      <c r="BQ173" s="23">
        <f>EXP(-LN(2)/25)*BQ172+(1-EXP(-LN(2)/25))/(LN(2)/25)*Calculateur!BL173*Calculateur!BN173*VLOOKUP('Données projet'!$B$11,Paramètres!$A$1:$I$88,3,0)*0.475*44/12</f>
        <v>0.36476981228365862</v>
      </c>
      <c r="BR173" s="23">
        <f>EXP(-LN(2)/2)*BR172+(1-EXP(-LN(2)/2))/(LN(2)/2)*BL173*BO173*VLOOKUP('Données projet'!$B$11,Paramètres!$A$1:$I$88,3,0)*0.475*44/12</f>
        <v>2.3522110712838778E-20</v>
      </c>
      <c r="BS173" s="24">
        <f t="shared" si="169"/>
        <v>0.55683114070664963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4.5474735088646412E-13</v>
      </c>
      <c r="O174" s="14">
        <f>N174*VLOOKUP('Données projet'!$B$9,Paramètres!$A$1:$I$88,3,0)*VLOOKUP('Données projet'!$B$9,Paramètres!$A$1:$I$88,5,0)</f>
        <v>2.5420376914553347E-13</v>
      </c>
      <c r="P174" s="14">
        <f t="shared" si="141"/>
        <v>3.4258699088369875E-12</v>
      </c>
      <c r="Q174" s="22">
        <f t="shared" si="162"/>
        <v>6.4094616558195571E-12</v>
      </c>
      <c r="R174" s="62">
        <f t="shared" si="109"/>
        <v>293.33333333333974</v>
      </c>
      <c r="S174" s="62">
        <f ca="1">AVERAGE(OFFSET($R$3,0,0,'Données projet'!$E$9+1,1))-AVERAGE(OFFSET($H$3,0,0,'Données projet'!$E$9+1,1))</f>
        <v>373.16487843768437</v>
      </c>
      <c r="T174" s="62">
        <f t="shared" si="142"/>
        <v>376.53494965377718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1.2595417006032075</v>
      </c>
      <c r="AA174" s="23">
        <f>EXP(-LN(2)/25)*AA173+(1-EXP(-LN(2)/25))/(LN(2)/25)*Calculateur!V174*Calculateur!X174*VLOOKUP('Données projet'!$B$9,Paramètres!$A$1:$I$88,3,0)*0.475*44/12</f>
        <v>0.65986363956884653</v>
      </c>
      <c r="AB174" s="23">
        <f>EXP(-LN(2)/2)*AB173+(1-EXP(-LN(2)/2))/(LN(2)/2)*V174*Y174*VLOOKUP('Données projet'!$B$9,Paramètres!$A$1:$I$88,3,0)*0.475*44/12</f>
        <v>1.5004521776054764E-20</v>
      </c>
      <c r="AC174" s="24">
        <f t="shared" si="163"/>
        <v>1.9194053401720539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projet'!$B$10,Paramètres!$A$1:$I$88,3,0)*VLOOKUP('Données projet'!$B$10,Paramètres!$A$1:$I$88,5,0)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210.04871822652808</v>
      </c>
      <c r="AO174" s="62">
        <f t="shared" si="144"/>
        <v>250.17540614049324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0.44736364841720661</v>
      </c>
      <c r="AV174" s="23">
        <f>EXP(-LN(2)/25)*AV173+(1-EXP(-LN(2)/25))/(LN(2)/25)*Calculateur!AQ174*Calculateur!AS174*VLOOKUP('Données projet'!$B$10,Paramètres!$A$1:$I$88,3,0)*0.475*44/12</f>
        <v>0.55810404002442737</v>
      </c>
      <c r="AW174" s="23">
        <f>EXP(-LN(2)/2)*AW173+(1-EXP(-LN(2)/2))/(LN(2)/2)*AQ174*AT174*VLOOKUP('Données projet'!$B$10,Paramètres!$A$1:$I$88,3,0)*0.475*44/12</f>
        <v>1.2909545197229409E-20</v>
      </c>
      <c r="AX174" s="23">
        <f t="shared" si="166"/>
        <v>1.005467688441634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-2.8421709430404007E-14</v>
      </c>
      <c r="BE174" s="14">
        <f>BD174*VLOOKUP('Données projet'!$B$11,Paramètres!$A$1:$I$88,3,0)*VLOOKUP('Données projet'!$B$11,Paramètres!$A$1:$I$88,5,0)</f>
        <v>-2.4829205358400945E-14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223.81948236065614</v>
      </c>
      <c r="BJ174" s="62">
        <f t="shared" si="146"/>
        <v>320.1204011431372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0.18829512291845932</v>
      </c>
      <c r="BQ174" s="23">
        <f>EXP(-LN(2)/25)*BQ173+(1-EXP(-LN(2)/25))/(LN(2)/25)*Calculateur!BL174*Calculateur!BN174*VLOOKUP('Données projet'!$B$11,Paramètres!$A$1:$I$88,3,0)*0.475*44/12</f>
        <v>0.35479516258435123</v>
      </c>
      <c r="BR174" s="23">
        <f>EXP(-LN(2)/2)*BR173+(1-EXP(-LN(2)/2))/(LN(2)/2)*BL174*BO174*VLOOKUP('Données projet'!$B$11,Paramètres!$A$1:$I$88,3,0)*0.475*44/12</f>
        <v>1.6632643992869035E-20</v>
      </c>
      <c r="BS174" s="24">
        <f t="shared" si="169"/>
        <v>0.54309028550281058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4.5474735088646412E-13</v>
      </c>
      <c r="O175" s="14">
        <f>N175*VLOOKUP('Données projet'!$B$9,Paramètres!$A$1:$I$88,3,0)*VLOOKUP('Données projet'!$B$9,Paramètres!$A$1:$I$88,5,0)</f>
        <v>2.5420376914553347E-13</v>
      </c>
      <c r="P175" s="14">
        <f t="shared" si="141"/>
        <v>3.4258699088369875E-12</v>
      </c>
      <c r="Q175" s="22">
        <f t="shared" si="162"/>
        <v>6.4094616558195571E-12</v>
      </c>
      <c r="R175" s="62">
        <f t="shared" si="109"/>
        <v>293.33333333333974</v>
      </c>
      <c r="S175" s="62">
        <f ca="1">AVERAGE(OFFSET($R$3,0,0,'Données projet'!$E$9+1,1))-AVERAGE(OFFSET($H$3,0,0,'Données projet'!$E$9+1,1))</f>
        <v>373.16487843768437</v>
      </c>
      <c r="T175" s="62">
        <f t="shared" si="142"/>
        <v>376.53494965377718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1.2348428560989582</v>
      </c>
      <c r="AA175" s="23">
        <f>EXP(-LN(2)/25)*AA174+(1-EXP(-LN(2)/25))/(LN(2)/25)*Calculateur!V175*Calculateur!X175*VLOOKUP('Données projet'!$B$9,Paramètres!$A$1:$I$88,3,0)*0.475*44/12</f>
        <v>0.64181963364411576</v>
      </c>
      <c r="AB175" s="23">
        <f>EXP(-LN(2)/2)*AB174+(1-EXP(-LN(2)/2))/(LN(2)/2)*V175*Y175*VLOOKUP('Données projet'!$B$9,Paramètres!$A$1:$I$88,3,0)*0.475*44/12</f>
        <v>1.0609799096309543E-20</v>
      </c>
      <c r="AC175" s="24">
        <f t="shared" si="163"/>
        <v>1.8766624897430739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projet'!$B$10,Paramètres!$A$1:$I$88,3,0)*VLOOKUP('Données projet'!$B$10,Paramètres!$A$1:$I$88,5,0)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210.04871822652808</v>
      </c>
      <c r="AO175" s="62">
        <f t="shared" si="144"/>
        <v>250.17540614049324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0.43859112013662754</v>
      </c>
      <c r="AV175" s="23">
        <f>EXP(-LN(2)/25)*AV174+(1-EXP(-LN(2)/25))/(LN(2)/25)*Calculateur!AQ175*Calculateur!AS175*VLOOKUP('Données projet'!$B$10,Paramètres!$A$1:$I$88,3,0)*0.475*44/12</f>
        <v>0.54284265570054346</v>
      </c>
      <c r="AW175" s="23">
        <f>EXP(-LN(2)/2)*AW174+(1-EXP(-LN(2)/2))/(LN(2)/2)*AQ175*AT175*VLOOKUP('Données projet'!$B$10,Paramètres!$A$1:$I$88,3,0)*0.475*44/12</f>
        <v>9.1284269509951412E-21</v>
      </c>
      <c r="AX175" s="23">
        <f t="shared" si="166"/>
        <v>0.98143377583717095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-2.8421709430404007E-14</v>
      </c>
      <c r="BE175" s="14">
        <f>BD175*VLOOKUP('Données projet'!$B$11,Paramètres!$A$1:$I$88,3,0)*VLOOKUP('Données projet'!$B$11,Paramètres!$A$1:$I$88,5,0)</f>
        <v>-2.4829205358400945E-14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223.81948236065614</v>
      </c>
      <c r="BJ175" s="62">
        <f t="shared" si="146"/>
        <v>320.1204011431372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0.18460277040671294</v>
      </c>
      <c r="BQ175" s="23">
        <f>EXP(-LN(2)/25)*BQ174+(1-EXP(-LN(2)/25))/(LN(2)/25)*Calculateur!BL175*Calculateur!BN175*VLOOKUP('Données projet'!$B$11,Paramètres!$A$1:$I$88,3,0)*0.475*44/12</f>
        <v>0.34509327020561542</v>
      </c>
      <c r="BR175" s="23">
        <f>EXP(-LN(2)/2)*BR174+(1-EXP(-LN(2)/2))/(LN(2)/2)*BL175*BO175*VLOOKUP('Données projet'!$B$11,Paramètres!$A$1:$I$88,3,0)*0.475*44/12</f>
        <v>1.1761055356419389E-20</v>
      </c>
      <c r="BS175" s="24">
        <f t="shared" si="169"/>
        <v>0.52969604061232833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4.5474735088646412E-13</v>
      </c>
      <c r="O176" s="14">
        <f>N176*VLOOKUP('Données projet'!$B$9,Paramètres!$A$1:$I$88,3,0)*VLOOKUP('Données projet'!$B$9,Paramètres!$A$1:$I$88,5,0)</f>
        <v>2.5420376914553347E-13</v>
      </c>
      <c r="P176" s="14">
        <f t="shared" si="141"/>
        <v>3.4258699088369875E-12</v>
      </c>
      <c r="Q176" s="22">
        <f t="shared" si="162"/>
        <v>6.4094616558195571E-12</v>
      </c>
      <c r="R176" s="62">
        <f t="shared" si="109"/>
        <v>293.33333333333974</v>
      </c>
      <c r="S176" s="62">
        <f ca="1">AVERAGE(OFFSET($R$3,0,0,'Données projet'!$E$9+1,1))-AVERAGE(OFFSET($H$3,0,0,'Données projet'!$E$9+1,1))</f>
        <v>373.16487843768437</v>
      </c>
      <c r="T176" s="62">
        <f t="shared" si="142"/>
        <v>376.53494965377718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1.2106283408706295</v>
      </c>
      <c r="AA176" s="23">
        <f>EXP(-LN(2)/25)*AA175+(1-EXP(-LN(2)/25))/(LN(2)/25)*Calculateur!V176*Calculateur!X176*VLOOKUP('Données projet'!$B$9,Paramètres!$A$1:$I$88,3,0)*0.475*44/12</f>
        <v>0.62426904201028977</v>
      </c>
      <c r="AB176" s="23">
        <f>EXP(-LN(2)/2)*AB175+(1-EXP(-LN(2)/2))/(LN(2)/2)*V176*Y176*VLOOKUP('Données projet'!$B$9,Paramètres!$A$1:$I$88,3,0)*0.475*44/12</f>
        <v>7.5022608880273819E-21</v>
      </c>
      <c r="AC176" s="24">
        <f t="shared" si="163"/>
        <v>1.8348973828809192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projet'!$B$10,Paramètres!$A$1:$I$88,3,0)*VLOOKUP('Données projet'!$B$10,Paramètres!$A$1:$I$88,5,0)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210.04871822652808</v>
      </c>
      <c r="AO176" s="62">
        <f t="shared" si="144"/>
        <v>250.17540614049324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0.42999061578491671</v>
      </c>
      <c r="AV176" s="23">
        <f>EXP(-LN(2)/25)*AV175+(1-EXP(-LN(2)/25))/(LN(2)/25)*Calculateur!AQ176*Calculateur!AS176*VLOOKUP('Données projet'!$B$10,Paramètres!$A$1:$I$88,3,0)*0.475*44/12</f>
        <v>0.52799859473355748</v>
      </c>
      <c r="AW176" s="23">
        <f>EXP(-LN(2)/2)*AW175+(1-EXP(-LN(2)/2))/(LN(2)/2)*AQ176*AT176*VLOOKUP('Données projet'!$B$10,Paramètres!$A$1:$I$88,3,0)*0.475*44/12</f>
        <v>6.4547725986147046E-21</v>
      </c>
      <c r="AX176" s="23">
        <f t="shared" si="166"/>
        <v>0.95798921051847419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-2.8421709430404007E-14</v>
      </c>
      <c r="BE176" s="14">
        <f>BD176*VLOOKUP('Données projet'!$B$11,Paramètres!$A$1:$I$88,3,0)*VLOOKUP('Données projet'!$B$11,Paramètres!$A$1:$I$88,5,0)</f>
        <v>-2.4829205358400945E-14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223.81948236065614</v>
      </c>
      <c r="BJ176" s="62">
        <f t="shared" si="146"/>
        <v>320.1204011431372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0.18098282267560925</v>
      </c>
      <c r="BQ176" s="23">
        <f>EXP(-LN(2)/25)*BQ175+(1-EXP(-LN(2)/25))/(LN(2)/25)*Calculateur!BL176*Calculateur!BN176*VLOOKUP('Données projet'!$B$11,Paramètres!$A$1:$I$88,3,0)*0.475*44/12</f>
        <v>0.33565667658417653</v>
      </c>
      <c r="BR176" s="23">
        <f>EXP(-LN(2)/2)*BR175+(1-EXP(-LN(2)/2))/(LN(2)/2)*BL176*BO176*VLOOKUP('Données projet'!$B$11,Paramètres!$A$1:$I$88,3,0)*0.475*44/12</f>
        <v>8.3163219964345175E-21</v>
      </c>
      <c r="BS176" s="24">
        <f t="shared" si="169"/>
        <v>0.51663949925978581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4.5474735088646412E-13</v>
      </c>
      <c r="O177" s="14">
        <f>N177*VLOOKUP('Données projet'!$B$9,Paramètres!$A$1:$I$88,3,0)*VLOOKUP('Données projet'!$B$9,Paramètres!$A$1:$I$88,5,0)</f>
        <v>2.5420376914553347E-13</v>
      </c>
      <c r="P177" s="14">
        <f t="shared" si="141"/>
        <v>3.4258699088369875E-12</v>
      </c>
      <c r="Q177" s="22">
        <f t="shared" si="162"/>
        <v>6.4094616558195571E-12</v>
      </c>
      <c r="R177" s="62">
        <f t="shared" si="109"/>
        <v>293.33333333333974</v>
      </c>
      <c r="S177" s="62">
        <f ca="1">AVERAGE(OFFSET($R$3,0,0,'Données projet'!$E$9+1,1))-AVERAGE(OFFSET($H$3,0,0,'Données projet'!$E$9+1,1))</f>
        <v>373.16487843768437</v>
      </c>
      <c r="T177" s="62">
        <f t="shared" si="142"/>
        <v>376.53494965377718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1.1868886575165325</v>
      </c>
      <c r="AA177" s="23">
        <f>EXP(-LN(2)/25)*AA176+(1-EXP(-LN(2)/25))/(LN(2)/25)*Calculateur!V177*Calculateur!X177*VLOOKUP('Données projet'!$B$9,Paramètres!$A$1:$I$88,3,0)*0.475*44/12</f>
        <v>0.60719837222763628</v>
      </c>
      <c r="AB177" s="23">
        <f>EXP(-LN(2)/2)*AB176+(1-EXP(-LN(2)/2))/(LN(2)/2)*V177*Y177*VLOOKUP('Données projet'!$B$9,Paramètres!$A$1:$I$88,3,0)*0.475*44/12</f>
        <v>5.3048995481547717E-21</v>
      </c>
      <c r="AC177" s="24">
        <f t="shared" si="163"/>
        <v>1.7940870297441687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projet'!$B$10,Paramètres!$A$1:$I$88,3,0)*VLOOKUP('Données projet'!$B$10,Paramètres!$A$1:$I$88,5,0)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210.04871822652808</v>
      </c>
      <c r="AO177" s="62">
        <f t="shared" si="144"/>
        <v>250.17540614049324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0.42155876207775328</v>
      </c>
      <c r="AV177" s="23">
        <f>EXP(-LN(2)/25)*AV176+(1-EXP(-LN(2)/25))/(LN(2)/25)*Calculateur!AQ177*Calculateur!AS177*VLOOKUP('Données projet'!$B$10,Paramètres!$A$1:$I$88,3,0)*0.475*44/12</f>
        <v>0.51356044539432899</v>
      </c>
      <c r="AW177" s="23">
        <f>EXP(-LN(2)/2)*AW176+(1-EXP(-LN(2)/2))/(LN(2)/2)*AQ177*AT177*VLOOKUP('Données projet'!$B$10,Paramètres!$A$1:$I$88,3,0)*0.475*44/12</f>
        <v>4.5642134754975706E-21</v>
      </c>
      <c r="AX177" s="23">
        <f t="shared" si="166"/>
        <v>0.93511920747208221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-2.8421709430404007E-14</v>
      </c>
      <c r="BE177" s="14">
        <f>BD177*VLOOKUP('Données projet'!$B$11,Paramètres!$A$1:$I$88,3,0)*VLOOKUP('Données projet'!$B$11,Paramètres!$A$1:$I$88,5,0)</f>
        <v>-2.4829205358400945E-14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223.81948236065614</v>
      </c>
      <c r="BJ177" s="62">
        <f t="shared" si="146"/>
        <v>320.1204011431372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0.17743385991156241</v>
      </c>
      <c r="BQ177" s="23">
        <f>EXP(-LN(2)/25)*BQ176+(1-EXP(-LN(2)/25))/(LN(2)/25)*Calculateur!BL177*Calculateur!BN177*VLOOKUP('Données projet'!$B$11,Paramètres!$A$1:$I$88,3,0)*0.475*44/12</f>
        <v>0.32647812711156476</v>
      </c>
      <c r="BR177" s="23">
        <f>EXP(-LN(2)/2)*BR176+(1-EXP(-LN(2)/2))/(LN(2)/2)*BL177*BO177*VLOOKUP('Données projet'!$B$11,Paramètres!$A$1:$I$88,3,0)*0.475*44/12</f>
        <v>5.8805276782096946E-21</v>
      </c>
      <c r="BS177" s="24">
        <f t="shared" si="169"/>
        <v>0.50391198702312723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4.5474735088646412E-13</v>
      </c>
      <c r="O178" s="14">
        <f>N178*VLOOKUP('Données projet'!$B$9,Paramètres!$A$1:$I$88,3,0)*VLOOKUP('Données projet'!$B$9,Paramètres!$A$1:$I$88,5,0)</f>
        <v>2.5420376914553347E-13</v>
      </c>
      <c r="P178" s="14">
        <f t="shared" si="141"/>
        <v>3.4258699088369875E-12</v>
      </c>
      <c r="Q178" s="22">
        <f t="shared" si="162"/>
        <v>6.4094616558195571E-12</v>
      </c>
      <c r="R178" s="62">
        <f t="shared" si="109"/>
        <v>293.33333333333974</v>
      </c>
      <c r="S178" s="62">
        <f ca="1">AVERAGE(OFFSET($R$3,0,0,'Données projet'!$E$9+1,1))-AVERAGE(OFFSET($H$3,0,0,'Données projet'!$E$9+1,1))</f>
        <v>373.16487843768437</v>
      </c>
      <c r="T178" s="62">
        <f t="shared" si="142"/>
        <v>376.53494965377718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1.1636144948732321</v>
      </c>
      <c r="AA178" s="23">
        <f>EXP(-LN(2)/25)*AA177+(1-EXP(-LN(2)/25))/(LN(2)/25)*Calculateur!V178*Calculateur!X178*VLOOKUP('Données projet'!$B$9,Paramètres!$A$1:$I$88,3,0)*0.475*44/12</f>
        <v>0.59059450080789699</v>
      </c>
      <c r="AB178" s="23">
        <f>EXP(-LN(2)/2)*AB177+(1-EXP(-LN(2)/2))/(LN(2)/2)*V178*Y178*VLOOKUP('Données projet'!$B$9,Paramètres!$A$1:$I$88,3,0)*0.475*44/12</f>
        <v>3.7511304440136909E-21</v>
      </c>
      <c r="AC178" s="24">
        <f t="shared" si="163"/>
        <v>1.7542089956811291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projet'!$B$10,Paramètres!$A$1:$I$88,3,0)*VLOOKUP('Données projet'!$B$10,Paramètres!$A$1:$I$88,5,0)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210.04871822652808</v>
      </c>
      <c r="AO178" s="62">
        <f t="shared" si="144"/>
        <v>250.17540614049324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0.41329225187886437</v>
      </c>
      <c r="AV178" s="23">
        <f>EXP(-LN(2)/25)*AV177+(1-EXP(-LN(2)/25))/(LN(2)/25)*Calculateur!AQ178*Calculateur!AS178*VLOOKUP('Données projet'!$B$10,Paramètres!$A$1:$I$88,3,0)*0.475*44/12</f>
        <v>0.49951710800805099</v>
      </c>
      <c r="AW178" s="23">
        <f>EXP(-LN(2)/2)*AW177+(1-EXP(-LN(2)/2))/(LN(2)/2)*AQ178*AT178*VLOOKUP('Données projet'!$B$10,Paramètres!$A$1:$I$88,3,0)*0.475*44/12</f>
        <v>3.2273862993073523E-21</v>
      </c>
      <c r="AX178" s="23">
        <f t="shared" si="166"/>
        <v>0.91280935988691536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-2.8421709430404007E-14</v>
      </c>
      <c r="BE178" s="14">
        <f>BD178*VLOOKUP('Données projet'!$B$11,Paramètres!$A$1:$I$88,3,0)*VLOOKUP('Données projet'!$B$11,Paramètres!$A$1:$I$88,5,0)</f>
        <v>-2.4829205358400945E-14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223.81948236065614</v>
      </c>
      <c r="BJ178" s="62">
        <f t="shared" si="146"/>
        <v>320.1204011431372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0.17395449014266498</v>
      </c>
      <c r="BQ178" s="23">
        <f>EXP(-LN(2)/25)*BQ177+(1-EXP(-LN(2)/25))/(LN(2)/25)*Calculateur!BL178*Calculateur!BN178*VLOOKUP('Données projet'!$B$11,Paramètres!$A$1:$I$88,3,0)*0.475*44/12</f>
        <v>0.31755056555696048</v>
      </c>
      <c r="BR178" s="23">
        <f>EXP(-LN(2)/2)*BR177+(1-EXP(-LN(2)/2))/(LN(2)/2)*BL178*BO178*VLOOKUP('Données projet'!$B$11,Paramètres!$A$1:$I$88,3,0)*0.475*44/12</f>
        <v>4.1581609982172588E-21</v>
      </c>
      <c r="BS178" s="24">
        <f t="shared" si="169"/>
        <v>0.49150505569962544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4.5474735088646412E-13</v>
      </c>
      <c r="O179" s="14">
        <f>N179*VLOOKUP('Données projet'!$B$9,Paramètres!$A$1:$I$88,3,0)*VLOOKUP('Données projet'!$B$9,Paramètres!$A$1:$I$88,5,0)</f>
        <v>2.5420376914553347E-13</v>
      </c>
      <c r="P179" s="14">
        <f t="shared" si="141"/>
        <v>3.4258699088369875E-12</v>
      </c>
      <c r="Q179" s="22">
        <f t="shared" si="162"/>
        <v>6.4094616558195571E-12</v>
      </c>
      <c r="R179" s="62">
        <f t="shared" si="109"/>
        <v>293.33333333333974</v>
      </c>
      <c r="S179" s="62">
        <f ca="1">AVERAGE(OFFSET($R$3,0,0,'Données projet'!$E$9+1,1))-AVERAGE(OFFSET($H$3,0,0,'Données projet'!$E$9+1,1))</f>
        <v>373.16487843768437</v>
      </c>
      <c r="T179" s="62">
        <f t="shared" si="142"/>
        <v>376.53494965377718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1.1407967243635293</v>
      </c>
      <c r="AA179" s="23">
        <f>EXP(-LN(2)/25)*AA178+(1-EXP(-LN(2)/25))/(LN(2)/25)*Calculateur!V179*Calculateur!X179*VLOOKUP('Données projet'!$B$9,Paramètres!$A$1:$I$88,3,0)*0.475*44/12</f>
        <v>0.57444466312529008</v>
      </c>
      <c r="AB179" s="23">
        <f>EXP(-LN(2)/2)*AB178+(1-EXP(-LN(2)/2))/(LN(2)/2)*V179*Y179*VLOOKUP('Données projet'!$B$9,Paramètres!$A$1:$I$88,3,0)*0.475*44/12</f>
        <v>2.6524497740773859E-21</v>
      </c>
      <c r="AC179" s="24">
        <f t="shared" si="163"/>
        <v>1.7152413874888195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projet'!$B$10,Paramètres!$A$1:$I$88,3,0)*VLOOKUP('Données projet'!$B$10,Paramètres!$A$1:$I$88,5,0)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210.04871822652808</v>
      </c>
      <c r="AO179" s="62">
        <f t="shared" si="144"/>
        <v>250.17540614049324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0.40518784290290233</v>
      </c>
      <c r="AV179" s="23">
        <f>EXP(-LN(2)/25)*AV178+(1-EXP(-LN(2)/25))/(LN(2)/25)*Calculateur!AQ179*Calculateur!AS179*VLOOKUP('Données projet'!$B$10,Paramètres!$A$1:$I$88,3,0)*0.475*44/12</f>
        <v>0.48585778642110777</v>
      </c>
      <c r="AW179" s="23">
        <f>EXP(-LN(2)/2)*AW178+(1-EXP(-LN(2)/2))/(LN(2)/2)*AQ179*AT179*VLOOKUP('Données projet'!$B$10,Paramètres!$A$1:$I$88,3,0)*0.475*44/12</f>
        <v>2.2821067377487853E-21</v>
      </c>
      <c r="AX179" s="23">
        <f t="shared" si="166"/>
        <v>0.8910456293240101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-2.8421709430404007E-14</v>
      </c>
      <c r="BE179" s="14">
        <f>BD179*VLOOKUP('Données projet'!$B$11,Paramètres!$A$1:$I$88,3,0)*VLOOKUP('Données projet'!$B$11,Paramètres!$A$1:$I$88,5,0)</f>
        <v>-2.4829205358400945E-14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223.81948236065614</v>
      </c>
      <c r="BJ179" s="62">
        <f t="shared" si="146"/>
        <v>320.1204011431372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0.17054334869272963</v>
      </c>
      <c r="BQ179" s="23">
        <f>EXP(-LN(2)/25)*BQ178+(1-EXP(-LN(2)/25))/(LN(2)/25)*Calculateur!BL179*Calculateur!BN179*VLOOKUP('Données projet'!$B$11,Paramètres!$A$1:$I$88,3,0)*0.475*44/12</f>
        <v>0.30886712864254695</v>
      </c>
      <c r="BR179" s="23">
        <f>EXP(-LN(2)/2)*BR178+(1-EXP(-LN(2)/2))/(LN(2)/2)*BL179*BO179*VLOOKUP('Données projet'!$B$11,Paramètres!$A$1:$I$88,3,0)*0.475*44/12</f>
        <v>2.9402638391048473E-21</v>
      </c>
      <c r="BS179" s="24">
        <f t="shared" si="169"/>
        <v>0.47941047733527659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4.5474735088646412E-13</v>
      </c>
      <c r="O180" s="14">
        <f>N180*VLOOKUP('Données projet'!$B$9,Paramètres!$A$1:$I$88,3,0)*VLOOKUP('Données projet'!$B$9,Paramètres!$A$1:$I$88,5,0)</f>
        <v>2.5420376914553347E-13</v>
      </c>
      <c r="P180" s="14">
        <f t="shared" si="141"/>
        <v>3.4258699088369875E-12</v>
      </c>
      <c r="Q180" s="22">
        <f t="shared" si="162"/>
        <v>6.4094616558195571E-12</v>
      </c>
      <c r="R180" s="62">
        <f t="shared" si="109"/>
        <v>293.33333333333974</v>
      </c>
      <c r="S180" s="62">
        <f ca="1">AVERAGE(OFFSET($R$3,0,0,'Données projet'!$E$9+1,1))-AVERAGE(OFFSET($H$3,0,0,'Données projet'!$E$9+1,1))</f>
        <v>373.16487843768437</v>
      </c>
      <c r="T180" s="62">
        <f t="shared" si="142"/>
        <v>376.53494965377718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1.1184263964160561</v>
      </c>
      <c r="AA180" s="23">
        <f>EXP(-LN(2)/25)*AA179+(1-EXP(-LN(2)/25))/(LN(2)/25)*Calculateur!V180*Calculateur!X180*VLOOKUP('Données projet'!$B$9,Paramètres!$A$1:$I$88,3,0)*0.475*44/12</f>
        <v>0.55873644360339714</v>
      </c>
      <c r="AB180" s="23">
        <f>EXP(-LN(2)/2)*AB179+(1-EXP(-LN(2)/2))/(LN(2)/2)*V180*Y180*VLOOKUP('Données projet'!$B$9,Paramètres!$A$1:$I$88,3,0)*0.475*44/12</f>
        <v>1.8755652220068455E-21</v>
      </c>
      <c r="AC180" s="24">
        <f t="shared" si="163"/>
        <v>1.6771628400194531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projet'!$B$10,Paramètres!$A$1:$I$88,3,0)*VLOOKUP('Données projet'!$B$10,Paramètres!$A$1:$I$88,5,0)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210.04871822652808</v>
      </c>
      <c r="AO180" s="62">
        <f t="shared" si="144"/>
        <v>250.17540614049324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0.39724235644375749</v>
      </c>
      <c r="AV180" s="23">
        <f>EXP(-LN(2)/25)*AV179+(1-EXP(-LN(2)/25))/(LN(2)/25)*Calculateur!AQ180*Calculateur!AS180*VLOOKUP('Données projet'!$B$10,Paramètres!$A$1:$I$88,3,0)*0.475*44/12</f>
        <v>0.47257197970127202</v>
      </c>
      <c r="AW180" s="23">
        <f>EXP(-LN(2)/2)*AW179+(1-EXP(-LN(2)/2))/(LN(2)/2)*AQ180*AT180*VLOOKUP('Données projet'!$B$10,Paramètres!$A$1:$I$88,3,0)*0.475*44/12</f>
        <v>1.6136931496536761E-21</v>
      </c>
      <c r="AX180" s="23">
        <f t="shared" si="166"/>
        <v>0.86981433614502945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-2.8421709430404007E-14</v>
      </c>
      <c r="BE180" s="14">
        <f>BD180*VLOOKUP('Données projet'!$B$11,Paramètres!$A$1:$I$88,3,0)*VLOOKUP('Données projet'!$B$11,Paramètres!$A$1:$I$88,5,0)</f>
        <v>-2.4829205358400945E-14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223.81948236065614</v>
      </c>
      <c r="BJ180" s="62">
        <f t="shared" si="146"/>
        <v>320.1204011431372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0.16719909764603666</v>
      </c>
      <c r="BQ180" s="23">
        <f>EXP(-LN(2)/25)*BQ179+(1-EXP(-LN(2)/25))/(LN(2)/25)*Calculateur!BL180*Calculateur!BN180*VLOOKUP('Données projet'!$B$11,Paramètres!$A$1:$I$88,3,0)*0.475*44/12</f>
        <v>0.30042114076720011</v>
      </c>
      <c r="BR180" s="23">
        <f>EXP(-LN(2)/2)*BR179+(1-EXP(-LN(2)/2))/(LN(2)/2)*BL180*BO180*VLOOKUP('Données projet'!$B$11,Paramètres!$A$1:$I$88,3,0)*0.475*44/12</f>
        <v>2.0790804991086294E-21</v>
      </c>
      <c r="BS180" s="24">
        <f t="shared" si="169"/>
        <v>0.46762023841323674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4.5474735088646412E-13</v>
      </c>
      <c r="O181" s="14">
        <f>N181*VLOOKUP('Données projet'!$B$9,Paramètres!$A$1:$I$88,3,0)*VLOOKUP('Données projet'!$B$9,Paramètres!$A$1:$I$88,5,0)</f>
        <v>2.5420376914553347E-13</v>
      </c>
      <c r="P181" s="14">
        <f t="shared" si="141"/>
        <v>3.4258699088369875E-12</v>
      </c>
      <c r="Q181" s="22">
        <f t="shared" si="162"/>
        <v>6.4094616558195571E-12</v>
      </c>
      <c r="R181" s="62">
        <f t="shared" si="109"/>
        <v>293.33333333333974</v>
      </c>
      <c r="S181" s="62">
        <f ca="1">AVERAGE(OFFSET($R$3,0,0,'Données projet'!$E$9+1,1))-AVERAGE(OFFSET($H$3,0,0,'Données projet'!$E$9+1,1))</f>
        <v>373.16487843768437</v>
      </c>
      <c r="T181" s="62">
        <f t="shared" si="142"/>
        <v>376.53494965377718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1.0964947369550802</v>
      </c>
      <c r="AA181" s="23">
        <f>EXP(-LN(2)/25)*AA180+(1-EXP(-LN(2)/25))/(LN(2)/25)*Calculateur!V181*Calculateur!X181*VLOOKUP('Données projet'!$B$9,Paramètres!$A$1:$I$88,3,0)*0.475*44/12</f>
        <v>0.54345776617038966</v>
      </c>
      <c r="AB181" s="23">
        <f>EXP(-LN(2)/2)*AB180+(1-EXP(-LN(2)/2))/(LN(2)/2)*V181*Y181*VLOOKUP('Données projet'!$B$9,Paramètres!$A$1:$I$88,3,0)*0.475*44/12</f>
        <v>1.3262248870386929E-21</v>
      </c>
      <c r="AC181" s="24">
        <f t="shared" si="163"/>
        <v>1.6399525031254698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projet'!$B$10,Paramètres!$A$1:$I$88,3,0)*VLOOKUP('Données projet'!$B$10,Paramètres!$A$1:$I$88,5,0)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210.04871822652808</v>
      </c>
      <c r="AO181" s="62">
        <f t="shared" si="144"/>
        <v>250.17540614049324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0.38945267612780832</v>
      </c>
      <c r="AV181" s="23">
        <f>EXP(-LN(2)/25)*AV180+(1-EXP(-LN(2)/25))/(LN(2)/25)*Calculateur!AQ181*Calculateur!AS181*VLOOKUP('Données projet'!$B$10,Paramètres!$A$1:$I$88,3,0)*0.475*44/12</f>
        <v>0.4596494740648604</v>
      </c>
      <c r="AW181" s="23">
        <f>EXP(-LN(2)/2)*AW180+(1-EXP(-LN(2)/2))/(LN(2)/2)*AQ181*AT181*VLOOKUP('Données projet'!$B$10,Paramètres!$A$1:$I$88,3,0)*0.475*44/12</f>
        <v>1.1410533688743926E-21</v>
      </c>
      <c r="AX181" s="23">
        <f t="shared" si="166"/>
        <v>0.84910215019266877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-2.8421709430404007E-14</v>
      </c>
      <c r="BE181" s="14">
        <f>BD181*VLOOKUP('Données projet'!$B$11,Paramètres!$A$1:$I$88,3,0)*VLOOKUP('Données projet'!$B$11,Paramètres!$A$1:$I$88,5,0)</f>
        <v>-2.4829205358400945E-14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223.81948236065614</v>
      </c>
      <c r="BJ181" s="62">
        <f t="shared" si="146"/>
        <v>320.1204011431372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0.16392042532257761</v>
      </c>
      <c r="BQ181" s="23">
        <f>EXP(-LN(2)/25)*BQ180+(1-EXP(-LN(2)/25))/(LN(2)/25)*Calculateur!BL181*Calculateur!BN181*VLOOKUP('Données projet'!$B$11,Paramètres!$A$1:$I$88,3,0)*0.475*44/12</f>
        <v>0.29220610887445986</v>
      </c>
      <c r="BR181" s="23">
        <f>EXP(-LN(2)/2)*BR180+(1-EXP(-LN(2)/2))/(LN(2)/2)*BL181*BO181*VLOOKUP('Données projet'!$B$11,Paramètres!$A$1:$I$88,3,0)*0.475*44/12</f>
        <v>1.4701319195524236E-21</v>
      </c>
      <c r="BS181" s="24">
        <f t="shared" si="169"/>
        <v>0.45612653419703747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4.5474735088646412E-13</v>
      </c>
      <c r="O182" s="14">
        <f>N182*VLOOKUP('Données projet'!$B$9,Paramètres!$A$1:$I$88,3,0)*VLOOKUP('Données projet'!$B$9,Paramètres!$A$1:$I$88,5,0)</f>
        <v>2.5420376914553347E-13</v>
      </c>
      <c r="P182" s="14">
        <f t="shared" si="141"/>
        <v>3.4258699088369875E-12</v>
      </c>
      <c r="Q182" s="22">
        <f t="shared" si="162"/>
        <v>6.4094616558195571E-12</v>
      </c>
      <c r="R182" s="62">
        <f t="shared" si="109"/>
        <v>293.33333333333974</v>
      </c>
      <c r="S182" s="62">
        <f ca="1">AVERAGE(OFFSET($R$3,0,0,'Données projet'!$E$9+1,1))-AVERAGE(OFFSET($H$3,0,0,'Données projet'!$E$9+1,1))</f>
        <v>373.16487843768437</v>
      </c>
      <c r="T182" s="62">
        <f t="shared" si="142"/>
        <v>376.53494965377718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1.0749931439591425</v>
      </c>
      <c r="AA182" s="23">
        <f>EXP(-LN(2)/25)*AA181+(1-EXP(-LN(2)/25))/(LN(2)/25)*Calculateur!V182*Calculateur!X182*VLOOKUP('Données projet'!$B$9,Paramètres!$A$1:$I$88,3,0)*0.475*44/12</f>
        <v>0.52859688497525847</v>
      </c>
      <c r="AB182" s="23">
        <f>EXP(-LN(2)/2)*AB181+(1-EXP(-LN(2)/2))/(LN(2)/2)*V182*Y182*VLOOKUP('Données projet'!$B$9,Paramètres!$A$1:$I$88,3,0)*0.475*44/12</f>
        <v>9.3778261100342274E-22</v>
      </c>
      <c r="AC182" s="24">
        <f t="shared" si="163"/>
        <v>1.6035900289344009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projet'!$B$10,Paramètres!$A$1:$I$88,3,0)*VLOOKUP('Données projet'!$B$10,Paramètres!$A$1:$I$88,5,0)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210.04871822652808</v>
      </c>
      <c r="AO182" s="62">
        <f t="shared" si="144"/>
        <v>250.17540614049324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0.38181574669161905</v>
      </c>
      <c r="AV182" s="23">
        <f>EXP(-LN(2)/25)*AV181+(1-EXP(-LN(2)/25))/(LN(2)/25)*Calculateur!AQ182*Calculateur!AS182*VLOOKUP('Données projet'!$B$10,Paramètres!$A$1:$I$88,3,0)*0.475*44/12</f>
        <v>0.44708033502464151</v>
      </c>
      <c r="AW182" s="23">
        <f>EXP(-LN(2)/2)*AW181+(1-EXP(-LN(2)/2))/(LN(2)/2)*AQ182*AT182*VLOOKUP('Données projet'!$B$10,Paramètres!$A$1:$I$88,3,0)*0.475*44/12</f>
        <v>8.0684657482683807E-22</v>
      </c>
      <c r="AX182" s="23">
        <f t="shared" si="166"/>
        <v>0.8288960817162605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-2.8421709430404007E-14</v>
      </c>
      <c r="BE182" s="14">
        <f>BD182*VLOOKUP('Données projet'!$B$11,Paramètres!$A$1:$I$88,3,0)*VLOOKUP('Données projet'!$B$11,Paramètres!$A$1:$I$88,5,0)</f>
        <v>-2.4829205358400945E-14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223.81948236065614</v>
      </c>
      <c r="BJ182" s="62">
        <f t="shared" si="146"/>
        <v>320.1204011431372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0.16070604576358896</v>
      </c>
      <c r="BQ182" s="23">
        <f>EXP(-LN(2)/25)*BQ181+(1-EXP(-LN(2)/25))/(LN(2)/25)*Calculateur!BL182*Calculateur!BN182*VLOOKUP('Données projet'!$B$11,Paramètres!$A$1:$I$88,3,0)*0.475*44/12</f>
        <v>0.28421571746083635</v>
      </c>
      <c r="BR182" s="23">
        <f>EXP(-LN(2)/2)*BR181+(1-EXP(-LN(2)/2))/(LN(2)/2)*BL182*BO182*VLOOKUP('Données projet'!$B$11,Paramètres!$A$1:$I$88,3,0)*0.475*44/12</f>
        <v>1.0395402495543147E-21</v>
      </c>
      <c r="BS182" s="24">
        <f t="shared" si="169"/>
        <v>0.44492176322442534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4.5474735088646412E-13</v>
      </c>
      <c r="O183" s="14">
        <f>N183*VLOOKUP('Données projet'!$B$9,Paramètres!$A$1:$I$88,3,0)*VLOOKUP('Données projet'!$B$9,Paramètres!$A$1:$I$88,5,0)</f>
        <v>2.5420376914553347E-13</v>
      </c>
      <c r="P183" s="14">
        <f t="shared" si="141"/>
        <v>3.4258699088369875E-12</v>
      </c>
      <c r="Q183" s="22">
        <f t="shared" si="162"/>
        <v>6.4094616558195571E-12</v>
      </c>
      <c r="R183" s="62">
        <f t="shared" si="109"/>
        <v>293.33333333333974</v>
      </c>
      <c r="S183" s="62">
        <f ca="1">AVERAGE(OFFSET($R$3,0,0,'Données projet'!$E$9+1,1))-AVERAGE(OFFSET($H$3,0,0,'Données projet'!$E$9+1,1))</f>
        <v>373.16487843768437</v>
      </c>
      <c r="T183" s="62">
        <f t="shared" si="142"/>
        <v>376.53494965377718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1.0539131840871783</v>
      </c>
      <c r="AA183" s="23">
        <f>EXP(-LN(2)/25)*AA182+(1-EXP(-LN(2)/25))/(LN(2)/25)*Calculateur!V183*Calculateur!X183*VLOOKUP('Données projet'!$B$9,Paramètres!$A$1:$I$88,3,0)*0.475*44/12</f>
        <v>0.51414237535790797</v>
      </c>
      <c r="AB183" s="23">
        <f>EXP(-LN(2)/2)*AB182+(1-EXP(-LN(2)/2))/(LN(2)/2)*V183*Y183*VLOOKUP('Données projet'!$B$9,Paramètres!$A$1:$I$88,3,0)*0.475*44/12</f>
        <v>6.6311244351934646E-22</v>
      </c>
      <c r="AC183" s="24">
        <f t="shared" si="163"/>
        <v>1.5680555594450862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projet'!$B$10,Paramètres!$A$1:$I$88,3,0)*VLOOKUP('Données projet'!$B$10,Paramètres!$A$1:$I$88,5,0)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210.04871822652808</v>
      </c>
      <c r="AO183" s="62">
        <f t="shared" si="144"/>
        <v>250.17540614049324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0.37432857278360643</v>
      </c>
      <c r="AV183" s="23">
        <f>EXP(-LN(2)/25)*AV182+(1-EXP(-LN(2)/25))/(LN(2)/25)*Calculateur!AQ183*Calculateur!AS183*VLOOKUP('Données projet'!$B$10,Paramètres!$A$1:$I$88,3,0)*0.475*44/12</f>
        <v>0.43485489975245967</v>
      </c>
      <c r="AW183" s="23">
        <f>EXP(-LN(2)/2)*AW182+(1-EXP(-LN(2)/2))/(LN(2)/2)*AQ183*AT183*VLOOKUP('Données projet'!$B$10,Paramètres!$A$1:$I$88,3,0)*0.475*44/12</f>
        <v>5.7052668443719632E-22</v>
      </c>
      <c r="AX183" s="23">
        <f t="shared" si="166"/>
        <v>0.80918347253606604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-2.8421709430404007E-14</v>
      </c>
      <c r="BE183" s="14">
        <f>BD183*VLOOKUP('Données projet'!$B$11,Paramètres!$A$1:$I$88,3,0)*VLOOKUP('Données projet'!$B$11,Paramètres!$A$1:$I$88,5,0)</f>
        <v>-2.4829205358400945E-14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223.81948236065614</v>
      </c>
      <c r="BJ183" s="62">
        <f t="shared" si="146"/>
        <v>320.1204011431372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0.15755469822717413</v>
      </c>
      <c r="BQ183" s="23">
        <f>EXP(-LN(2)/25)*BQ182+(1-EXP(-LN(2)/25))/(LN(2)/25)*Calculateur!BL183*Calculateur!BN183*VLOOKUP('Données projet'!$B$11,Paramètres!$A$1:$I$88,3,0)*0.475*44/12</f>
        <v>0.27644382372061477</v>
      </c>
      <c r="BR183" s="23">
        <f>EXP(-LN(2)/2)*BR182+(1-EXP(-LN(2)/2))/(LN(2)/2)*BL183*BO183*VLOOKUP('Données projet'!$B$11,Paramètres!$A$1:$I$88,3,0)*0.475*44/12</f>
        <v>7.3506595977621182E-22</v>
      </c>
      <c r="BS183" s="24">
        <f t="shared" si="169"/>
        <v>0.43399852194778887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4.5474735088646412E-13</v>
      </c>
      <c r="O184" s="14">
        <f>N184*VLOOKUP('Données projet'!$B$9,Paramètres!$A$1:$I$88,3,0)*VLOOKUP('Données projet'!$B$9,Paramètres!$A$1:$I$88,5,0)</f>
        <v>2.5420376914553347E-13</v>
      </c>
      <c r="P184" s="14">
        <f t="shared" si="141"/>
        <v>3.4258699088369875E-12</v>
      </c>
      <c r="Q184" s="22">
        <f t="shared" si="162"/>
        <v>6.4094616558195571E-12</v>
      </c>
      <c r="R184" s="62">
        <f t="shared" si="109"/>
        <v>293.33333333333974</v>
      </c>
      <c r="S184" s="62">
        <f ca="1">AVERAGE(OFFSET($R$3,0,0,'Données projet'!$E$9+1,1))-AVERAGE(OFFSET($H$3,0,0,'Données projet'!$E$9+1,1))</f>
        <v>373.16487843768437</v>
      </c>
      <c r="T184" s="62">
        <f t="shared" si="142"/>
        <v>376.53494965377718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1.0332465893707974</v>
      </c>
      <c r="AA184" s="23">
        <f>EXP(-LN(2)/25)*AA183+(1-EXP(-LN(2)/25))/(LN(2)/25)*Calculateur!V184*Calculateur!X184*VLOOKUP('Données projet'!$B$9,Paramètres!$A$1:$I$88,3,0)*0.475*44/12</f>
        <v>0.50008312506617358</v>
      </c>
      <c r="AB184" s="23">
        <f>EXP(-LN(2)/2)*AB183+(1-EXP(-LN(2)/2))/(LN(2)/2)*V184*Y184*VLOOKUP('Données projet'!$B$9,Paramètres!$A$1:$I$88,3,0)*0.475*44/12</f>
        <v>4.6889130550171137E-22</v>
      </c>
      <c r="AC184" s="24">
        <f t="shared" si="163"/>
        <v>1.5333297144369711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projet'!$B$10,Paramètres!$A$1:$I$88,3,0)*VLOOKUP('Données projet'!$B$10,Paramètres!$A$1:$I$88,5,0)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210.04871822652808</v>
      </c>
      <c r="AO184" s="62">
        <f t="shared" si="144"/>
        <v>250.17540614049324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0.36698821778920476</v>
      </c>
      <c r="AV184" s="23">
        <f>EXP(-LN(2)/25)*AV183+(1-EXP(-LN(2)/25))/(LN(2)/25)*Calculateur!AQ184*Calculateur!AS184*VLOOKUP('Données projet'!$B$10,Paramètres!$A$1:$I$88,3,0)*0.475*44/12</f>
        <v>0.42296376965070337</v>
      </c>
      <c r="AW184" s="23">
        <f>EXP(-LN(2)/2)*AW183+(1-EXP(-LN(2)/2))/(LN(2)/2)*AQ184*AT184*VLOOKUP('Données projet'!$B$10,Paramètres!$A$1:$I$88,3,0)*0.475*44/12</f>
        <v>4.0342328741341904E-22</v>
      </c>
      <c r="AX184" s="23">
        <f t="shared" si="166"/>
        <v>0.78995198743990813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-2.8421709430404007E-14</v>
      </c>
      <c r="BE184" s="14">
        <f>BD184*VLOOKUP('Données projet'!$B$11,Paramètres!$A$1:$I$88,3,0)*VLOOKUP('Données projet'!$B$11,Paramètres!$A$1:$I$88,5,0)</f>
        <v>-2.4829205358400945E-14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223.81948236065614</v>
      </c>
      <c r="BJ184" s="62">
        <f t="shared" si="146"/>
        <v>320.1204011431372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0.1544651466938162</v>
      </c>
      <c r="BQ184" s="23">
        <f>EXP(-LN(2)/25)*BQ183+(1-EXP(-LN(2)/25))/(LN(2)/25)*Calculateur!BL184*Calculateur!BN184*VLOOKUP('Données projet'!$B$11,Paramètres!$A$1:$I$88,3,0)*0.475*44/12</f>
        <v>0.26888445282342571</v>
      </c>
      <c r="BR184" s="23">
        <f>EXP(-LN(2)/2)*BR183+(1-EXP(-LN(2)/2))/(LN(2)/2)*BL184*BO184*VLOOKUP('Données projet'!$B$11,Paramètres!$A$1:$I$88,3,0)*0.475*44/12</f>
        <v>5.1977012477715734E-22</v>
      </c>
      <c r="BS184" s="24">
        <f t="shared" si="169"/>
        <v>0.42334959951724194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4.5474735088646412E-13</v>
      </c>
      <c r="O185" s="14">
        <f>N185*VLOOKUP('Données projet'!$B$9,Paramètres!$A$1:$I$88,3,0)*VLOOKUP('Données projet'!$B$9,Paramètres!$A$1:$I$88,5,0)</f>
        <v>2.5420376914553347E-13</v>
      </c>
      <c r="P185" s="14">
        <f t="shared" si="141"/>
        <v>3.4258699088369875E-12</v>
      </c>
      <c r="Q185" s="22">
        <f t="shared" si="162"/>
        <v>6.4094616558195571E-12</v>
      </c>
      <c r="R185" s="62">
        <f t="shared" si="109"/>
        <v>293.33333333333974</v>
      </c>
      <c r="S185" s="62">
        <f ca="1">AVERAGE(OFFSET($R$3,0,0,'Données projet'!$E$9+1,1))-AVERAGE(OFFSET($H$3,0,0,'Données projet'!$E$9+1,1))</f>
        <v>373.16487843768437</v>
      </c>
      <c r="T185" s="62">
        <f t="shared" si="142"/>
        <v>376.53494965377718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1.0129852539714266</v>
      </c>
      <c r="AA185" s="23">
        <f>EXP(-LN(2)/25)*AA184+(1-EXP(-LN(2)/25))/(LN(2)/25)*Calculateur!V185*Calculateur!X185*VLOOKUP('Données projet'!$B$9,Paramètres!$A$1:$I$88,3,0)*0.475*44/12</f>
        <v>0.48640832571301046</v>
      </c>
      <c r="AB185" s="23">
        <f>EXP(-LN(2)/2)*AB184+(1-EXP(-LN(2)/2))/(LN(2)/2)*V185*Y185*VLOOKUP('Données projet'!$B$9,Paramètres!$A$1:$I$88,3,0)*0.475*44/12</f>
        <v>3.3155622175967323E-22</v>
      </c>
      <c r="AC185" s="24">
        <f t="shared" si="163"/>
        <v>1.4993935796844371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projet'!$B$10,Paramètres!$A$1:$I$88,3,0)*VLOOKUP('Données projet'!$B$10,Paramètres!$A$1:$I$88,5,0)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210.04871822652808</v>
      </c>
      <c r="AO185" s="62">
        <f t="shared" si="144"/>
        <v>250.17540614049324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0.35979180267906885</v>
      </c>
      <c r="AV185" s="23">
        <f>EXP(-LN(2)/25)*AV184+(1-EXP(-LN(2)/25))/(LN(2)/25)*Calculateur!AQ185*Calculateur!AS185*VLOOKUP('Données projet'!$B$10,Paramètres!$A$1:$I$88,3,0)*0.475*44/12</f>
        <v>0.41139780312690694</v>
      </c>
      <c r="AW185" s="23">
        <f>EXP(-LN(2)/2)*AW184+(1-EXP(-LN(2)/2))/(LN(2)/2)*AQ185*AT185*VLOOKUP('Données projet'!$B$10,Paramètres!$A$1:$I$88,3,0)*0.475*44/12</f>
        <v>2.8526334221859816E-22</v>
      </c>
      <c r="AX185" s="23">
        <f t="shared" si="166"/>
        <v>0.77118960580597573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-2.8421709430404007E-14</v>
      </c>
      <c r="BE185" s="14">
        <f>BD185*VLOOKUP('Données projet'!$B$11,Paramètres!$A$1:$I$88,3,0)*VLOOKUP('Données projet'!$B$11,Paramètres!$A$1:$I$88,5,0)</f>
        <v>-2.4829205358400945E-14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223.81948236065614</v>
      </c>
      <c r="BJ185" s="62">
        <f t="shared" si="146"/>
        <v>320.1204011431372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0.15143617938158704</v>
      </c>
      <c r="BQ185" s="23">
        <f>EXP(-LN(2)/25)*BQ184+(1-EXP(-LN(2)/25))/(LN(2)/25)*Calculateur!BL185*Calculateur!BN185*VLOOKUP('Données projet'!$B$11,Paramètres!$A$1:$I$88,3,0)*0.475*44/12</f>
        <v>0.26153179332095028</v>
      </c>
      <c r="BR185" s="23">
        <f>EXP(-LN(2)/2)*BR184+(1-EXP(-LN(2)/2))/(LN(2)/2)*BL185*BO185*VLOOKUP('Données projet'!$B$11,Paramètres!$A$1:$I$88,3,0)*0.475*44/12</f>
        <v>3.6753297988810591E-22</v>
      </c>
      <c r="BS185" s="24">
        <f t="shared" si="169"/>
        <v>0.41296797270253732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4.5474735088646412E-13</v>
      </c>
      <c r="O186" s="14">
        <f>N186*VLOOKUP('Données projet'!$B$9,Paramètres!$A$1:$I$88,3,0)*VLOOKUP('Données projet'!$B$9,Paramètres!$A$1:$I$88,5,0)</f>
        <v>2.5420376914553347E-13</v>
      </c>
      <c r="P186" s="14">
        <f t="shared" si="141"/>
        <v>3.4258699088369875E-12</v>
      </c>
      <c r="Q186" s="22">
        <f t="shared" si="162"/>
        <v>6.4094616558195571E-12</v>
      </c>
      <c r="R186" s="62">
        <f t="shared" si="109"/>
        <v>293.33333333333974</v>
      </c>
      <c r="S186" s="62">
        <f ca="1">AVERAGE(OFFSET($R$3,0,0,'Données projet'!$E$9+1,1))-AVERAGE(OFFSET($H$3,0,0,'Données projet'!$E$9+1,1))</f>
        <v>373.16487843768437</v>
      </c>
      <c r="T186" s="62">
        <f t="shared" si="142"/>
        <v>376.53494965377718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0.99312123100104321</v>
      </c>
      <c r="AA186" s="23">
        <f>EXP(-LN(2)/25)*AA185+(1-EXP(-LN(2)/25))/(LN(2)/25)*Calculateur!V186*Calculateur!X186*VLOOKUP('Données projet'!$B$9,Paramètres!$A$1:$I$88,3,0)*0.475*44/12</f>
        <v>0.47310746446728602</v>
      </c>
      <c r="AB186" s="23">
        <f>EXP(-LN(2)/2)*AB185+(1-EXP(-LN(2)/2))/(LN(2)/2)*V186*Y186*VLOOKUP('Données projet'!$B$9,Paramètres!$A$1:$I$88,3,0)*0.475*44/12</f>
        <v>2.3444565275085568E-22</v>
      </c>
      <c r="AC186" s="24">
        <f t="shared" si="163"/>
        <v>1.4662286954683292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projet'!$B$10,Paramètres!$A$1:$I$88,3,0)*VLOOKUP('Données projet'!$B$10,Paramètres!$A$1:$I$88,5,0)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210.04871822652808</v>
      </c>
      <c r="AO186" s="62">
        <f t="shared" si="144"/>
        <v>250.17540614049324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0.35273650487986291</v>
      </c>
      <c r="AV186" s="23">
        <f>EXP(-LN(2)/25)*AV185+(1-EXP(-LN(2)/25))/(LN(2)/25)*Calculateur!AQ186*Calculateur!AS186*VLOOKUP('Données projet'!$B$10,Paramètres!$A$1:$I$88,3,0)*0.475*44/12</f>
        <v>0.40014810856593147</v>
      </c>
      <c r="AW186" s="23">
        <f>EXP(-LN(2)/2)*AW185+(1-EXP(-LN(2)/2))/(LN(2)/2)*AQ186*AT186*VLOOKUP('Données projet'!$B$10,Paramètres!$A$1:$I$88,3,0)*0.475*44/12</f>
        <v>2.0171164370670952E-22</v>
      </c>
      <c r="AX186" s="23">
        <f t="shared" si="166"/>
        <v>0.75288461344579438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-2.8421709430404007E-14</v>
      </c>
      <c r="BE186" s="14">
        <f>BD186*VLOOKUP('Données projet'!$B$11,Paramètres!$A$1:$I$88,3,0)*VLOOKUP('Données projet'!$B$11,Paramètres!$A$1:$I$88,5,0)</f>
        <v>-2.4829205358400945E-14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223.81948236065614</v>
      </c>
      <c r="BJ186" s="62">
        <f t="shared" si="146"/>
        <v>320.1204011431372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0.14846660827086305</v>
      </c>
      <c r="BQ186" s="23">
        <f>EXP(-LN(2)/25)*BQ185+(1-EXP(-LN(2)/25))/(LN(2)/25)*Calculateur!BL186*Calculateur!BN186*VLOOKUP('Données projet'!$B$11,Paramètres!$A$1:$I$88,3,0)*0.475*44/12</f>
        <v>0.25438019267922962</v>
      </c>
      <c r="BR186" s="23">
        <f>EXP(-LN(2)/2)*BR185+(1-EXP(-LN(2)/2))/(LN(2)/2)*BL186*BO186*VLOOKUP('Données projet'!$B$11,Paramètres!$A$1:$I$88,3,0)*0.475*44/12</f>
        <v>2.5988506238857867E-22</v>
      </c>
      <c r="BS186" s="24">
        <f t="shared" si="169"/>
        <v>0.40284680095009268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4.5474735088646412E-13</v>
      </c>
      <c r="O187" s="14">
        <f>N187*VLOOKUP('Données projet'!$B$9,Paramètres!$A$1:$I$88,3,0)*VLOOKUP('Données projet'!$B$9,Paramètres!$A$1:$I$88,5,0)</f>
        <v>2.5420376914553347E-13</v>
      </c>
      <c r="P187" s="14">
        <f t="shared" si="141"/>
        <v>3.4258699088369875E-12</v>
      </c>
      <c r="Q187" s="22">
        <f t="shared" si="162"/>
        <v>6.4094616558195571E-12</v>
      </c>
      <c r="R187" s="62">
        <f t="shared" si="109"/>
        <v>293.33333333333974</v>
      </c>
      <c r="S187" s="62">
        <f ca="1">AVERAGE(OFFSET($R$3,0,0,'Données projet'!$E$9+1,1))-AVERAGE(OFFSET($H$3,0,0,'Données projet'!$E$9+1,1))</f>
        <v>373.16487843768437</v>
      </c>
      <c r="T187" s="62">
        <f t="shared" si="142"/>
        <v>376.53494965377718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0.97364672940525143</v>
      </c>
      <c r="AA187" s="23">
        <f>EXP(-LN(2)/25)*AA186+(1-EXP(-LN(2)/25))/(LN(2)/25)*Calculateur!V187*Calculateur!X187*VLOOKUP('Données projet'!$B$9,Paramètres!$A$1:$I$88,3,0)*0.475*44/12</f>
        <v>0.46017031597178781</v>
      </c>
      <c r="AB187" s="23">
        <f>EXP(-LN(2)/2)*AB186+(1-EXP(-LN(2)/2))/(LN(2)/2)*V187*Y187*VLOOKUP('Données projet'!$B$9,Paramètres!$A$1:$I$88,3,0)*0.475*44/12</f>
        <v>1.6577811087983662E-22</v>
      </c>
      <c r="AC187" s="24">
        <f t="shared" si="163"/>
        <v>1.4338170453770394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projet'!$B$10,Paramètres!$A$1:$I$88,3,0)*VLOOKUP('Données projet'!$B$10,Paramètres!$A$1:$I$88,5,0)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210.04871822652808</v>
      </c>
      <c r="AO187" s="62">
        <f t="shared" si="144"/>
        <v>250.17540614049324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0.34581955716719265</v>
      </c>
      <c r="AV187" s="23">
        <f>EXP(-LN(2)/25)*AV186+(1-EXP(-LN(2)/25))/(LN(2)/25)*Calculateur!AQ187*Calculateur!AS187*VLOOKUP('Données projet'!$B$10,Paramètres!$A$1:$I$88,3,0)*0.475*44/12</f>
        <v>0.38920603749432159</v>
      </c>
      <c r="AW187" s="23">
        <f>EXP(-LN(2)/2)*AW186+(1-EXP(-LN(2)/2))/(LN(2)/2)*AQ187*AT187*VLOOKUP('Données projet'!$B$10,Paramètres!$A$1:$I$88,3,0)*0.475*44/12</f>
        <v>1.4263167110929908E-22</v>
      </c>
      <c r="AX187" s="23">
        <f t="shared" si="166"/>
        <v>0.73502559466151429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-2.8421709430404007E-14</v>
      </c>
      <c r="BE187" s="14">
        <f>BD187*VLOOKUP('Données projet'!$B$11,Paramètres!$A$1:$I$88,3,0)*VLOOKUP('Données projet'!$B$11,Paramètres!$A$1:$I$88,5,0)</f>
        <v>-2.4829205358400945E-14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223.81948236065614</v>
      </c>
      <c r="BJ187" s="62">
        <f t="shared" si="146"/>
        <v>320.1204011431372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0.14555526863836085</v>
      </c>
      <c r="BQ187" s="23">
        <f>EXP(-LN(2)/25)*BQ186+(1-EXP(-LN(2)/25))/(LN(2)/25)*Calculateur!BL187*Calculateur!BN187*VLOOKUP('Données projet'!$B$11,Paramètres!$A$1:$I$88,3,0)*0.475*44/12</f>
        <v>0.24742415293314315</v>
      </c>
      <c r="BR187" s="23">
        <f>EXP(-LN(2)/2)*BR186+(1-EXP(-LN(2)/2))/(LN(2)/2)*BL187*BO187*VLOOKUP('Données projet'!$B$11,Paramètres!$A$1:$I$88,3,0)*0.475*44/12</f>
        <v>1.8376648994405295E-22</v>
      </c>
      <c r="BS187" s="24">
        <f t="shared" si="169"/>
        <v>0.39297942157150401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4.5474735088646412E-13</v>
      </c>
      <c r="O188" s="14">
        <f>N188*VLOOKUP('Données projet'!$B$9,Paramètres!$A$1:$I$88,3,0)*VLOOKUP('Données projet'!$B$9,Paramètres!$A$1:$I$88,5,0)</f>
        <v>2.5420376914553347E-13</v>
      </c>
      <c r="P188" s="14">
        <f t="shared" si="141"/>
        <v>3.4258699088369875E-12</v>
      </c>
      <c r="Q188" s="22">
        <f t="shared" si="162"/>
        <v>6.4094616558195571E-12</v>
      </c>
      <c r="R188" s="62">
        <f t="shared" si="109"/>
        <v>293.33333333333974</v>
      </c>
      <c r="S188" s="62">
        <f ca="1">AVERAGE(OFFSET($R$3,0,0,'Données projet'!$E$9+1,1))-AVERAGE(OFFSET($H$3,0,0,'Données projet'!$E$9+1,1))</f>
        <v>373.16487843768437</v>
      </c>
      <c r="T188" s="62">
        <f t="shared" si="142"/>
        <v>376.53494965377718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0.95455411090747999</v>
      </c>
      <c r="AA188" s="23">
        <f>EXP(-LN(2)/25)*AA187+(1-EXP(-LN(2)/25))/(LN(2)/25)*Calculateur!V188*Calculateur!X188*VLOOKUP('Données projet'!$B$9,Paramètres!$A$1:$I$88,3,0)*0.475*44/12</f>
        <v>0.44758693448223408</v>
      </c>
      <c r="AB188" s="23">
        <f>EXP(-LN(2)/2)*AB187+(1-EXP(-LN(2)/2))/(LN(2)/2)*V188*Y188*VLOOKUP('Données projet'!$B$9,Paramètres!$A$1:$I$88,3,0)*0.475*44/12</f>
        <v>1.1722282637542784E-22</v>
      </c>
      <c r="AC188" s="24">
        <f t="shared" si="163"/>
        <v>1.4021410453897141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projet'!$B$10,Paramètres!$A$1:$I$88,3,0)*VLOOKUP('Données projet'!$B$10,Paramètres!$A$1:$I$88,5,0)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210.04871822652808</v>
      </c>
      <c r="AO188" s="62">
        <f t="shared" si="144"/>
        <v>250.17540614049324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0.33903824658024634</v>
      </c>
      <c r="AV188" s="23">
        <f>EXP(-LN(2)/25)*AV187+(1-EXP(-LN(2)/25))/(LN(2)/25)*Calculateur!AQ188*Calculateur!AS188*VLOOKUP('Données projet'!$B$10,Paramètres!$A$1:$I$88,3,0)*0.475*44/12</f>
        <v>0.37856317793158339</v>
      </c>
      <c r="AW188" s="23">
        <f>EXP(-LN(2)/2)*AW187+(1-EXP(-LN(2)/2))/(LN(2)/2)*AQ188*AT188*VLOOKUP('Données projet'!$B$10,Paramètres!$A$1:$I$88,3,0)*0.475*44/12</f>
        <v>1.0085582185335476E-22</v>
      </c>
      <c r="AX188" s="23">
        <f t="shared" si="166"/>
        <v>0.71760142451182973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-2.8421709430404007E-14</v>
      </c>
      <c r="BE188" s="14">
        <f>BD188*VLOOKUP('Données projet'!$B$11,Paramètres!$A$1:$I$88,3,0)*VLOOKUP('Données projet'!$B$11,Paramètres!$A$1:$I$88,5,0)</f>
        <v>-2.4829205358400945E-14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223.81948236065614</v>
      </c>
      <c r="BJ188" s="62">
        <f t="shared" si="146"/>
        <v>320.1204011431372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0.14270101860031018</v>
      </c>
      <c r="BQ188" s="23">
        <f>EXP(-LN(2)/25)*BQ187+(1-EXP(-LN(2)/25))/(LN(2)/25)*Calculateur!BL188*Calculateur!BN188*VLOOKUP('Données projet'!$B$11,Paramètres!$A$1:$I$88,3,0)*0.475*44/12</f>
        <v>0.24065832645971566</v>
      </c>
      <c r="BR188" s="23">
        <f>EXP(-LN(2)/2)*BR187+(1-EXP(-LN(2)/2))/(LN(2)/2)*BL188*BO188*VLOOKUP('Données projet'!$B$11,Paramètres!$A$1:$I$88,3,0)*0.475*44/12</f>
        <v>1.2994253119428934E-22</v>
      </c>
      <c r="BS188" s="24">
        <f t="shared" si="169"/>
        <v>0.38335934506002584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4.5474735088646412E-13</v>
      </c>
      <c r="O189" s="14">
        <f>N189*VLOOKUP('Données projet'!$B$9,Paramètres!$A$1:$I$88,3,0)*VLOOKUP('Données projet'!$B$9,Paramètres!$A$1:$I$88,5,0)</f>
        <v>2.5420376914553347E-13</v>
      </c>
      <c r="P189" s="14">
        <f t="shared" si="141"/>
        <v>3.4258699088369875E-12</v>
      </c>
      <c r="Q189" s="22">
        <f t="shared" si="162"/>
        <v>6.4094616558195571E-12</v>
      </c>
      <c r="R189" s="62">
        <f t="shared" si="109"/>
        <v>293.33333333333974</v>
      </c>
      <c r="S189" s="62">
        <f ca="1">AVERAGE(OFFSET($R$3,0,0,'Données projet'!$E$9+1,1))-AVERAGE(OFFSET($H$3,0,0,'Données projet'!$E$9+1,1))</f>
        <v>373.16487843768437</v>
      </c>
      <c r="T189" s="62">
        <f t="shared" si="142"/>
        <v>376.53494965377718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0.9358358870131025</v>
      </c>
      <c r="AA189" s="23">
        <f>EXP(-LN(2)/25)*AA188+(1-EXP(-LN(2)/25))/(LN(2)/25)*Calculateur!V189*Calculateur!X189*VLOOKUP('Données projet'!$B$9,Paramètres!$A$1:$I$88,3,0)*0.475*44/12</f>
        <v>0.4353476462212435</v>
      </c>
      <c r="AB189" s="23">
        <f>EXP(-LN(2)/2)*AB188+(1-EXP(-LN(2)/2))/(LN(2)/2)*V189*Y189*VLOOKUP('Données projet'!$B$9,Paramètres!$A$1:$I$88,3,0)*0.475*44/12</f>
        <v>8.2889055439918308E-23</v>
      </c>
      <c r="AC189" s="24">
        <f t="shared" si="163"/>
        <v>1.3711835332343461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projet'!$B$10,Paramètres!$A$1:$I$88,3,0)*VLOOKUP('Données projet'!$B$10,Paramètres!$A$1:$I$88,5,0)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210.04871822652808</v>
      </c>
      <c r="AO189" s="62">
        <f t="shared" si="144"/>
        <v>250.17540614049324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0.332389913357719</v>
      </c>
      <c r="AV189" s="23">
        <f>EXP(-LN(2)/25)*AV188+(1-EXP(-LN(2)/25))/(LN(2)/25)*Calculateur!AQ189*Calculateur!AS189*VLOOKUP('Données projet'!$B$10,Paramètres!$A$1:$I$88,3,0)*0.475*44/12</f>
        <v>0.36821134792327193</v>
      </c>
      <c r="AW189" s="23">
        <f>EXP(-LN(2)/2)*AW188+(1-EXP(-LN(2)/2))/(LN(2)/2)*AQ189*AT189*VLOOKUP('Données projet'!$B$10,Paramètres!$A$1:$I$88,3,0)*0.475*44/12</f>
        <v>7.1315835554649541E-23</v>
      </c>
      <c r="AX189" s="23">
        <f t="shared" si="166"/>
        <v>0.70060126128099087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-2.8421709430404007E-14</v>
      </c>
      <c r="BE189" s="14">
        <f>BD189*VLOOKUP('Données projet'!$B$11,Paramètres!$A$1:$I$88,3,0)*VLOOKUP('Données projet'!$B$11,Paramètres!$A$1:$I$88,5,0)</f>
        <v>-2.4829205358400945E-14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223.81948236065614</v>
      </c>
      <c r="BJ189" s="62">
        <f t="shared" si="146"/>
        <v>320.1204011431372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0.13990273866458505</v>
      </c>
      <c r="BQ189" s="23">
        <f>EXP(-LN(2)/25)*BQ188+(1-EXP(-LN(2)/25))/(LN(2)/25)*Calculateur!BL189*Calculateur!BN189*VLOOKUP('Données projet'!$B$11,Paramètres!$A$1:$I$88,3,0)*0.475*44/12</f>
        <v>0.23407751186700337</v>
      </c>
      <c r="BR189" s="23">
        <f>EXP(-LN(2)/2)*BR188+(1-EXP(-LN(2)/2))/(LN(2)/2)*BL189*BO189*VLOOKUP('Données projet'!$B$11,Paramètres!$A$1:$I$88,3,0)*0.475*44/12</f>
        <v>9.1883244972026477E-23</v>
      </c>
      <c r="BS189" s="24">
        <f t="shared" si="169"/>
        <v>0.37398025053158845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4.5474735088646412E-13</v>
      </c>
      <c r="O190" s="14">
        <f>N190*VLOOKUP('Données projet'!$B$9,Paramètres!$A$1:$I$88,3,0)*VLOOKUP('Données projet'!$B$9,Paramètres!$A$1:$I$88,5,0)</f>
        <v>2.5420376914553347E-13</v>
      </c>
      <c r="P190" s="14">
        <f t="shared" si="141"/>
        <v>3.4258699088369875E-12</v>
      </c>
      <c r="Q190" s="22">
        <f t="shared" si="162"/>
        <v>6.4094616558195571E-12</v>
      </c>
      <c r="R190" s="62">
        <f t="shared" si="109"/>
        <v>293.33333333333974</v>
      </c>
      <c r="S190" s="62">
        <f ca="1">AVERAGE(OFFSET($R$3,0,0,'Données projet'!$E$9+1,1))-AVERAGE(OFFSET($H$3,0,0,'Données projet'!$E$9+1,1))</f>
        <v>373.16487843768437</v>
      </c>
      <c r="T190" s="62">
        <f t="shared" si="142"/>
        <v>376.53494965377718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0.91748471607230442</v>
      </c>
      <c r="AA190" s="23">
        <f>EXP(-LN(2)/25)*AA189+(1-EXP(-LN(2)/25))/(LN(2)/25)*Calculateur!V190*Calculateur!X190*VLOOKUP('Données projet'!$B$9,Paramètres!$A$1:$I$88,3,0)*0.475*44/12</f>
        <v>0.42344304194138588</v>
      </c>
      <c r="AB190" s="23">
        <f>EXP(-LN(2)/2)*AB189+(1-EXP(-LN(2)/2))/(LN(2)/2)*V190*Y190*VLOOKUP('Données projet'!$B$9,Paramètres!$A$1:$I$88,3,0)*0.475*44/12</f>
        <v>5.8611413187713921E-23</v>
      </c>
      <c r="AC190" s="24">
        <f t="shared" si="163"/>
        <v>1.3409277580136902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projet'!$B$10,Paramètres!$A$1:$I$88,3,0)*VLOOKUP('Données projet'!$B$10,Paramètres!$A$1:$I$88,5,0)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210.04871822652808</v>
      </c>
      <c r="AO190" s="62">
        <f t="shared" si="144"/>
        <v>250.17540614049324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0.32587194989460261</v>
      </c>
      <c r="AV190" s="23">
        <f>EXP(-LN(2)/25)*AV189+(1-EXP(-LN(2)/25))/(LN(2)/25)*Calculateur!AQ190*Calculateur!AS190*VLOOKUP('Données projet'!$B$10,Paramètres!$A$1:$I$88,3,0)*0.475*44/12</f>
        <v>0.3581425892509168</v>
      </c>
      <c r="AW190" s="23">
        <f>EXP(-LN(2)/2)*AW189+(1-EXP(-LN(2)/2))/(LN(2)/2)*AQ190*AT190*VLOOKUP('Données projet'!$B$10,Paramètres!$A$1:$I$88,3,0)*0.475*44/12</f>
        <v>5.0427910926677379E-23</v>
      </c>
      <c r="AX190" s="23">
        <f t="shared" si="166"/>
        <v>0.68401453914551946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-2.8421709430404007E-14</v>
      </c>
      <c r="BE190" s="14">
        <f>BD190*VLOOKUP('Données projet'!$B$11,Paramètres!$A$1:$I$88,3,0)*VLOOKUP('Données projet'!$B$11,Paramètres!$A$1:$I$88,5,0)</f>
        <v>-2.4829205358400945E-14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223.81948236065614</v>
      </c>
      <c r="BJ190" s="62">
        <f t="shared" si="146"/>
        <v>320.1204011431372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0.13715933129161725</v>
      </c>
      <c r="BQ190" s="23">
        <f>EXP(-LN(2)/25)*BQ189+(1-EXP(-LN(2)/25))/(LN(2)/25)*Calculateur!BL190*Calculateur!BN190*VLOOKUP('Données projet'!$B$11,Paramètres!$A$1:$I$88,3,0)*0.475*44/12</f>
        <v>0.2276766499953988</v>
      </c>
      <c r="BR190" s="23">
        <f>EXP(-LN(2)/2)*BR189+(1-EXP(-LN(2)/2))/(LN(2)/2)*BL190*BO190*VLOOKUP('Données projet'!$B$11,Paramètres!$A$1:$I$88,3,0)*0.475*44/12</f>
        <v>6.4971265597144668E-23</v>
      </c>
      <c r="BS190" s="24">
        <f t="shared" si="169"/>
        <v>0.36483598128701605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4.5474735088646412E-13</v>
      </c>
      <c r="O191" s="14">
        <f>N191*VLOOKUP('Données projet'!$B$9,Paramètres!$A$1:$I$88,3,0)*VLOOKUP('Données projet'!$B$9,Paramètres!$A$1:$I$88,5,0)</f>
        <v>2.5420376914553347E-13</v>
      </c>
      <c r="P191" s="14">
        <f t="shared" si="141"/>
        <v>3.4258699088369875E-12</v>
      </c>
      <c r="Q191" s="22">
        <f t="shared" si="162"/>
        <v>6.4094616558195571E-12</v>
      </c>
      <c r="R191" s="62">
        <f t="shared" si="109"/>
        <v>293.33333333333974</v>
      </c>
      <c r="S191" s="62">
        <f ca="1">AVERAGE(OFFSET($R$3,0,0,'Données projet'!$E$9+1,1))-AVERAGE(OFFSET($H$3,0,0,'Données projet'!$E$9+1,1))</f>
        <v>373.16487843768437</v>
      </c>
      <c r="T191" s="62">
        <f t="shared" si="142"/>
        <v>376.53494965377718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0.89949340040054637</v>
      </c>
      <c r="AA191" s="23">
        <f>EXP(-LN(2)/25)*AA190+(1-EXP(-LN(2)/25))/(LN(2)/25)*Calculateur!V191*Calculateur!X191*VLOOKUP('Données projet'!$B$9,Paramètres!$A$1:$I$88,3,0)*0.475*44/12</f>
        <v>0.41186396969159689</v>
      </c>
      <c r="AB191" s="23">
        <f>EXP(-LN(2)/2)*AB190+(1-EXP(-LN(2)/2))/(LN(2)/2)*V191*Y191*VLOOKUP('Données projet'!$B$9,Paramètres!$A$1:$I$88,3,0)*0.475*44/12</f>
        <v>4.1444527719959154E-23</v>
      </c>
      <c r="AC191" s="24">
        <f t="shared" si="163"/>
        <v>1.3113573700921433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projet'!$B$10,Paramètres!$A$1:$I$88,3,0)*VLOOKUP('Données projet'!$B$10,Paramètres!$A$1:$I$88,5,0)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210.04871822652808</v>
      </c>
      <c r="AO191" s="62">
        <f t="shared" si="144"/>
        <v>250.17540614049324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0.31948179971943275</v>
      </c>
      <c r="AV191" s="23">
        <f>EXP(-LN(2)/25)*AV190+(1-EXP(-LN(2)/25))/(LN(2)/25)*Calculateur!AQ191*Calculateur!AS191*VLOOKUP('Données projet'!$B$10,Paramètres!$A$1:$I$88,3,0)*0.475*44/12</f>
        <v>0.34834916131395027</v>
      </c>
      <c r="AW191" s="23">
        <f>EXP(-LN(2)/2)*AW190+(1-EXP(-LN(2)/2))/(LN(2)/2)*AQ191*AT191*VLOOKUP('Données projet'!$B$10,Paramètres!$A$1:$I$88,3,0)*0.475*44/12</f>
        <v>3.565791777732477E-23</v>
      </c>
      <c r="AX191" s="23">
        <f t="shared" si="166"/>
        <v>0.66783096103338302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-2.8421709430404007E-14</v>
      </c>
      <c r="BE191" s="14">
        <f>BD191*VLOOKUP('Données projet'!$B$11,Paramètres!$A$1:$I$88,3,0)*VLOOKUP('Données projet'!$B$11,Paramètres!$A$1:$I$88,5,0)</f>
        <v>-2.4829205358400945E-14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223.81948236065614</v>
      </c>
      <c r="BJ191" s="62">
        <f t="shared" si="146"/>
        <v>320.1204011431372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0.13446972046392008</v>
      </c>
      <c r="BQ191" s="23">
        <f>EXP(-LN(2)/25)*BQ190+(1-EXP(-LN(2)/25))/(LN(2)/25)*Calculateur!BL191*Calculateur!BN191*VLOOKUP('Données projet'!$B$11,Paramètres!$A$1:$I$88,3,0)*0.475*44/12</f>
        <v>0.22145082002827995</v>
      </c>
      <c r="BR191" s="23">
        <f>EXP(-LN(2)/2)*BR190+(1-EXP(-LN(2)/2))/(LN(2)/2)*BL191*BO191*VLOOKUP('Données projet'!$B$11,Paramètres!$A$1:$I$88,3,0)*0.475*44/12</f>
        <v>4.5941622486013239E-23</v>
      </c>
      <c r="BS191" s="24">
        <f t="shared" si="169"/>
        <v>0.35592054049220001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4.5474735088646412E-13</v>
      </c>
      <c r="O192" s="14">
        <f>N192*VLOOKUP('Données projet'!$B$9,Paramètres!$A$1:$I$88,3,0)*VLOOKUP('Données projet'!$B$9,Paramètres!$A$1:$I$88,5,0)</f>
        <v>2.5420376914553347E-13</v>
      </c>
      <c r="P192" s="14">
        <f t="shared" si="141"/>
        <v>3.4258699088369875E-12</v>
      </c>
      <c r="Q192" s="22">
        <f t="shared" si="162"/>
        <v>6.4094616558195571E-12</v>
      </c>
      <c r="R192" s="62">
        <f t="shared" si="109"/>
        <v>293.33333333333974</v>
      </c>
      <c r="S192" s="62">
        <f ca="1">AVERAGE(OFFSET($R$3,0,0,'Données projet'!$E$9+1,1))-AVERAGE(OFFSET($H$3,0,0,'Données projet'!$E$9+1,1))</f>
        <v>373.16487843768437</v>
      </c>
      <c r="T192" s="62">
        <f t="shared" si="142"/>
        <v>376.53494965377718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0.88185488345549257</v>
      </c>
      <c r="AA192" s="23">
        <f>EXP(-LN(2)/25)*AA191+(1-EXP(-LN(2)/25))/(LN(2)/25)*Calculateur!V192*Calculateur!X192*VLOOKUP('Données projet'!$B$9,Paramètres!$A$1:$I$88,3,0)*0.475*44/12</f>
        <v>0.40060152778139535</v>
      </c>
      <c r="AB192" s="23">
        <f>EXP(-LN(2)/2)*AB191+(1-EXP(-LN(2)/2))/(LN(2)/2)*V192*Y192*VLOOKUP('Données projet'!$B$9,Paramètres!$A$1:$I$88,3,0)*0.475*44/12</f>
        <v>2.9305706593856961E-23</v>
      </c>
      <c r="AC192" s="24">
        <f t="shared" si="163"/>
        <v>1.2824564112368879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projet'!$B$10,Paramètres!$A$1:$I$88,3,0)*VLOOKUP('Données projet'!$B$10,Paramètres!$A$1:$I$88,5,0)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210.04871822652808</v>
      </c>
      <c r="AO192" s="62">
        <f t="shared" si="144"/>
        <v>250.17540614049324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0.3132169564915912</v>
      </c>
      <c r="AV192" s="23">
        <f>EXP(-LN(2)/25)*AV191+(1-EXP(-LN(2)/25))/(LN(2)/25)*Calculateur!AQ192*Calculateur!AS192*VLOOKUP('Données projet'!$B$10,Paramètres!$A$1:$I$88,3,0)*0.475*44/12</f>
        <v>0.3388235351789341</v>
      </c>
      <c r="AW192" s="23">
        <f>EXP(-LN(2)/2)*AW191+(1-EXP(-LN(2)/2))/(LN(2)/2)*AQ192*AT192*VLOOKUP('Données projet'!$B$10,Paramètres!$A$1:$I$88,3,0)*0.475*44/12</f>
        <v>2.521395546333869E-23</v>
      </c>
      <c r="AX192" s="23">
        <f t="shared" si="166"/>
        <v>0.65204049167052536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-2.8421709430404007E-14</v>
      </c>
      <c r="BE192" s="14">
        <f>BD192*VLOOKUP('Données projet'!$B$11,Paramètres!$A$1:$I$88,3,0)*VLOOKUP('Données projet'!$B$11,Paramètres!$A$1:$I$88,5,0)</f>
        <v>-2.4829205358400945E-14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223.81948236065614</v>
      </c>
      <c r="BJ192" s="62">
        <f t="shared" si="146"/>
        <v>320.1204011431372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0.13183285126405345</v>
      </c>
      <c r="BQ192" s="23">
        <f>EXP(-LN(2)/25)*BQ191+(1-EXP(-LN(2)/25))/(LN(2)/25)*Calculateur!BL192*Calculateur!BN192*VLOOKUP('Données projet'!$B$11,Paramètres!$A$1:$I$88,3,0)*0.475*44/12</f>
        <v>0.21539523570901414</v>
      </c>
      <c r="BR192" s="23">
        <f>EXP(-LN(2)/2)*BR191+(1-EXP(-LN(2)/2))/(LN(2)/2)*BL192*BO192*VLOOKUP('Données projet'!$B$11,Paramètres!$A$1:$I$88,3,0)*0.475*44/12</f>
        <v>3.2485632798572334E-23</v>
      </c>
      <c r="BS192" s="24">
        <f t="shared" si="169"/>
        <v>0.34722808697306762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4.5474735088646412E-13</v>
      </c>
      <c r="O193" s="14">
        <f>N193*VLOOKUP('Données projet'!$B$9,Paramètres!$A$1:$I$88,3,0)*VLOOKUP('Données projet'!$B$9,Paramètres!$A$1:$I$88,5,0)</f>
        <v>2.5420376914553347E-13</v>
      </c>
      <c r="P193" s="14">
        <f t="shared" si="141"/>
        <v>3.4258699088369875E-12</v>
      </c>
      <c r="Q193" s="22">
        <f t="shared" si="162"/>
        <v>6.4094616558195571E-12</v>
      </c>
      <c r="R193" s="62">
        <f t="shared" si="109"/>
        <v>293.33333333333974</v>
      </c>
      <c r="S193" s="62">
        <f ca="1">AVERAGE(OFFSET($R$3,0,0,'Données projet'!$E$9+1,1))-AVERAGE(OFFSET($H$3,0,0,'Données projet'!$E$9+1,1))</f>
        <v>373.16487843768437</v>
      </c>
      <c r="T193" s="62">
        <f t="shared" si="142"/>
        <v>376.53494965377718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0.86456224706929818</v>
      </c>
      <c r="AA193" s="23">
        <f>EXP(-LN(2)/25)*AA192+(1-EXP(-LN(2)/25))/(LN(2)/25)*Calculateur!V193*Calculateur!X193*VLOOKUP('Données projet'!$B$9,Paramètres!$A$1:$I$88,3,0)*0.475*44/12</f>
        <v>0.38964705793749432</v>
      </c>
      <c r="AB193" s="23">
        <f>EXP(-LN(2)/2)*AB192+(1-EXP(-LN(2)/2))/(LN(2)/2)*V193*Y193*VLOOKUP('Données projet'!$B$9,Paramètres!$A$1:$I$88,3,0)*0.475*44/12</f>
        <v>2.0722263859979577E-23</v>
      </c>
      <c r="AC193" s="24">
        <f t="shared" si="163"/>
        <v>1.2542093050067926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projet'!$B$10,Paramètres!$A$1:$I$88,3,0)*VLOOKUP('Données projet'!$B$10,Paramètres!$A$1:$I$88,5,0)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210.04871822652808</v>
      </c>
      <c r="AO193" s="62">
        <f t="shared" si="144"/>
        <v>250.17540614049324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0.30707496301827059</v>
      </c>
      <c r="AV193" s="23">
        <f>EXP(-LN(2)/25)*AV192+(1-EXP(-LN(2)/25))/(LN(2)/25)*Calculateur!AQ193*Calculateur!AS193*VLOOKUP('Données projet'!$B$10,Paramètres!$A$1:$I$88,3,0)*0.475*44/12</f>
        <v>0.32955838779151081</v>
      </c>
      <c r="AW193" s="23">
        <f>EXP(-LN(2)/2)*AW192+(1-EXP(-LN(2)/2))/(LN(2)/2)*AQ193*AT193*VLOOKUP('Données projet'!$B$10,Paramètres!$A$1:$I$88,3,0)*0.475*44/12</f>
        <v>1.7828958888662385E-23</v>
      </c>
      <c r="AX193" s="23">
        <f t="shared" si="166"/>
        <v>0.63663335080978145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-2.8421709430404007E-14</v>
      </c>
      <c r="BE193" s="14">
        <f>BD193*VLOOKUP('Données projet'!$B$11,Paramètres!$A$1:$I$88,3,0)*VLOOKUP('Données projet'!$B$11,Paramètres!$A$1:$I$88,5,0)</f>
        <v>-2.4829205358400945E-14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223.81948236065614</v>
      </c>
      <c r="BJ193" s="62">
        <f t="shared" si="146"/>
        <v>320.1204011431372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0.12924768946086479</v>
      </c>
      <c r="BQ193" s="23">
        <f>EXP(-LN(2)/25)*BQ192+(1-EXP(-LN(2)/25))/(LN(2)/25)*Calculateur!BL193*Calculateur!BN193*VLOOKUP('Données projet'!$B$11,Paramètres!$A$1:$I$88,3,0)*0.475*44/12</f>
        <v>0.20950524166140799</v>
      </c>
      <c r="BR193" s="23">
        <f>EXP(-LN(2)/2)*BR192+(1-EXP(-LN(2)/2))/(LN(2)/2)*BL193*BO193*VLOOKUP('Données projet'!$B$11,Paramètres!$A$1:$I$88,3,0)*0.475*44/12</f>
        <v>2.2970811243006619E-23</v>
      </c>
      <c r="BS193" s="24">
        <f t="shared" si="169"/>
        <v>0.33875293112227278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4.5474735088646412E-13</v>
      </c>
      <c r="O194" s="14">
        <f>N194*VLOOKUP('Données projet'!$B$9,Paramètres!$A$1:$I$88,3,0)*VLOOKUP('Données projet'!$B$9,Paramètres!$A$1:$I$88,5,0)</f>
        <v>2.5420376914553347E-13</v>
      </c>
      <c r="P194" s="14">
        <f t="shared" si="141"/>
        <v>3.4258699088369875E-12</v>
      </c>
      <c r="Q194" s="22">
        <f t="shared" si="162"/>
        <v>6.4094616558195571E-12</v>
      </c>
      <c r="R194" s="62">
        <f t="shared" si="109"/>
        <v>293.33333333333974</v>
      </c>
      <c r="S194" s="62">
        <f ca="1">AVERAGE(OFFSET($R$3,0,0,'Données projet'!$E$9+1,1))-AVERAGE(OFFSET($H$3,0,0,'Données projet'!$E$9+1,1))</f>
        <v>373.16487843768437</v>
      </c>
      <c r="T194" s="62">
        <f t="shared" si="142"/>
        <v>376.53494965377718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0.84760870873517036</v>
      </c>
      <c r="AA194" s="23">
        <f>EXP(-LN(2)/25)*AA193+(1-EXP(-LN(2)/25))/(LN(2)/25)*Calculateur!V194*Calculateur!X194*VLOOKUP('Données projet'!$B$9,Paramètres!$A$1:$I$88,3,0)*0.475*44/12</f>
        <v>0.37899213864754533</v>
      </c>
      <c r="AB194" s="23">
        <f>EXP(-LN(2)/2)*AB193+(1-EXP(-LN(2)/2))/(LN(2)/2)*V194*Y194*VLOOKUP('Données projet'!$B$9,Paramètres!$A$1:$I$88,3,0)*0.475*44/12</f>
        <v>1.465285329692848E-23</v>
      </c>
      <c r="AC194" s="24">
        <f t="shared" si="163"/>
        <v>1.2266008473827157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projet'!$B$10,Paramètres!$A$1:$I$88,3,0)*VLOOKUP('Données projet'!$B$10,Paramètres!$A$1:$I$88,5,0)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210.04871822652808</v>
      </c>
      <c r="AO194" s="62">
        <f t="shared" si="144"/>
        <v>250.17540614049324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0.3010534102907157</v>
      </c>
      <c r="AV194" s="23">
        <f>EXP(-LN(2)/25)*AV193+(1-EXP(-LN(2)/25))/(LN(2)/25)*Calculateur!AQ194*Calculateur!AS194*VLOOKUP('Données projet'!$B$10,Paramètres!$A$1:$I$88,3,0)*0.475*44/12</f>
        <v>0.32054659634662958</v>
      </c>
      <c r="AW194" s="23">
        <f>EXP(-LN(2)/2)*AW193+(1-EXP(-LN(2)/2))/(LN(2)/2)*AQ194*AT194*VLOOKUP('Données projet'!$B$10,Paramètres!$A$1:$I$88,3,0)*0.475*44/12</f>
        <v>1.2606977731669345E-23</v>
      </c>
      <c r="AX194" s="23">
        <f t="shared" si="166"/>
        <v>0.62160000663734527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-2.8421709430404007E-14</v>
      </c>
      <c r="BE194" s="14">
        <f>BD194*VLOOKUP('Données projet'!$B$11,Paramètres!$A$1:$I$88,3,0)*VLOOKUP('Données projet'!$B$11,Paramètres!$A$1:$I$88,5,0)</f>
        <v>-2.4829205358400945E-14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223.81948236065614</v>
      </c>
      <c r="BJ194" s="62">
        <f t="shared" si="146"/>
        <v>320.1204011431372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0.12671322110384367</v>
      </c>
      <c r="BQ194" s="23">
        <f>EXP(-LN(2)/25)*BQ193+(1-EXP(-LN(2)/25))/(LN(2)/25)*Calculateur!BL194*Calculateur!BN194*VLOOKUP('Données projet'!$B$11,Paramètres!$A$1:$I$88,3,0)*0.475*44/12</f>
        <v>0.20377630981077496</v>
      </c>
      <c r="BR194" s="23">
        <f>EXP(-LN(2)/2)*BR193+(1-EXP(-LN(2)/2))/(LN(2)/2)*BL194*BO194*VLOOKUP('Données projet'!$B$11,Paramètres!$A$1:$I$88,3,0)*0.475*44/12</f>
        <v>1.6242816399286167E-23</v>
      </c>
      <c r="BS194" s="24">
        <f t="shared" si="169"/>
        <v>0.33048953091461863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4.5474735088646412E-13</v>
      </c>
      <c r="O195" s="14">
        <f>N195*VLOOKUP('Données projet'!$B$9,Paramètres!$A$1:$I$88,3,0)*VLOOKUP('Données projet'!$B$9,Paramètres!$A$1:$I$88,5,0)</f>
        <v>2.5420376914553347E-13</v>
      </c>
      <c r="P195" s="14">
        <f t="shared" si="141"/>
        <v>3.4258699088369875E-12</v>
      </c>
      <c r="Q195" s="22">
        <f t="shared" si="162"/>
        <v>6.4094616558195571E-12</v>
      </c>
      <c r="R195" s="62">
        <f t="shared" ref="R195:R203" si="191">Q195+(I195+J195)*44/12</f>
        <v>293.33333333333974</v>
      </c>
      <c r="S195" s="62">
        <f ca="1">AVERAGE(OFFSET($R$3,0,0,'Données projet'!$E$9+1,1))-AVERAGE(OFFSET($H$3,0,0,'Données projet'!$E$9+1,1))</f>
        <v>373.16487843768437</v>
      </c>
      <c r="T195" s="62">
        <f t="shared" si="142"/>
        <v>376.53494965377718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0.83098761894713746</v>
      </c>
      <c r="AA195" s="23">
        <f>EXP(-LN(2)/25)*AA194+(1-EXP(-LN(2)/25))/(LN(2)/25)*Calculateur!V195*Calculateur!X195*VLOOKUP('Données projet'!$B$9,Paramètres!$A$1:$I$88,3,0)*0.475*44/12</f>
        <v>0.36862857868589782</v>
      </c>
      <c r="AB195" s="23">
        <f>EXP(-LN(2)/2)*AB194+(1-EXP(-LN(2)/2))/(LN(2)/2)*V195*Y195*VLOOKUP('Données projet'!$B$9,Paramètres!$A$1:$I$88,3,0)*0.475*44/12</f>
        <v>1.0361131929989788E-23</v>
      </c>
      <c r="AC195" s="24">
        <f t="shared" si="163"/>
        <v>1.1996161976330353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projet'!$B$10,Paramètres!$A$1:$I$88,3,0)*VLOOKUP('Données projet'!$B$10,Paramètres!$A$1:$I$88,5,0)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210.04871822652808</v>
      </c>
      <c r="AO195" s="62">
        <f t="shared" si="144"/>
        <v>250.17540614049324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0.29514993653936361</v>
      </c>
      <c r="AV195" s="23">
        <f>EXP(-LN(2)/25)*AV194+(1-EXP(-LN(2)/25))/(LN(2)/25)*Calculateur!AQ195*Calculateur!AS195*VLOOKUP('Données projet'!$B$10,Paramètres!$A$1:$I$88,3,0)*0.475*44/12</f>
        <v>0.31178123281271813</v>
      </c>
      <c r="AW195" s="23">
        <f>EXP(-LN(2)/2)*AW194+(1-EXP(-LN(2)/2))/(LN(2)/2)*AQ195*AT195*VLOOKUP('Données projet'!$B$10,Paramètres!$A$1:$I$88,3,0)*0.475*44/12</f>
        <v>8.9144794443311926E-24</v>
      </c>
      <c r="AX195" s="23">
        <f t="shared" si="166"/>
        <v>0.6069311693520818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-2.8421709430404007E-14</v>
      </c>
      <c r="BE195" s="14">
        <f>BD195*VLOOKUP('Données projet'!$B$11,Paramètres!$A$1:$I$88,3,0)*VLOOKUP('Données projet'!$B$11,Paramètres!$A$1:$I$88,5,0)</f>
        <v>-2.4829205358400945E-14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223.81948236065614</v>
      </c>
      <c r="BJ195" s="62">
        <f t="shared" si="146"/>
        <v>320.1204011431372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0.12422845212543067</v>
      </c>
      <c r="BQ195" s="23">
        <f>EXP(-LN(2)/25)*BQ194+(1-EXP(-LN(2)/25))/(LN(2)/25)*Calculateur!BL195*Calculateur!BN195*VLOOKUP('Données projet'!$B$11,Paramètres!$A$1:$I$88,3,0)*0.475*44/12</f>
        <v>0.19820403590286892</v>
      </c>
      <c r="BR195" s="23">
        <f>EXP(-LN(2)/2)*BR194+(1-EXP(-LN(2)/2))/(LN(2)/2)*BL195*BO195*VLOOKUP('Données projet'!$B$11,Paramètres!$A$1:$I$88,3,0)*0.475*44/12</f>
        <v>1.148540562150331E-23</v>
      </c>
      <c r="BS195" s="24">
        <f t="shared" si="169"/>
        <v>0.3224324880282996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4.5474735088646412E-13</v>
      </c>
      <c r="O196" s="14">
        <f>N196*VLOOKUP('Données projet'!$B$9,Paramètres!$A$1:$I$88,3,0)*VLOOKUP('Données projet'!$B$9,Paramètres!$A$1:$I$88,5,0)</f>
        <v>2.5420376914553347E-13</v>
      </c>
      <c r="P196" s="14">
        <f t="shared" si="141"/>
        <v>3.4258699088369875E-12</v>
      </c>
      <c r="Q196" s="22">
        <f t="shared" si="162"/>
        <v>6.4094616558195571E-12</v>
      </c>
      <c r="R196" s="62">
        <f t="shared" si="191"/>
        <v>293.33333333333974</v>
      </c>
      <c r="S196" s="62">
        <f ca="1">AVERAGE(OFFSET($R$3,0,0,'Données projet'!$E$9+1,1))-AVERAGE(OFFSET($H$3,0,0,'Données projet'!$E$9+1,1))</f>
        <v>373.16487843768437</v>
      </c>
      <c r="T196" s="62">
        <f t="shared" si="142"/>
        <v>376.53494965377718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0.81469245859198414</v>
      </c>
      <c r="AA196" s="23">
        <f>EXP(-LN(2)/25)*AA195+(1-EXP(-LN(2)/25))/(LN(2)/25)*Calculateur!V196*Calculateur!X196*VLOOKUP('Données projet'!$B$9,Paramètres!$A$1:$I$88,3,0)*0.475*44/12</f>
        <v>0.35854841081639749</v>
      </c>
      <c r="AB196" s="23">
        <f>EXP(-LN(2)/2)*AB195+(1-EXP(-LN(2)/2))/(LN(2)/2)*V196*Y196*VLOOKUP('Données projet'!$B$9,Paramètres!$A$1:$I$88,3,0)*0.475*44/12</f>
        <v>7.3264266484642401E-24</v>
      </c>
      <c r="AC196" s="24">
        <f t="shared" si="163"/>
        <v>1.1732408694083816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projet'!$B$10,Paramètres!$A$1:$I$88,3,0)*VLOOKUP('Données projet'!$B$10,Paramètres!$A$1:$I$88,5,0)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210.04871822652808</v>
      </c>
      <c r="AO196" s="62">
        <f t="shared" si="144"/>
        <v>250.17540614049324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0.28936222630751213</v>
      </c>
      <c r="AV196" s="23">
        <f>EXP(-LN(2)/25)*AV195+(1-EXP(-LN(2)/25))/(LN(2)/25)*Calculateur!AQ196*Calculateur!AS196*VLOOKUP('Données projet'!$B$10,Paramètres!$A$1:$I$88,3,0)*0.475*44/12</f>
        <v>0.30325555860559189</v>
      </c>
      <c r="AW196" s="23">
        <f>EXP(-LN(2)/2)*AW195+(1-EXP(-LN(2)/2))/(LN(2)/2)*AQ196*AT196*VLOOKUP('Données projet'!$B$10,Paramètres!$A$1:$I$88,3,0)*0.475*44/12</f>
        <v>6.3034888658346724E-24</v>
      </c>
      <c r="AX196" s="23">
        <f t="shared" si="166"/>
        <v>0.59261778491310402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-2.8421709430404007E-14</v>
      </c>
      <c r="BE196" s="14">
        <f>BD196*VLOOKUP('Données projet'!$B$11,Paramètres!$A$1:$I$88,3,0)*VLOOKUP('Données projet'!$B$11,Paramètres!$A$1:$I$88,5,0)</f>
        <v>-2.4829205358400945E-14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223.81948236065614</v>
      </c>
      <c r="BJ196" s="62">
        <f t="shared" si="146"/>
        <v>320.1204011431372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0.12179240795112492</v>
      </c>
      <c r="BQ196" s="23">
        <f>EXP(-LN(2)/25)*BQ195+(1-EXP(-LN(2)/25))/(LN(2)/25)*Calculateur!BL196*Calculateur!BN196*VLOOKUP('Données projet'!$B$11,Paramètres!$A$1:$I$88,3,0)*0.475*44/12</f>
        <v>0.19278413611800771</v>
      </c>
      <c r="BR196" s="23">
        <f>EXP(-LN(2)/2)*BR195+(1-EXP(-LN(2)/2))/(LN(2)/2)*BL196*BO196*VLOOKUP('Données projet'!$B$11,Paramètres!$A$1:$I$88,3,0)*0.475*44/12</f>
        <v>8.1214081996430835E-24</v>
      </c>
      <c r="BS196" s="24">
        <f t="shared" si="169"/>
        <v>0.3145765440691326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4.5474735088646412E-13</v>
      </c>
      <c r="O197" s="14">
        <f>N197*VLOOKUP('Données projet'!$B$9,Paramètres!$A$1:$I$88,3,0)*VLOOKUP('Données projet'!$B$9,Paramètres!$A$1:$I$88,5,0)</f>
        <v>2.5420376914553347E-13</v>
      </c>
      <c r="P197" s="14">
        <f t="shared" ref="P197:P203" si="203">EXP(-1.0587+0.8836*LN(O197)+0.284)</f>
        <v>3.4258699088369875E-12</v>
      </c>
      <c r="Q197" s="22">
        <f t="shared" si="162"/>
        <v>6.4094616558195571E-12</v>
      </c>
      <c r="R197" s="62">
        <f t="shared" si="191"/>
        <v>293.33333333333974</v>
      </c>
      <c r="S197" s="62">
        <f ca="1">AVERAGE(OFFSET($R$3,0,0,'Données projet'!$E$9+1,1))-AVERAGE(OFFSET($H$3,0,0,'Données projet'!$E$9+1,1))</f>
        <v>373.16487843768437</v>
      </c>
      <c r="T197" s="62">
        <f t="shared" ref="T197:T203" si="204">$T$3</f>
        <v>376.53494965377718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0.79871683639232893</v>
      </c>
      <c r="AA197" s="23">
        <f>EXP(-LN(2)/25)*AA196+(1-EXP(-LN(2)/25))/(LN(2)/25)*Calculateur!V197*Calculateur!X197*VLOOKUP('Données projet'!$B$9,Paramètres!$A$1:$I$88,3,0)*0.475*44/12</f>
        <v>0.34874388566738163</v>
      </c>
      <c r="AB197" s="23">
        <f>EXP(-LN(2)/2)*AB196+(1-EXP(-LN(2)/2))/(LN(2)/2)*V197*Y197*VLOOKUP('Données projet'!$B$9,Paramètres!$A$1:$I$88,3,0)*0.475*44/12</f>
        <v>5.1805659649948942E-24</v>
      </c>
      <c r="AC197" s="24">
        <f t="shared" si="163"/>
        <v>1.1474607220597106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projet'!$B$10,Paramètres!$A$1:$I$88,3,0)*VLOOKUP('Données projet'!$B$10,Paramètres!$A$1:$I$88,5,0)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210.04871822652808</v>
      </c>
      <c r="AO197" s="62">
        <f t="shared" ref="AO197:AO203" si="205">$AO$3</f>
        <v>250.17540614049324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0.2836880095431526</v>
      </c>
      <c r="AV197" s="23">
        <f>EXP(-LN(2)/25)*AV196+(1-EXP(-LN(2)/25))/(LN(2)/25)*Calculateur!AQ197*Calculateur!AS197*VLOOKUP('Données projet'!$B$10,Paramètres!$A$1:$I$88,3,0)*0.475*44/12</f>
        <v>0.29496301940800523</v>
      </c>
      <c r="AW197" s="23">
        <f>EXP(-LN(2)/2)*AW196+(1-EXP(-LN(2)/2))/(LN(2)/2)*AQ197*AT197*VLOOKUP('Données projet'!$B$10,Paramètres!$A$1:$I$88,3,0)*0.475*44/12</f>
        <v>4.4572397221655963E-24</v>
      </c>
      <c r="AX197" s="23">
        <f t="shared" si="166"/>
        <v>0.57865102895115783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-2.8421709430404007E-14</v>
      </c>
      <c r="BE197" s="14">
        <f>BD197*VLOOKUP('Données projet'!$B$11,Paramètres!$A$1:$I$88,3,0)*VLOOKUP('Données projet'!$B$11,Paramètres!$A$1:$I$88,5,0)</f>
        <v>-2.4829205358400945E-14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223.81948236065614</v>
      </c>
      <c r="BJ197" s="62">
        <f t="shared" ref="BJ197:BJ203" si="206">$BJ$3</f>
        <v>320.1204011431372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0.11940413311723708</v>
      </c>
      <c r="BQ197" s="23">
        <f>EXP(-LN(2)/25)*BQ196+(1-EXP(-LN(2)/25))/(LN(2)/25)*Calculateur!BL197*Calculateur!BN197*VLOOKUP('Données projet'!$B$11,Paramètres!$A$1:$I$88,3,0)*0.475*44/12</f>
        <v>0.18751244377778367</v>
      </c>
      <c r="BR197" s="23">
        <f>EXP(-LN(2)/2)*BR196+(1-EXP(-LN(2)/2))/(LN(2)/2)*BL197*BO197*VLOOKUP('Données projet'!$B$11,Paramètres!$A$1:$I$88,3,0)*0.475*44/12</f>
        <v>5.7427028107516548E-24</v>
      </c>
      <c r="BS197" s="24">
        <f t="shared" si="169"/>
        <v>0.30691657689502072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4.5474735088646412E-13</v>
      </c>
      <c r="O198" s="14">
        <f>N198*VLOOKUP('Données projet'!$B$9,Paramètres!$A$1:$I$88,3,0)*VLOOKUP('Données projet'!$B$9,Paramètres!$A$1:$I$88,5,0)</f>
        <v>2.5420376914553347E-13</v>
      </c>
      <c r="P198" s="14">
        <f t="shared" si="203"/>
        <v>3.4258699088369875E-12</v>
      </c>
      <c r="Q198" s="22">
        <f t="shared" si="162"/>
        <v>6.4094616558195571E-12</v>
      </c>
      <c r="R198" s="62">
        <f t="shared" si="191"/>
        <v>293.33333333333974</v>
      </c>
      <c r="S198" s="62">
        <f ca="1">AVERAGE(OFFSET($R$3,0,0,'Données projet'!$E$9+1,1))-AVERAGE(OFFSET($H$3,0,0,'Données projet'!$E$9+1,1))</f>
        <v>373.16487843768437</v>
      </c>
      <c r="T198" s="62">
        <f t="shared" si="204"/>
        <v>376.53494965377718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0.78305448639984165</v>
      </c>
      <c r="AA198" s="23">
        <f>EXP(-LN(2)/25)*AA197+(1-EXP(-LN(2)/25))/(LN(2)/25)*Calculateur!V198*Calculateur!X198*VLOOKUP('Données projet'!$B$9,Paramètres!$A$1:$I$88,3,0)*0.475*44/12</f>
        <v>0.33920746577416322</v>
      </c>
      <c r="AB198" s="23">
        <f>EXP(-LN(2)/2)*AB197+(1-EXP(-LN(2)/2))/(LN(2)/2)*V198*Y198*VLOOKUP('Données projet'!$B$9,Paramètres!$A$1:$I$88,3,0)*0.475*44/12</f>
        <v>3.6632133242321201E-24</v>
      </c>
      <c r="AC198" s="24">
        <f t="shared" si="163"/>
        <v>1.1222619521740049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projet'!$B$10,Paramètres!$A$1:$I$88,3,0)*VLOOKUP('Données projet'!$B$10,Paramètres!$A$1:$I$88,5,0)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210.04871822652808</v>
      </c>
      <c r="AO198" s="62">
        <f t="shared" si="205"/>
        <v>250.17540614049324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0.27812506070861165</v>
      </c>
      <c r="AV198" s="23">
        <f>EXP(-LN(2)/25)*AV197+(1-EXP(-LN(2)/25))/(LN(2)/25)*Calculateur!AQ198*Calculateur!AS198*VLOOKUP('Données projet'!$B$10,Paramètres!$A$1:$I$88,3,0)*0.475*44/12</f>
        <v>0.28689724013086226</v>
      </c>
      <c r="AW198" s="23">
        <f>EXP(-LN(2)/2)*AW197+(1-EXP(-LN(2)/2))/(LN(2)/2)*AQ198*AT198*VLOOKUP('Données projet'!$B$10,Paramètres!$A$1:$I$88,3,0)*0.475*44/12</f>
        <v>3.1517444329173362E-24</v>
      </c>
      <c r="AX198" s="23">
        <f t="shared" si="166"/>
        <v>0.56502230083947391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-2.8421709430404007E-14</v>
      </c>
      <c r="BE198" s="14">
        <f>BD198*VLOOKUP('Données projet'!$B$11,Paramètres!$A$1:$I$88,3,0)*VLOOKUP('Données projet'!$B$11,Paramètres!$A$1:$I$88,5,0)</f>
        <v>-2.4829205358400945E-14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223.81948236065614</v>
      </c>
      <c r="BJ198" s="62">
        <f t="shared" si="206"/>
        <v>320.1204011431372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0.11706269089613797</v>
      </c>
      <c r="BQ198" s="23">
        <f>EXP(-LN(2)/25)*BQ197+(1-EXP(-LN(2)/25))/(LN(2)/25)*Calculateur!BL198*Calculateur!BN198*VLOOKUP('Données projet'!$B$11,Paramètres!$A$1:$I$88,3,0)*0.475*44/12</f>
        <v>0.18238490614182931</v>
      </c>
      <c r="BR198" s="23">
        <f>EXP(-LN(2)/2)*BR197+(1-EXP(-LN(2)/2))/(LN(2)/2)*BL198*BO198*VLOOKUP('Données projet'!$B$11,Paramètres!$A$1:$I$88,3,0)*0.475*44/12</f>
        <v>4.0607040998215418E-24</v>
      </c>
      <c r="BS198" s="24">
        <f t="shared" si="169"/>
        <v>0.29944759703796731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4.5474735088646412E-13</v>
      </c>
      <c r="O199" s="14">
        <f>N199*VLOOKUP('Données projet'!$B$9,Paramètres!$A$1:$I$88,3,0)*VLOOKUP('Données projet'!$B$9,Paramètres!$A$1:$I$88,5,0)</f>
        <v>2.5420376914553347E-13</v>
      </c>
      <c r="P199" s="14">
        <f t="shared" si="203"/>
        <v>3.4258699088369875E-12</v>
      </c>
      <c r="Q199" s="22">
        <f t="shared" si="162"/>
        <v>6.4094616558195571E-12</v>
      </c>
      <c r="R199" s="62">
        <f t="shared" si="191"/>
        <v>293.33333333333974</v>
      </c>
      <c r="S199" s="62">
        <f ca="1">AVERAGE(OFFSET($R$3,0,0,'Données projet'!$E$9+1,1))-AVERAGE(OFFSET($H$3,0,0,'Données projet'!$E$9+1,1))</f>
        <v>373.16487843768437</v>
      </c>
      <c r="T199" s="62">
        <f t="shared" si="204"/>
        <v>376.53494965377718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0.7676992655376168</v>
      </c>
      <c r="AA199" s="23">
        <f>EXP(-LN(2)/25)*AA198+(1-EXP(-LN(2)/25))/(LN(2)/25)*Calculateur!V199*Calculateur!X199*VLOOKUP('Données projet'!$B$9,Paramètres!$A$1:$I$88,3,0)*0.475*44/12</f>
        <v>0.32993181978442337</v>
      </c>
      <c r="AB199" s="23">
        <f>EXP(-LN(2)/2)*AB198+(1-EXP(-LN(2)/2))/(LN(2)/2)*V199*Y199*VLOOKUP('Données projet'!$B$9,Paramètres!$A$1:$I$88,3,0)*0.475*44/12</f>
        <v>2.5902829824974471E-24</v>
      </c>
      <c r="AC199" s="24">
        <f t="shared" si="163"/>
        <v>1.0976310853220401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projet'!$B$10,Paramètres!$A$1:$I$88,3,0)*VLOOKUP('Données projet'!$B$10,Paramètres!$A$1:$I$88,5,0)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210.04871822652808</v>
      </c>
      <c r="AO199" s="62">
        <f t="shared" si="205"/>
        <v>250.17540614049324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0.27267119790765232</v>
      </c>
      <c r="AV199" s="23">
        <f>EXP(-LN(2)/25)*AV198+(1-EXP(-LN(2)/25))/(LN(2)/25)*Calculateur!AQ199*Calculateur!AS199*VLOOKUP('Données projet'!$B$10,Paramètres!$A$1:$I$88,3,0)*0.475*44/12</f>
        <v>0.27905202001221369</v>
      </c>
      <c r="AW199" s="23">
        <f>EXP(-LN(2)/2)*AW198+(1-EXP(-LN(2)/2))/(LN(2)/2)*AQ199*AT199*VLOOKUP('Données projet'!$B$10,Paramètres!$A$1:$I$88,3,0)*0.475*44/12</f>
        <v>2.2286198610827981E-24</v>
      </c>
      <c r="AX199" s="23">
        <f t="shared" si="166"/>
        <v>0.551723217919866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-2.8421709430404007E-14</v>
      </c>
      <c r="BE199" s="14">
        <f>BD199*VLOOKUP('Données projet'!$B$11,Paramètres!$A$1:$I$88,3,0)*VLOOKUP('Données projet'!$B$11,Paramètres!$A$1:$I$88,5,0)</f>
        <v>-2.4829205358400945E-14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223.81948236065614</v>
      </c>
      <c r="BJ199" s="62">
        <f t="shared" si="206"/>
        <v>320.1204011431372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0.11476716292885586</v>
      </c>
      <c r="BQ199" s="23">
        <f>EXP(-LN(2)/25)*BQ198+(1-EXP(-LN(2)/25))/(LN(2)/25)*Calculateur!BL199*Calculateur!BN199*VLOOKUP('Données projet'!$B$11,Paramètres!$A$1:$I$88,3,0)*0.475*44/12</f>
        <v>0.17739758129217562</v>
      </c>
      <c r="BR199" s="23">
        <f>EXP(-LN(2)/2)*BR198+(1-EXP(-LN(2)/2))/(LN(2)/2)*BL199*BO199*VLOOKUP('Données projet'!$B$11,Paramètres!$A$1:$I$88,3,0)*0.475*44/12</f>
        <v>2.8713514053758274E-24</v>
      </c>
      <c r="BS199" s="24">
        <f t="shared" si="169"/>
        <v>0.29216474422103145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4.5474735088646412E-13</v>
      </c>
      <c r="O200" s="14">
        <f>N200*VLOOKUP('Données projet'!$B$9,Paramètres!$A$1:$I$88,3,0)*VLOOKUP('Données projet'!$B$9,Paramètres!$A$1:$I$88,5,0)</f>
        <v>2.5420376914553347E-13</v>
      </c>
      <c r="P200" s="14">
        <f t="shared" si="203"/>
        <v>3.4258699088369875E-12</v>
      </c>
      <c r="Q200" s="22">
        <f t="shared" si="162"/>
        <v>6.4094616558195571E-12</v>
      </c>
      <c r="R200" s="62">
        <f t="shared" si="191"/>
        <v>293.33333333333974</v>
      </c>
      <c r="S200" s="62">
        <f ca="1">AVERAGE(OFFSET($R$3,0,0,'Données projet'!$E$9+1,1))-AVERAGE(OFFSET($H$3,0,0,'Données projet'!$E$9+1,1))</f>
        <v>373.16487843768437</v>
      </c>
      <c r="T200" s="62">
        <f t="shared" si="204"/>
        <v>376.53494965377718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0.75264515119074027</v>
      </c>
      <c r="AA200" s="23">
        <f>EXP(-LN(2)/25)*AA199+(1-EXP(-LN(2)/25))/(LN(2)/25)*Calculateur!V200*Calculateur!X200*VLOOKUP('Données projet'!$B$9,Paramètres!$A$1:$I$88,3,0)*0.475*44/12</f>
        <v>0.32090981682205799</v>
      </c>
      <c r="AB200" s="23">
        <f>EXP(-LN(2)/2)*AB199+(1-EXP(-LN(2)/2))/(LN(2)/2)*V200*Y200*VLOOKUP('Données projet'!$B$9,Paramètres!$A$1:$I$88,3,0)*0.475*44/12</f>
        <v>1.83160666211606E-24</v>
      </c>
      <c r="AC200" s="24">
        <f t="shared" si="163"/>
        <v>1.0735549680127983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projet'!$B$10,Paramètres!$A$1:$I$88,3,0)*VLOOKUP('Données projet'!$B$10,Paramètres!$A$1:$I$88,5,0)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210.04871822652808</v>
      </c>
      <c r="AO200" s="62">
        <f t="shared" si="205"/>
        <v>250.17540614049324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0.26732428202969194</v>
      </c>
      <c r="AV200" s="23">
        <f>EXP(-LN(2)/25)*AV199+(1-EXP(-LN(2)/25))/(LN(2)/25)*Calculateur!AQ200*Calculateur!AS200*VLOOKUP('Données projet'!$B$10,Paramètres!$A$1:$I$88,3,0)*0.475*44/12</f>
        <v>0.27142132785027173</v>
      </c>
      <c r="AW200" s="23">
        <f>EXP(-LN(2)/2)*AW199+(1-EXP(-LN(2)/2))/(LN(2)/2)*AQ200*AT200*VLOOKUP('Données projet'!$B$10,Paramètres!$A$1:$I$88,3,0)*0.475*44/12</f>
        <v>1.5758722164586681E-24</v>
      </c>
      <c r="AX200" s="23">
        <f t="shared" si="166"/>
        <v>0.53874560987996367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-2.8421709430404007E-14</v>
      </c>
      <c r="BE200" s="14">
        <f>BD200*VLOOKUP('Données projet'!$B$11,Paramètres!$A$1:$I$88,3,0)*VLOOKUP('Données projet'!$B$11,Paramètres!$A$1:$I$88,5,0)</f>
        <v>-2.4829205358400945E-14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223.81948236065614</v>
      </c>
      <c r="BJ200" s="62">
        <f t="shared" si="206"/>
        <v>320.1204011431372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0.11251664886487835</v>
      </c>
      <c r="BQ200" s="23">
        <f>EXP(-LN(2)/25)*BQ199+(1-EXP(-LN(2)/25))/(LN(2)/25)*Calculateur!BL200*Calculateur!BN200*VLOOKUP('Données projet'!$B$11,Paramètres!$A$1:$I$88,3,0)*0.475*44/12</f>
        <v>0.17254663510280771</v>
      </c>
      <c r="BR200" s="23">
        <f>EXP(-LN(2)/2)*BR199+(1-EXP(-LN(2)/2))/(LN(2)/2)*BL200*BO200*VLOOKUP('Données projet'!$B$11,Paramètres!$A$1:$I$88,3,0)*0.475*44/12</f>
        <v>2.0303520499107709E-24</v>
      </c>
      <c r="BS200" s="24">
        <f t="shared" si="169"/>
        <v>0.28506328396768604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4.5474735088646412E-13</v>
      </c>
      <c r="O201" s="14">
        <f>N201*VLOOKUP('Données projet'!$B$9,Paramètres!$A$1:$I$88,3,0)*VLOOKUP('Données projet'!$B$9,Paramètres!$A$1:$I$88,5,0)</f>
        <v>2.5420376914553347E-13</v>
      </c>
      <c r="P201" s="14">
        <f t="shared" si="203"/>
        <v>3.4258699088369875E-12</v>
      </c>
      <c r="Q201" s="22">
        <f t="shared" si="162"/>
        <v>6.4094616558195571E-12</v>
      </c>
      <c r="R201" s="62">
        <f t="shared" si="191"/>
        <v>293.33333333333974</v>
      </c>
      <c r="S201" s="62">
        <f ca="1">AVERAGE(OFFSET($R$3,0,0,'Données projet'!$E$9+1,1))-AVERAGE(OFFSET($H$3,0,0,'Données projet'!$E$9+1,1))</f>
        <v>373.16487843768437</v>
      </c>
      <c r="T201" s="62">
        <f t="shared" si="204"/>
        <v>376.53494965377718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0.73788623884410287</v>
      </c>
      <c r="AA201" s="23">
        <f>EXP(-LN(2)/25)*AA200+(1-EXP(-LN(2)/25))/(LN(2)/25)*Calculateur!V201*Calculateur!X201*VLOOKUP('Données projet'!$B$9,Paramètres!$A$1:$I$88,3,0)*0.475*44/12</f>
        <v>0.31213452100514499</v>
      </c>
      <c r="AB201" s="23">
        <f>EXP(-LN(2)/2)*AB200+(1-EXP(-LN(2)/2))/(LN(2)/2)*V201*Y201*VLOOKUP('Données projet'!$B$9,Paramètres!$A$1:$I$88,3,0)*0.475*44/12</f>
        <v>1.2951414912487236E-24</v>
      </c>
      <c r="AC201" s="24">
        <f t="shared" si="163"/>
        <v>1.0500207598492479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projet'!$B$10,Paramètres!$A$1:$I$88,3,0)*VLOOKUP('Données projet'!$B$10,Paramètres!$A$1:$I$88,5,0)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210.04871822652808</v>
      </c>
      <c r="AO201" s="62">
        <f t="shared" si="205"/>
        <v>250.17540614049324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0.26208221591080172</v>
      </c>
      <c r="AV201" s="23">
        <f>EXP(-LN(2)/25)*AV200+(1-EXP(-LN(2)/25))/(LN(2)/25)*Calculateur!AQ201*Calculateur!AS201*VLOOKUP('Données projet'!$B$10,Paramètres!$A$1:$I$88,3,0)*0.475*44/12</f>
        <v>0.26399929736677874</v>
      </c>
      <c r="AW201" s="23">
        <f>EXP(-LN(2)/2)*AW200+(1-EXP(-LN(2)/2))/(LN(2)/2)*AQ201*AT201*VLOOKUP('Données projet'!$B$10,Paramètres!$A$1:$I$88,3,0)*0.475*44/12</f>
        <v>1.1143099305413991E-24</v>
      </c>
      <c r="AX201" s="23">
        <f t="shared" si="166"/>
        <v>0.52608151327758046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-2.8421709430404007E-14</v>
      </c>
      <c r="BE201" s="14">
        <f>BD201*VLOOKUP('Données projet'!$B$11,Paramètres!$A$1:$I$88,3,0)*VLOOKUP('Données projet'!$B$11,Paramètres!$A$1:$I$88,5,0)</f>
        <v>-2.4829205358400945E-14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223.81948236065614</v>
      </c>
      <c r="BJ201" s="62">
        <f t="shared" si="206"/>
        <v>320.1204011431372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0.1103102660090174</v>
      </c>
      <c r="BQ201" s="23">
        <f>EXP(-LN(2)/25)*BQ200+(1-EXP(-LN(2)/25))/(LN(2)/25)*Calculateur!BL201*Calculateur!BN201*VLOOKUP('Données projet'!$B$11,Paramètres!$A$1:$I$88,3,0)*0.475*44/12</f>
        <v>0.16782833829208826</v>
      </c>
      <c r="BR201" s="23">
        <f>EXP(-LN(2)/2)*BR200+(1-EXP(-LN(2)/2))/(LN(2)/2)*BL201*BO201*VLOOKUP('Données projet'!$B$11,Paramètres!$A$1:$I$88,3,0)*0.475*44/12</f>
        <v>1.4356757026879137E-24</v>
      </c>
      <c r="BS201" s="24">
        <f t="shared" si="169"/>
        <v>0.27813860430110565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4.5474735088646412E-13</v>
      </c>
      <c r="O202" s="14">
        <f>N202*VLOOKUP('Données projet'!$B$9,Paramètres!$A$1:$I$88,3,0)*VLOOKUP('Données projet'!$B$9,Paramètres!$A$1:$I$88,5,0)</f>
        <v>2.5420376914553347E-13</v>
      </c>
      <c r="P202" s="14">
        <f t="shared" si="203"/>
        <v>3.4258699088369875E-12</v>
      </c>
      <c r="Q202" s="22">
        <f t="shared" si="162"/>
        <v>6.4094616558195571E-12</v>
      </c>
      <c r="R202" s="62">
        <f t="shared" si="191"/>
        <v>293.33333333333974</v>
      </c>
      <c r="S202" s="62">
        <f ca="1">AVERAGE(OFFSET($R$3,0,0,'Données projet'!$E$9+1,1))-AVERAGE(OFFSET($H$3,0,0,'Données projet'!$E$9+1,1))</f>
        <v>373.16487843768437</v>
      </c>
      <c r="T202" s="62">
        <f t="shared" si="204"/>
        <v>376.53494965377718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0.72341673976653531</v>
      </c>
      <c r="AA202" s="23">
        <f>EXP(-LN(2)/25)*AA201+(1-EXP(-LN(2)/25))/(LN(2)/25)*Calculateur!V202*Calculateur!X202*VLOOKUP('Données projet'!$B$9,Paramètres!$A$1:$I$88,3,0)*0.475*44/12</f>
        <v>0.30359918611381825</v>
      </c>
      <c r="AB202" s="23">
        <f>EXP(-LN(2)/2)*AB201+(1-EXP(-LN(2)/2))/(LN(2)/2)*V202*Y202*VLOOKUP('Données projet'!$B$9,Paramètres!$A$1:$I$88,3,0)*0.475*44/12</f>
        <v>9.1580333105803002E-25</v>
      </c>
      <c r="AC202" s="24">
        <f t="shared" si="163"/>
        <v>1.0270159258803535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projet'!$B$10,Paramètres!$A$1:$I$88,3,0)*VLOOKUP('Données projet'!$B$10,Paramètres!$A$1:$I$88,5,0)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210.04871822652808</v>
      </c>
      <c r="AO202" s="62">
        <f t="shared" si="205"/>
        <v>250.17540614049324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0.25694294351115832</v>
      </c>
      <c r="AV202" s="23">
        <f>EXP(-LN(2)/25)*AV201+(1-EXP(-LN(2)/25))/(LN(2)/25)*Calculateur!AQ202*Calculateur!AS202*VLOOKUP('Données projet'!$B$10,Paramètres!$A$1:$I$88,3,0)*0.475*44/12</f>
        <v>0.2567802226971645</v>
      </c>
      <c r="AW202" s="23">
        <f>EXP(-LN(2)/2)*AW201+(1-EXP(-LN(2)/2))/(LN(2)/2)*AQ202*AT202*VLOOKUP('Données projet'!$B$10,Paramètres!$A$1:$I$88,3,0)*0.475*44/12</f>
        <v>7.8793610822933405E-25</v>
      </c>
      <c r="AX202" s="23">
        <f t="shared" si="166"/>
        <v>0.51372316620832281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-2.8421709430404007E-14</v>
      </c>
      <c r="BE202" s="14">
        <f>BD202*VLOOKUP('Données projet'!$B$11,Paramètres!$A$1:$I$88,3,0)*VLOOKUP('Données projet'!$B$11,Paramètres!$A$1:$I$88,5,0)</f>
        <v>-2.4829205358400945E-14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223.81948236065614</v>
      </c>
      <c r="BJ202" s="62">
        <f t="shared" si="206"/>
        <v>320.1204011431372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0.10814714897519923</v>
      </c>
      <c r="BQ202" s="23">
        <f>EXP(-LN(2)/25)*BQ201+(1-EXP(-LN(2)/25))/(LN(2)/25)*Calculateur!BL202*Calculateur!BN202*VLOOKUP('Données projet'!$B$11,Paramètres!$A$1:$I$88,3,0)*0.475*44/12</f>
        <v>0.16323906355578238</v>
      </c>
      <c r="BR202" s="23">
        <f>EXP(-LN(2)/2)*BR201+(1-EXP(-LN(2)/2))/(LN(2)/2)*BL202*BO202*VLOOKUP('Données projet'!$B$11,Paramètres!$A$1:$I$88,3,0)*0.475*44/12</f>
        <v>1.0151760249553854E-24</v>
      </c>
      <c r="BS202" s="24">
        <f t="shared" si="169"/>
        <v>0.27138621253098161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4.5474735088646412E-13</v>
      </c>
      <c r="O203" s="14">
        <f>N203*VLOOKUP('Données projet'!$B$9,Paramètres!$A$1:$I$88,3,0)*VLOOKUP('Données projet'!$B$9,Paramètres!$A$1:$I$88,5,0)</f>
        <v>2.5420376914553347E-13</v>
      </c>
      <c r="P203" s="14">
        <f t="shared" si="203"/>
        <v>3.4258699088369875E-12</v>
      </c>
      <c r="Q203" s="22">
        <f t="shared" si="162"/>
        <v>6.4094616558195571E-12</v>
      </c>
      <c r="R203" s="62">
        <f t="shared" si="191"/>
        <v>293.33333333333974</v>
      </c>
      <c r="S203" s="62">
        <f ca="1">AVERAGE(OFFSET($R$3,0,0,'Données projet'!$E$9+1,1))-AVERAGE(OFFSET($H$3,0,0,'Données projet'!$E$9+1,1))</f>
        <v>373.16487843768437</v>
      </c>
      <c r="T203" s="62">
        <f t="shared" si="204"/>
        <v>376.53494965377718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0.7092309787403559</v>
      </c>
      <c r="AA203" s="23">
        <f>EXP(-LN(2)/25)*AA202+(1-EXP(-LN(2)/25))/(LN(2)/25)*Calculateur!V203*Calculateur!X203*VLOOKUP('Données projet'!$B$9,Paramètres!$A$1:$I$88,3,0)*0.475*44/12</f>
        <v>0.29529725040394861</v>
      </c>
      <c r="AB203" s="23">
        <f>EXP(-LN(2)/2)*AB202+(1-EXP(-LN(2)/2))/(LN(2)/2)*V203*Y203*VLOOKUP('Données projet'!$B$9,Paramètres!$A$1:$I$88,3,0)*0.475*44/12</f>
        <v>6.4757074562436178E-25</v>
      </c>
      <c r="AC203" s="24">
        <f t="shared" si="163"/>
        <v>1.0045282291443045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projet'!$B$10,Paramètres!$A$1:$I$88,3,0)*VLOOKUP('Données projet'!$B$10,Paramètres!$A$1:$I$88,5,0)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210.04871822652808</v>
      </c>
      <c r="AO203" s="62">
        <f t="shared" si="205"/>
        <v>250.17540614049324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0.25190444910862525</v>
      </c>
      <c r="AV203" s="23">
        <f>EXP(-LN(2)/25)*AV202+(1-EXP(-LN(2)/25))/(LN(2)/25)*Calculateur!AQ203*Calculateur!AS203*VLOOKUP('Données projet'!$B$10,Paramètres!$A$1:$I$88,3,0)*0.475*44/12</f>
        <v>0.2497585540040255</v>
      </c>
      <c r="AW203" s="23">
        <f>EXP(-LN(2)/2)*AW202+(1-EXP(-LN(2)/2))/(LN(2)/2)*AQ203*AT203*VLOOKUP('Données projet'!$B$10,Paramètres!$A$1:$I$88,3,0)*0.475*44/12</f>
        <v>5.5715496527069954E-25</v>
      </c>
      <c r="AX203" s="23">
        <f t="shared" si="166"/>
        <v>0.50166300311265077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-2.8421709430404007E-14</v>
      </c>
      <c r="BE203" s="14">
        <f>BD203*VLOOKUP('Données projet'!$B$11,Paramètres!$A$1:$I$88,3,0)*VLOOKUP('Données projet'!$B$11,Paramètres!$A$1:$I$88,5,0)</f>
        <v>-2.4829205358400945E-14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223.81948236065614</v>
      </c>
      <c r="BJ203" s="62">
        <f t="shared" si="206"/>
        <v>320.1204011431372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0.10602644934704311</v>
      </c>
      <c r="BQ203" s="23">
        <f>EXP(-LN(2)/25)*BQ202+(1-EXP(-LN(2)/25))/(LN(2)/25)*Calculateur!BL203*Calculateur!BN203*VLOOKUP('Données projet'!$B$11,Paramètres!$A$1:$I$88,3,0)*0.475*44/12</f>
        <v>0.15877528277848024</v>
      </c>
      <c r="BR203" s="23">
        <f>EXP(-LN(2)/2)*BR202+(1-EXP(-LN(2)/2))/(LN(2)/2)*BL203*BO203*VLOOKUP('Données projet'!$B$11,Paramètres!$A$1:$I$88,3,0)*0.475*44/12</f>
        <v>7.1783785134395685E-25</v>
      </c>
      <c r="BS203" s="24">
        <f t="shared" si="169"/>
        <v>0.26480173212552338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1.3492828476735632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1.4309690811052556</v>
      </c>
      <c r="BA205" s="88">
        <f>EXP(LN('Données projet'!B88)/'Données projet'!A88)</f>
        <v>1.2765231539157764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2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3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2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4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4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3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2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3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3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">
      <c r="A92" s="131" t="s">
        <v>208</v>
      </c>
    </row>
    <row r="93" spans="1:14" x14ac:dyDescent="0.3">
      <c r="A93" s="131" t="s">
        <v>209</v>
      </c>
    </row>
    <row r="94" spans="1:14" x14ac:dyDescent="0.3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22" sqref="J2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3" t="s">
        <v>271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5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6.3017000000000003</v>
      </c>
      <c r="C6" s="156">
        <f ca="1">IF(OR('Données projet'!B9="",'Données projet'!C9="",'Données projet'!C9=0%),0,Calculateur!S3)</f>
        <v>373.16487843768437</v>
      </c>
      <c r="D6" s="156">
        <f>IF(OR('Données projet'!B9="",'Données projet'!C9="",'Données projet'!C9=0%),0,Calculateur!T3)</f>
        <v>376.53494965377718</v>
      </c>
      <c r="E6" s="156">
        <f ca="1">MIN(C6,D6)</f>
        <v>373.16487843768437</v>
      </c>
      <c r="F6" s="156">
        <f ca="1">E6*B6</f>
        <v>2351.5731144507558</v>
      </c>
      <c r="G6" s="156">
        <f ca="1">F6*(100%-'Données projet'!$C$24)*(100%-'Données projet'!$C$25)*(100%-'Données projet'!$C$26)*(100%-'Données projet'!$C$27)</f>
        <v>2116.4158030056801</v>
      </c>
      <c r="H6" s="157">
        <f>IF(OR('Données projet'!B9="",'Données projet'!C9="",'Données projet'!C9=0%),0,AVERAGE(Calculateur!$AC$3:$AC$33)*B6)</f>
        <v>81.898419496284049</v>
      </c>
      <c r="I6" s="158">
        <f>H6*(100%-'Données projet'!$C$24)*(100%-'Données projet'!$C$25)*(100%-'Données projet'!$C$26)*(100%-'Données projet'!$C$27)</f>
        <v>73.708577546655647</v>
      </c>
      <c r="J6" s="159">
        <f>IF(OR('Données projet'!B9="",'Données projet'!C9="",'Données projet'!C9=0%),0,SUM(Calculateur!$V$3:$V$33)*VLOOKUP('Données projet'!$B$9,Paramètres!$A$1:$I$88,9,0)*B6)</f>
        <v>650.33544000000006</v>
      </c>
      <c r="K6" s="160">
        <f>J6*(100%-'Données projet'!$C$24)*(100%-'Données projet'!$C$25)*(100%-'Données projet'!$C$26)*(100%-'Données projet'!$C$27)</f>
        <v>585.30189600000006</v>
      </c>
      <c r="L6" s="161">
        <f ca="1">G6+I6+K6</f>
        <v>2775.4262765523358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Mélèze hybride</v>
      </c>
      <c r="B7" s="163">
        <f>'Données projet'!D10</f>
        <v>4.0426000000000002</v>
      </c>
      <c r="C7" s="156">
        <f ca="1">IF(OR('Données projet'!B10="",'Données projet'!C10="",'Données projet'!C10=0%),0,Calculateur!AN3)</f>
        <v>210.04871822652808</v>
      </c>
      <c r="D7" s="156">
        <f>IF(OR('Données projet'!B10="",'Données projet'!C10="",'Données projet'!C10=0%),0,Calculateur!AO3)</f>
        <v>250.17540614049324</v>
      </c>
      <c r="E7" s="156">
        <f t="shared" ref="E7:E15" ca="1" si="0">MIN(C7,D7)</f>
        <v>210.04871822652808</v>
      </c>
      <c r="F7" s="156">
        <f t="shared" ref="F7:F15" ca="1" si="1">E7*B7</f>
        <v>849.14294830256244</v>
      </c>
      <c r="G7" s="156">
        <f ca="1">F7*(100%-'Données projet'!$C$24)*(100%-'Données projet'!$C$25)*(100%-'Données projet'!$C$26)*(100%-'Données projet'!$C$27)</f>
        <v>764.22865347230618</v>
      </c>
      <c r="H7" s="164">
        <f>IF(OR('Données projet'!B10="",'Données projet'!C10="",'Données projet'!C10=0%),0,AVERAGE(Calculateur!$AX$3:$AX$33)*B7)</f>
        <v>38.435545268539286</v>
      </c>
      <c r="I7" s="158">
        <f>H7*(100%-'Données projet'!$C$24)*(100%-'Données projet'!$C$25)*(100%-'Données projet'!$C$26)*(100%-'Données projet'!$C$27)</f>
        <v>34.591990741685358</v>
      </c>
      <c r="J7" s="159">
        <f>IF(OR('Données projet'!B10="",'Données projet'!C10="",'Données projet'!C10=0%),0,SUM(Calculateur!$AQ$3:$AQ$33)*VLOOKUP('Données projet'!$B$10,Paramètres!$A$1:$I$88,9,0)*B7)</f>
        <v>286.82247000000001</v>
      </c>
      <c r="K7" s="160">
        <f>J7*(100%-'Données projet'!$C$24)*(100%-'Données projet'!$C$25)*(100%-'Données projet'!$C$26)*(100%-'Données projet'!$C$27)</f>
        <v>258.14022299999999</v>
      </c>
      <c r="L7" s="161">
        <f t="shared" ref="L7:L15" ca="1" si="2">G7+I7+K7</f>
        <v>1056.9608672139916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rouge d'Amérique</v>
      </c>
      <c r="B8" s="163">
        <f>'Données projet'!D11</f>
        <v>1.5457000000000001</v>
      </c>
      <c r="C8" s="156">
        <f ca="1">IF(OR('Données projet'!B11="",'Données projet'!C11="",'Données projet'!C11=0%),0,Calculateur!BI3)</f>
        <v>223.81948236065614</v>
      </c>
      <c r="D8" s="156">
        <f>IF(OR('Données projet'!B11="",'Données projet'!C11="",'Données projet'!C11=0%),0,Calculateur!BJ3)</f>
        <v>320.1204011431372</v>
      </c>
      <c r="E8" s="156">
        <f t="shared" ca="1" si="0"/>
        <v>223.81948236065614</v>
      </c>
      <c r="F8" s="156">
        <f t="shared" ca="1" si="1"/>
        <v>345.95777388486619</v>
      </c>
      <c r="G8" s="156">
        <f ca="1">F8*(100%-'Données projet'!$C$24)*(100%-'Données projet'!$C$25)*(100%-'Données projet'!$C$26)*(100%-'Données projet'!$C$27)</f>
        <v>311.36199649637956</v>
      </c>
      <c r="H8" s="164">
        <f>IF(OR('Données projet'!B11="",'Données projet'!C11="",'Données projet'!C11=0%),0,AVERAGE(Calculateur!$BS$3:$BS$33)*B8)</f>
        <v>6.4020904893371684</v>
      </c>
      <c r="I8" s="158">
        <f>H8*(100%-'Données projet'!$C$24)*(100%-'Données projet'!$C$25)*(100%-'Données projet'!$C$26)*(100%-'Données projet'!$C$27)</f>
        <v>5.7618814404034513</v>
      </c>
      <c r="J8" s="159">
        <f>IF(OR('Données projet'!B11="",'Données projet'!C11="",'Données projet'!C11=0%),0,SUM(Calculateur!$BL$3:$BL$33)*VLOOKUP('Données projet'!$B$11,Paramètres!$A$1:$I$88,9,0)*B8)</f>
        <v>47.916700000000006</v>
      </c>
      <c r="K8" s="160">
        <f>J8*(100%-'Données projet'!$C$24)*(100%-'Données projet'!$C$25)*(100%-'Données projet'!$C$26)*(100%-'Données projet'!$C$27)</f>
        <v>43.12503000000001</v>
      </c>
      <c r="L8" s="161">
        <f t="shared" ca="1" si="2"/>
        <v>360.24890793678298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3546.6738366381846</v>
      </c>
      <c r="G16" s="175">
        <f t="shared" ca="1" si="3"/>
        <v>3192.0064529743659</v>
      </c>
      <c r="H16" s="176">
        <f t="shared" si="3"/>
        <v>126.7360552541605</v>
      </c>
      <c r="I16" s="176">
        <f t="shared" si="3"/>
        <v>114.06244972874445</v>
      </c>
      <c r="J16" s="177">
        <f t="shared" si="3"/>
        <v>985.07461000000012</v>
      </c>
      <c r="K16" s="177">
        <f t="shared" si="3"/>
        <v>886.56714900000009</v>
      </c>
      <c r="L16" s="178">
        <f t="shared" ca="1" si="3"/>
        <v>4192.6360517031108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5" t="s">
        <v>246</v>
      </c>
      <c r="G17" s="316"/>
      <c r="H17" s="316"/>
      <c r="I17" s="316"/>
      <c r="J17" s="316"/>
      <c r="K17" s="316"/>
      <c r="L17" s="316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17"/>
      <c r="G18" s="317"/>
      <c r="H18" s="317"/>
      <c r="I18" s="317"/>
      <c r="J18" s="317"/>
      <c r="K18" s="317"/>
      <c r="L18" s="317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Mélèze hybride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Normal="100" workbookViewId="0">
      <selection activeCell="T23" sqref="T23:V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3" t="s">
        <v>272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1" t="s">
        <v>316</v>
      </c>
      <c r="I4" s="321"/>
      <c r="K4" s="318" t="s">
        <v>253</v>
      </c>
      <c r="L4" s="31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311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3967.2884822723076</v>
      </c>
      <c r="U10" s="190">
        <f>'Données projet'!D9</f>
        <v>6.3017000000000003</v>
      </c>
      <c r="V10" s="189">
        <f>U10*T10</f>
        <v>25000.661828735403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Mélèze hybride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-22.183770011009642</v>
      </c>
      <c r="U11" s="190">
        <f>'Données projet'!D10</f>
        <v>4.0426000000000002</v>
      </c>
      <c r="V11" s="189">
        <f t="shared" ref="V11" si="0">U11*T11</f>
        <v>-89.680108646507577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-414.97265198432228</v>
      </c>
      <c r="U12" s="190">
        <f>'Données projet'!D11</f>
        <v>1.5457000000000001</v>
      </c>
      <c r="V12" s="189">
        <f t="shared" ref="V12:V19" si="1">U12*T12</f>
        <v>-641.423228172167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2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22"/>
      <c r="H16" s="203"/>
      <c r="I16" s="204"/>
      <c r="J16" s="216"/>
      <c r="K16" s="225"/>
      <c r="L16" s="318" t="s">
        <v>254</v>
      </c>
      <c r="M16" s="319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1245.6199999999999</v>
      </c>
      <c r="F17" s="261"/>
      <c r="G17" s="322"/>
      <c r="J17" s="216"/>
      <c r="K17" s="225"/>
      <c r="L17" s="289" t="s">
        <v>290</v>
      </c>
      <c r="M17" s="291"/>
      <c r="N17" s="187">
        <f>VLOOKUP(N16,Calculateur!$A$2:$H$153,3,0)/VLOOKUP('Scénario référence'!$G$15,Paramètres!A1:I88,3,0)/VLOOKUP('Scénario référence'!$G$15,Paramètres!A1:I88,5,0)</f>
        <v>80.000000000000114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2"/>
      <c r="J18" s="216"/>
      <c r="K18" s="225"/>
      <c r="L18" s="289" t="s">
        <v>255</v>
      </c>
      <c r="M18" s="291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2"/>
      <c r="H19" s="232" t="s">
        <v>178</v>
      </c>
      <c r="I19" s="232" t="s">
        <v>288</v>
      </c>
      <c r="J19" s="260"/>
      <c r="K19" s="183"/>
      <c r="L19" s="318" t="s">
        <v>289</v>
      </c>
      <c r="M19" s="319"/>
      <c r="N19" s="191">
        <f>N17*N18</f>
        <v>2400.0000000000036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2"/>
      <c r="H20" s="203">
        <v>0</v>
      </c>
      <c r="I20" s="204">
        <f>530+450</f>
        <v>980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435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380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380</v>
      </c>
      <c r="K23" s="225"/>
      <c r="L23" s="320" t="s">
        <v>260</v>
      </c>
      <c r="M23" s="320"/>
      <c r="N23" s="320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-428.80172752547514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20</v>
      </c>
      <c r="B24" s="193">
        <f>'Données projet'!D37</f>
        <v>114</v>
      </c>
      <c r="C24" s="206">
        <v>12</v>
      </c>
      <c r="D24" s="194">
        <f t="shared" ref="D24:D42" si="2">B24*C24</f>
        <v>1368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843.5092715589891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126</v>
      </c>
      <c r="C25" s="206">
        <v>35</v>
      </c>
      <c r="D25" s="194">
        <f t="shared" si="2"/>
        <v>4410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-1272.3109990844641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40</v>
      </c>
      <c r="B26" s="193">
        <f>'Données projet'!D39</f>
        <v>126</v>
      </c>
      <c r="C26" s="206">
        <v>45</v>
      </c>
      <c r="D26" s="194">
        <f t="shared" si="2"/>
        <v>5670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50</v>
      </c>
      <c r="B27" s="193">
        <f>'Données projet'!D40</f>
        <v>119</v>
      </c>
      <c r="C27" s="206">
        <v>50</v>
      </c>
      <c r="D27" s="194">
        <f t="shared" si="2"/>
        <v>5950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60</v>
      </c>
      <c r="B28" s="193">
        <f>'Données projet'!D41</f>
        <v>90</v>
      </c>
      <c r="C28" s="206">
        <v>55</v>
      </c>
      <c r="D28" s="194">
        <f t="shared" si="2"/>
        <v>4950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70</v>
      </c>
      <c r="B29" s="193">
        <f>'Données projet'!D42</f>
        <v>75</v>
      </c>
      <c r="C29" s="206">
        <v>60</v>
      </c>
      <c r="D29" s="194">
        <f t="shared" si="2"/>
        <v>4500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80</v>
      </c>
      <c r="B30" s="193">
        <f>'Données projet'!D43</f>
        <v>719</v>
      </c>
      <c r="C30" s="206">
        <v>60</v>
      </c>
      <c r="D30" s="194">
        <f t="shared" si="2"/>
        <v>43140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Mélèze hybride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1613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10</v>
      </c>
      <c r="B54" s="193">
        <f>'Données projet'!D62</f>
        <v>0</v>
      </c>
      <c r="C54" s="204">
        <v>5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20</v>
      </c>
      <c r="B55" s="193">
        <f>'Données projet'!D63</f>
        <v>81</v>
      </c>
      <c r="C55" s="204">
        <v>5</v>
      </c>
      <c r="D55" s="191">
        <f t="shared" ref="D55:D73" si="4">B55*C55</f>
        <v>405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84</v>
      </c>
      <c r="C56" s="204">
        <v>20</v>
      </c>
      <c r="D56" s="191">
        <f t="shared" si="4"/>
        <v>1680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80</v>
      </c>
      <c r="C57" s="204">
        <v>20</v>
      </c>
      <c r="D57" s="191">
        <f t="shared" si="4"/>
        <v>1600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50</v>
      </c>
      <c r="B58" s="193">
        <f>'Données projet'!D66</f>
        <v>65</v>
      </c>
      <c r="C58" s="204">
        <v>30</v>
      </c>
      <c r="D58" s="191">
        <f t="shared" si="4"/>
        <v>1950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60</v>
      </c>
      <c r="B59" s="193">
        <f>'Données projet'!D67</f>
        <v>56</v>
      </c>
      <c r="C59" s="204">
        <v>30</v>
      </c>
      <c r="D59" s="191">
        <f t="shared" si="4"/>
        <v>1680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70</v>
      </c>
      <c r="B60" s="193">
        <f>'Données projet'!D68</f>
        <v>52</v>
      </c>
      <c r="C60" s="204">
        <v>35</v>
      </c>
      <c r="D60" s="191">
        <f t="shared" si="4"/>
        <v>1820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80</v>
      </c>
      <c r="B61" s="193">
        <f>'Données projet'!D69</f>
        <v>433</v>
      </c>
      <c r="C61" s="204">
        <v>35</v>
      </c>
      <c r="D61" s="191">
        <f t="shared" si="4"/>
        <v>15155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1205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50</v>
      </c>
      <c r="C85" s="204">
        <v>8</v>
      </c>
      <c r="D85" s="191">
        <f>B85*C85</f>
        <v>400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30</v>
      </c>
      <c r="B86" s="193">
        <f>'Données projet'!D89</f>
        <v>74</v>
      </c>
      <c r="C86" s="204">
        <v>8</v>
      </c>
      <c r="D86" s="191">
        <f t="shared" ref="D86:D104" si="6">B86*C86</f>
        <v>592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40</v>
      </c>
      <c r="B87" s="193">
        <f>'Données projet'!D90</f>
        <v>69</v>
      </c>
      <c r="C87" s="204">
        <v>8</v>
      </c>
      <c r="D87" s="191">
        <f t="shared" si="6"/>
        <v>552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50</v>
      </c>
      <c r="B88" s="193">
        <f>'Données projet'!D91</f>
        <v>59</v>
      </c>
      <c r="C88" s="204">
        <v>12</v>
      </c>
      <c r="D88" s="191">
        <f t="shared" si="6"/>
        <v>708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60</v>
      </c>
      <c r="B89" s="193">
        <f>'Données projet'!D92</f>
        <v>47</v>
      </c>
      <c r="C89" s="204">
        <v>18</v>
      </c>
      <c r="D89" s="191">
        <f t="shared" si="6"/>
        <v>846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70</v>
      </c>
      <c r="B90" s="193">
        <f>'Données projet'!D93</f>
        <v>37</v>
      </c>
      <c r="C90" s="204">
        <v>25</v>
      </c>
      <c r="D90" s="191">
        <f t="shared" si="6"/>
        <v>925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80</v>
      </c>
      <c r="B91" s="193">
        <f>'Données projet'!D94</f>
        <v>28</v>
      </c>
      <c r="C91" s="204">
        <v>30</v>
      </c>
      <c r="D91" s="191">
        <f t="shared" si="6"/>
        <v>840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90</v>
      </c>
      <c r="B92" s="193">
        <f>'Données projet'!D95</f>
        <v>248</v>
      </c>
      <c r="C92" s="204">
        <v>35</v>
      </c>
      <c r="D92" s="191">
        <f t="shared" si="6"/>
        <v>8680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SyracuseOfficeCustomData>{"createMode":"plain_doc","forceRefresh":"0"}</SyracuseOfficeCustomDat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2" ma:contentTypeDescription="Crée un document." ma:contentTypeScope="" ma:versionID="1750304fcd832b277200447d224ab49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69cd85c82f3c421e9aa5409f80df1f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A02F48-F0AC-49FC-A0B3-D837B3C714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BA198F-D4FA-40BD-A08E-370DD22419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F9E463-7BAB-41D2-8835-D8829FFCB63C}">
  <ds:schemaRefs/>
</ds:datastoreItem>
</file>

<file path=customXml/itemProps4.xml><?xml version="1.0" encoding="utf-8"?>
<ds:datastoreItem xmlns:ds="http://schemas.openxmlformats.org/officeDocument/2006/customXml" ds:itemID="{0C6A3B29-0E7E-4682-97EA-4B22532FC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Cécile De Coincy</cp:lastModifiedBy>
  <dcterms:created xsi:type="dcterms:W3CDTF">2021-02-01T08:22:39Z</dcterms:created>
  <dcterms:modified xsi:type="dcterms:W3CDTF">2022-12-08T10:35:46Z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0x0101004E006D02EFB7524E92A31806A20933C4</vt:lpwstr>
  </property>
</Properties>
</file>