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FAVROT - 10157157/"/>
    </mc:Choice>
  </mc:AlternateContent>
  <xr:revisionPtr revIDLastSave="3" documentId="8_{83B008D3-FD0C-4D7F-B356-2D4EECC284F6}" xr6:coauthVersionLast="47" xr6:coauthVersionMax="47" xr10:uidLastSave="{D1976FCE-30B7-4C01-BB1E-B17D313A7A55}"/>
  <bookViews>
    <workbookView xWindow="-110" yWindow="-110" windowWidth="19420" windowHeight="10300" tabRatio="866" firstSheet="2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X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B22" i="2"/>
  <c r="EA22" i="2"/>
  <c r="HG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HI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HG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A145" i="2"/>
  <c r="HG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I150" i="2"/>
  <c r="HH150" i="2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HG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H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W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G163" i="2"/>
  <c r="EA163" i="2"/>
  <c r="EB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FR164" i="2"/>
  <c r="DI163" i="2"/>
  <c r="HH164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I167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A175" i="2" l="1"/>
  <c r="EB175" i="2"/>
  <c r="AA175" i="2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HI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EW191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V192" i="2"/>
  <c r="EW192" i="2"/>
  <c r="HG192" i="2"/>
  <c r="EA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CN193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HI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HG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HG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H201" i="2" l="1"/>
  <c r="HG201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HI202" i="2"/>
  <c r="FS202" i="2"/>
  <c r="HG202" i="2"/>
  <c r="FZ6" i="2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68" i="2" a="1"/>
  <c r="GT68" i="2" s="1"/>
  <c r="GT102" i="2" a="1"/>
  <c r="GT102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199" i="2" a="1"/>
  <c r="AH19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74" i="2" a="1"/>
  <c r="GT74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72" i="2" l="1" a="1"/>
  <c r="CS72" i="2" s="1"/>
  <c r="CS56" i="2" a="1"/>
  <c r="CS56" i="2" s="1"/>
  <c r="AH19" i="2" a="1"/>
  <c r="AH19" i="2" s="1"/>
  <c r="CS77" i="2" a="1"/>
  <c r="CS77" i="2" s="1"/>
  <c r="CS134" i="2" a="1"/>
  <c r="CS134" i="2" s="1"/>
  <c r="CS185" i="2" a="1"/>
  <c r="CS185" i="2" s="1"/>
  <c r="CS24" i="2" a="1"/>
  <c r="CS24" i="2" s="1"/>
  <c r="CS38" i="2" a="1"/>
  <c r="CS38" i="2" s="1"/>
  <c r="CS137" i="2" a="1"/>
  <c r="CS137" i="2" s="1"/>
  <c r="CS129" i="2" a="1"/>
  <c r="CS129" i="2" s="1"/>
  <c r="CS105" i="2" a="1"/>
  <c r="CS105" i="2" s="1"/>
  <c r="CS52" i="2" a="1"/>
  <c r="CS52" i="2" s="1"/>
  <c r="CS161" i="2" a="1"/>
  <c r="CS161" i="2" s="1"/>
  <c r="AH90" i="2" a="1"/>
  <c r="AH90" i="2" s="1"/>
  <c r="AH163" i="2" a="1"/>
  <c r="AH163" i="2" s="1"/>
  <c r="AH62" i="2" a="1"/>
  <c r="AH62" i="2" s="1"/>
  <c r="AH92" i="2" a="1"/>
  <c r="AH92" i="2" s="1"/>
  <c r="AH151" i="2" a="1"/>
  <c r="AH151" i="2" s="1"/>
  <c r="AH166" i="2" a="1"/>
  <c r="AH166" i="2" s="1"/>
  <c r="GT38" i="2" a="1"/>
  <c r="GT38" i="2" s="1"/>
  <c r="GT122" i="2" a="1"/>
  <c r="GT122" i="2" s="1"/>
  <c r="GT126" i="2" a="1"/>
  <c r="GT126" i="2" s="1"/>
  <c r="GT11" i="2" a="1"/>
  <c r="GT11" i="2" s="1"/>
  <c r="GT51" i="2" a="1"/>
  <c r="GT51" i="2" s="1"/>
  <c r="GT138" i="2" a="1"/>
  <c r="GT138" i="2" s="1"/>
  <c r="GT178" i="2" a="1"/>
  <c r="GT178" i="2" s="1"/>
  <c r="GT147" i="2" a="1"/>
  <c r="GT147" i="2" s="1"/>
  <c r="GT181" i="2" a="1"/>
  <c r="GT181" i="2" s="1"/>
  <c r="GT107" i="2" a="1"/>
  <c r="GT107" i="2" s="1"/>
  <c r="GT189" i="2" a="1"/>
  <c r="GT189" i="2" s="1"/>
  <c r="GT152" i="2" a="1"/>
  <c r="GT152" i="2" s="1"/>
  <c r="GT184" i="2" a="1"/>
  <c r="GT184" i="2" s="1"/>
  <c r="HH203" i="2"/>
  <c r="GT174" i="2" a="1"/>
  <c r="GT174" i="2" s="1"/>
  <c r="GT198" i="2" a="1"/>
  <c r="GT198" i="2" s="1"/>
  <c r="GT33" i="2" a="1"/>
  <c r="GT33" i="2" s="1"/>
  <c r="GT115" i="2" a="1"/>
  <c r="GT115" i="2" s="1"/>
  <c r="GT190" i="2" a="1"/>
  <c r="GT190" i="2" s="1"/>
  <c r="GT21" i="2" a="1"/>
  <c r="GT21" i="2" s="1"/>
  <c r="GT133" i="2" a="1"/>
  <c r="GT133" i="2" s="1"/>
  <c r="GT191" i="2" a="1"/>
  <c r="GT191" i="2" s="1"/>
  <c r="GT12" i="2" a="1"/>
  <c r="GT12" i="2" s="1"/>
  <c r="GT121" i="2" a="1"/>
  <c r="GT121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<sst xmlns="http://schemas.openxmlformats.org/spreadsheetml/2006/main" count="1181" uniqueCount="328">
  <si>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</si>
  <si>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</si>
  <si>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</si>
  <si>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</si>
  <si>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</si>
  <si>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</si>
  <si>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</si>
  <si>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</si>
  <si>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</si>
  <si>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</si>
  <si>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</si>
  <si>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</si>
  <si>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</si>
  <si>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</si>
  <si>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</si>
  <si>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</si>
  <si>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</si>
  <si>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</si>
  <si>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</si>
  <si>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</si>
  <si>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</si>
  <si>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</si>
  <si>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</si>
  <si>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</si>
  <si>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</si>
  <si>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</si>
  <si>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</si>
  <si>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</si>
  <si>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</si>
  <si>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</si>
  <si>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</si>
  <si>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</si>
  <si>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</si>
  <si>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</si>
  <si>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</si>
  <si>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</si>
  <si>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</si>
  <si>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</si>
  <si>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</si>
  <si>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</si>
  <si>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</si>
  <si>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</si>
  <si>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</si>
  <si>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</si>
  <si>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</si>
  <si>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</si>
  <si>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</si>
  <si>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</si>
  <si>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</si>
  <si>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</si>
  <si>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</si>
  <si>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</si>
  <si>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</si>
  <si>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</si>
  <si>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</si>
  <si>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</si>
  <si>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</si>
  <si>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</si>
  <si>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</si>
  <si>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</si>
  <si>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</si>
  <si>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</si>
  <si>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</si>
  <si>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</si>
  <si>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</si>
  <si>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</si>
  <si>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</si>
  <si>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</si>
  <si>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</si>
  <si>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</si>
  <si>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</si>
  <si>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</si>
  <si>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</si>
  <si>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</si>
  <si>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</si>
  <si>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</si>
  <si>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</si>
  <si>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</si>
  <si>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</si>
  <si>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</si>
  <si>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</si>
  <si>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</si>
  <si>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</si>
  <si>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</si>
  <si>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</si>
  <si>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</si>
  <si>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</si>
  <si>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</si>
  <si>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</si>
  <si>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</si>
  <si>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</si>
  <si>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</si>
  <si>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</si>
  <si>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</si>
  <si>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</si>
  <si>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</si>
  <si>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</si>
  <si>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</si>
  <si>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</si>
  <si>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</si>
  <si>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</si>
  <si>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</si>
  <si>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</si>
  <si>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</si>
  <si>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</si>
  <si>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</si>
  <si>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</si>
  <si>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</si>
  <si>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</si>
  <si>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</si>
  <si>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</si>
  <si>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</si>
  <si>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</si>
  <si>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</si>
  <si>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</si>
  <si>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</si>
  <si>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</si>
  <si>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</si>
  <si>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</si>
  <si>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</si>
  <si>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</si>
  <si>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</si>
  <si>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</si>
  <si>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</si>
  <si>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</si>
  <si>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</si>
  <si>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</si>
  <si>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</si>
  <si>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</si>
  <si>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</si>
  <si>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</si>
  <si>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</si>
  <si>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</si>
  <si>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</si>
  <si>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</si>
  <si>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</si>
  <si>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</si>
  <si>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</si>
  <si>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</si>
  <si>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</si>
  <si>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</si>
  <si>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</si>
  <si>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</si>
  <si>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</si>
  <si>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</si>
  <si>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</si>
  <si>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</si>
  <si>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</si>
  <si>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</si>
  <si>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</si>
  <si>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</si>
  <si>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</si>
  <si>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</si>
  <si>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</si>
  <si>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</si>
  <si>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</si>
  <si>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</si>
  <si>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</si>
  <si>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</si>
  <si>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</si>
  <si>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</si>
  <si>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</si>
  <si>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</si>
  <si>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</si>
  <si>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</si>
  <si>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</si>
  <si>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</si>
  <si>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</si>
  <si>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</si>
  <si>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</si>
  <si>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</si>
  <si>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</si>
  <si>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</si>
  <si>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</si>
  <si>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</si>
  <si>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</si>
  <si>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</si>
  <si>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</si>
  <si>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</si>
  <si>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</si>
  <si>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</si>
  <si>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</si>
  <si>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</si>
  <si>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</si>
  <si>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</si>
  <si>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</si>
  <si>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</si>
  <si>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</si>
  <si>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</si>
  <si>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</si>
  <si>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</si>
  <si>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</si>
  <si>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</si>
  <si>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</si>
  <si>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</si>
  <si>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</si>
  <si>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</si>
  <si>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</si>
  <si>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</si>
  <si>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</si>
  <si>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</si>
  <si>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</si>
  <si>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</si>
  <si>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</si>
  <si>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</si>
  <si>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</si>
  <si>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</si>
  <si>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</si>
  <si>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</si>
  <si>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</si>
  <si>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</si>
  <si>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</si>
  <si>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</si>
  <si>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</si>
  <si>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</si>
  <si>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</si>
  <si>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</si>
  <si>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</si>
  <si>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</si>
  <si>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</si>
  <si>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</si>
  <si>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</si>
  <si>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</si>
  <si>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</si>
  <si>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</si>
  <si>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</si>
  <si>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</si>
  <si>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</si>
  <si>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</si>
  <si>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</si>
  <si>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</si>
  <si>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</si>
  <si>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</si>
  <si>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</si>
  <si>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</si>
  <si>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</si>
  <si>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</si>
  <si>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</si>
  <si>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</si>
  <si>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</si>
  <si>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</si>
  <si>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</si>
  <si>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</si>
  <si>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</si>
  <si>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</si>
  <si>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</si>
  <si>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</si>
  <si>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</si>
  <si>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</si>
  <si>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</si>
  <si>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</si>
  <si>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</si>
  <si>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</si>
  <si>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</si>
  <si>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</si>
  <si>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</si>
  <si>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</si>
  <si>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</si>
  <si>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</si>
  <si>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</si>
  <si>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</si>
  <si>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</si>
  <si>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</si>
  <si>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</si>
  <si>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</si>
  <si>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</si>
  <si>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</si>
  <si>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</si>
  <si>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</si>
  <si>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</si>
  <si>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</si>
  <si>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</si>
  <si>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</si>
  <si>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</si>
  <si>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</si>
  <si>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</si>
  <si>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</si>
  <si>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</si>
  <si>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</si>
  <si>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</si>
  <si>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</si>
  <si>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</si>
  <si>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</si>
  <si>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</si>
  <si>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</si>
  <si>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</si>
  <si>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</si>
  <si>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</si>
  <si>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</si>
  <si>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</si>
  <si>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</si>
  <si>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</si>
  <si>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</si>
  <si>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</si>
  <si>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</si>
  <si>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</si>
  <si>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</si>
  <si>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</si>
  <si>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</si>
  <si>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</si>
  <si>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</si>
  <si>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</si>
  <si>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</si>
  <si>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</si>
  <si>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</si>
  <si>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</si>
  <si>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</si>
  <si>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</si>
  <si>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</si>
  <si>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</si>
  <si>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</si>
  <si>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</si>
  <si>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</si>
  <si>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</si>
  <si>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</si>
  <si>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</si>
  <si>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</si>
  <si>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</si>
  <si>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</si>
  <si>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</si>
  <si>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</si>
  <si>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</si>
  <si>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</si>
  <si>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</si>
  <si>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</si>
  <si>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Decourt F24</t>
  </si>
  <si>
    <t>Decourt_F21</t>
  </si>
  <si>
    <t>UK For Comm_RC_F22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</si>
</sst>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1.5556056037032899</c:v>
                </c:pt>
                <c:pt idx="2">
                  <c:v>1.9750860803670249</c:v>
                </c:pt>
                <c:pt idx="3">
                  <c:v>2.508139399326724</c:v>
                </c:pt>
                <c:pt idx="4">
                  <c:v>3.1856319785050151</c:v>
                </c:pt>
                <c:pt idx="5">
                  <c:v>4.0468488308069483</c:v>
                </c:pt>
                <c:pt idx="6">
                  <c:v>5.1417972544281598</c:v>
                </c:pt>
                <c:pt idx="7">
                  <c:v>6.5341428306439759</c:v>
                </c:pt>
                <c:pt idx="8">
                  <c:v>8.304951766336119</c:v>
                </c:pt>
                <c:pt idx="9">
                  <c:v>10.557461642563055</c:v>
                </c:pt>
                <c:pt idx="10">
                  <c:v>13.423163936890445</c:v>
                </c:pt>
                <c:pt idx="11">
                  <c:v>17.069559957213201</c:v>
                </c:pt>
                <c:pt idx="12">
                  <c:v>21.710051761837864</c:v>
                </c:pt>
                <c:pt idx="13">
                  <c:v>27.616557254549786</c:v>
                </c:pt>
                <c:pt idx="14">
                  <c:v>35.135601614136327</c:v>
                </c:pt>
                <c:pt idx="15">
                  <c:v>44.708845360002179</c:v>
                </c:pt>
                <c:pt idx="16">
                  <c:v>56.899275212796461</c:v>
                </c:pt>
                <c:pt idx="17">
                  <c:v>72.424623514156238</c:v>
                </c:pt>
                <c:pt idx="18">
                  <c:v>92.200015816567202</c:v>
                </c:pt>
                <c:pt idx="19">
                  <c:v>117.39240054084426</c:v>
                </c:pt>
                <c:pt idx="20">
                  <c:v>149.49002281670283</c:v>
                </c:pt>
                <c:pt idx="21">
                  <c:v>134.19192451868898</c:v>
                </c:pt>
                <c:pt idx="22">
                  <c:v>167.79880331835713</c:v>
                </c:pt>
                <c:pt idx="23">
                  <c:v>201.24634176616689</c:v>
                </c:pt>
                <c:pt idx="24">
                  <c:v>234.56482390663436</c:v>
                </c:pt>
                <c:pt idx="25">
                  <c:v>215.90077709640977</c:v>
                </c:pt>
                <c:pt idx="26">
                  <c:v>255.71013753254616</c:v>
                </c:pt>
                <c:pt idx="27">
                  <c:v>295.37903204669743</c:v>
                </c:pt>
                <c:pt idx="28">
                  <c:v>334.92898046713697</c:v>
                </c:pt>
                <c:pt idx="29">
                  <c:v>310.91182778548091</c:v>
                </c:pt>
                <c:pt idx="30">
                  <c:v>352.9167872578102</c:v>
                </c:pt>
                <c:pt idx="31">
                  <c:v>394.81212266433721</c:v>
                </c:pt>
                <c:pt idx="32">
                  <c:v>436.61108755732994</c:v>
                </c:pt>
                <c:pt idx="33">
                  <c:v>405.27044825981937</c:v>
                </c:pt>
                <c:pt idx="34">
                  <c:v>445.55652112849572</c:v>
                </c:pt>
                <c:pt idx="35">
                  <c:v>485.76460083050716</c:v>
                </c:pt>
                <c:pt idx="36">
                  <c:v>525.90203919558928</c:v>
                </c:pt>
                <c:pt idx="37">
                  <c:v>503.85957631264245</c:v>
                </c:pt>
                <c:pt idx="38">
                  <c:v>540.25626419616674</c:v>
                </c:pt>
                <c:pt idx="39">
                  <c:v>576.601464409904</c:v>
                </c:pt>
                <c:pt idx="40">
                  <c:v>612.89887275058948</c:v>
                </c:pt>
                <c:pt idx="41">
                  <c:v>589.98997214048279</c:v>
                </c:pt>
                <c:pt idx="42">
                  <c:v>621.38641464779766</c:v>
                </c:pt>
                <c:pt idx="43">
                  <c:v>652.75001250200091</c:v>
                </c:pt>
                <c:pt idx="44">
                  <c:v>684.0825631483018</c:v>
                </c:pt>
                <c:pt idx="45">
                  <c:v>715.38568620815522</c:v>
                </c:pt>
                <c:pt idx="46">
                  <c:v>680.34000031802691</c:v>
                </c:pt>
                <c:pt idx="47">
                  <c:v>706.33237341600261</c:v>
                </c:pt>
                <c:pt idx="48">
                  <c:v>732.30519540738578</c:v>
                </c:pt>
                <c:pt idx="49">
                  <c:v>758.25925628282687</c:v>
                </c:pt>
                <c:pt idx="50">
                  <c:v>784.19528762222501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1.3685142490696414</c:v>
                </c:pt>
                <c:pt idx="2">
                  <c:v>1.7647854778613621</c:v>
                </c:pt>
                <c:pt idx="3">
                  <c:v>2.2762752661305163</c:v>
                </c:pt>
                <c:pt idx="4">
                  <c:v>2.9366143237357054</c:v>
                </c:pt>
                <c:pt idx="5">
                  <c:v>3.7892853519791725</c:v>
                </c:pt>
                <c:pt idx="6">
                  <c:v>4.8905188770988284</c:v>
                </c:pt>
                <c:pt idx="7">
                  <c:v>6.3130429127033407</c:v>
                </c:pt>
                <c:pt idx="8">
                  <c:v>8.1509389173342655</c:v>
                </c:pt>
                <c:pt idx="9">
                  <c:v>10.525931358020911</c:v>
                </c:pt>
                <c:pt idx="10">
                  <c:v>13.595535275582002</c:v>
                </c:pt>
                <c:pt idx="11">
                  <c:v>17.563612195254525</c:v>
                </c:pt>
                <c:pt idx="12">
                  <c:v>22.694048135612945</c:v>
                </c:pt>
                <c:pt idx="13">
                  <c:v>29.328479504698162</c:v>
                </c:pt>
                <c:pt idx="14">
                  <c:v>37.909267833479205</c:v>
                </c:pt>
                <c:pt idx="15">
                  <c:v>49.009281412528956</c:v>
                </c:pt>
                <c:pt idx="16">
                  <c:v>63.370505423625502</c:v>
                </c:pt>
                <c:pt idx="17">
                  <c:v>81.954103859322132</c:v>
                </c:pt>
                <c:pt idx="18">
                  <c:v>106.00533766396849</c:v>
                </c:pt>
                <c:pt idx="19">
                  <c:v>137.13775771521753</c:v>
                </c:pt>
                <c:pt idx="20">
                  <c:v>177.44240814111376</c:v>
                </c:pt>
                <c:pt idx="21">
                  <c:v>160.65075934686422</c:v>
                </c:pt>
                <c:pt idx="22">
                  <c:v>186.69657733519637</c:v>
                </c:pt>
                <c:pt idx="23">
                  <c:v>212.65750067125222</c:v>
                </c:pt>
                <c:pt idx="24">
                  <c:v>238.54535651660277</c:v>
                </c:pt>
                <c:pt idx="25">
                  <c:v>264.36918958758662</c:v>
                </c:pt>
                <c:pt idx="26">
                  <c:v>225.17558044390725</c:v>
                </c:pt>
                <c:pt idx="27">
                  <c:v>252.76455938658845</c:v>
                </c:pt>
                <c:pt idx="28">
                  <c:v>280.28530575752819</c:v>
                </c:pt>
                <c:pt idx="29">
                  <c:v>307.74545804298958</c:v>
                </c:pt>
                <c:pt idx="30">
                  <c:v>335.15117947896709</c:v>
                </c:pt>
                <c:pt idx="31">
                  <c:v>295.83580653174823</c:v>
                </c:pt>
                <c:pt idx="32">
                  <c:v>322.91978429980242</c:v>
                </c:pt>
                <c:pt idx="33">
                  <c:v>349.95354411914735</c:v>
                </c:pt>
                <c:pt idx="34">
                  <c:v>376.9415072359846</c:v>
                </c:pt>
                <c:pt idx="35">
                  <c:v>403.88741034371878</c:v>
                </c:pt>
                <c:pt idx="36">
                  <c:v>363.53895081777279</c:v>
                </c:pt>
                <c:pt idx="37">
                  <c:v>389.30388136473965</c:v>
                </c:pt>
                <c:pt idx="38">
                  <c:v>415.03181517088086</c:v>
                </c:pt>
                <c:pt idx="39">
                  <c:v>440.72536585522784</c:v>
                </c:pt>
                <c:pt idx="40">
                  <c:v>466.38681765977225</c:v>
                </c:pt>
                <c:pt idx="41">
                  <c:v>424.45664873445111</c:v>
                </c:pt>
                <c:pt idx="42">
                  <c:v>448.42707539758447</c:v>
                </c:pt>
                <c:pt idx="43">
                  <c:v>472.37009159588257</c:v>
                </c:pt>
                <c:pt idx="44">
                  <c:v>496.28728072596647</c:v>
                </c:pt>
                <c:pt idx="45">
                  <c:v>520.18006125575118</c:v>
                </c:pt>
                <c:pt idx="46">
                  <c:v>476.98465647826987</c:v>
                </c:pt>
                <c:pt idx="47">
                  <c:v>499.53127415494259</c:v>
                </c:pt>
                <c:pt idx="48">
                  <c:v>522.05635527717209</c:v>
                </c:pt>
                <c:pt idx="49">
                  <c:v>544.56095891952907</c:v>
                </c:pt>
                <c:pt idx="50">
                  <c:v>567.04604956434798</c:v>
                </c:pt>
                <c:pt idx="51">
                  <c:v>523.07972842784136</c:v>
                </c:pt>
                <c:pt idx="52">
                  <c:v>543.8792925760207</c:v>
                </c:pt>
                <c:pt idx="53">
                  <c:v>564.66216522949719</c:v>
                </c:pt>
                <c:pt idx="54">
                  <c:v>585.42904663899151</c:v>
                </c:pt>
                <c:pt idx="55">
                  <c:v>606.18058336956176</c:v>
                </c:pt>
                <c:pt idx="56">
                  <c:v>569.25946882644064</c:v>
                </c:pt>
                <c:pt idx="57">
                  <c:v>588.4916988405065</c:v>
                </c:pt>
                <c:pt idx="58">
                  <c:v>607.71084336886918</c:v>
                </c:pt>
                <c:pt idx="59">
                  <c:v>626.91737415049408</c:v>
                </c:pt>
                <c:pt idx="60">
                  <c:v>646.11173168831704</c:v>
                </c:pt>
                <c:pt idx="61">
                  <c:v>613.15112149899903</c:v>
                </c:pt>
                <c:pt idx="62">
                  <c:v>631.16494722878588</c:v>
                </c:pt>
                <c:pt idx="63">
                  <c:v>649.16814374322769</c:v>
                </c:pt>
                <c:pt idx="64">
                  <c:v>667.16104708079183</c:v>
                </c:pt>
                <c:pt idx="65">
                  <c:v>685.1439736924541</c:v>
                </c:pt>
                <c:pt idx="66">
                  <c:v>654.09173962712748</c:v>
                </c:pt>
                <c:pt idx="67">
                  <c:v>670.55480642750751</c:v>
                </c:pt>
                <c:pt idx="68">
                  <c:v>687.00956721568934</c:v>
                </c:pt>
                <c:pt idx="69">
                  <c:v>703.45624879439208</c:v>
                </c:pt>
                <c:pt idx="70">
                  <c:v>719.89506650523697</c:v>
                </c:pt>
                <c:pt idx="71">
                  <c:v>690.2317115200741</c:v>
                </c:pt>
                <c:pt idx="72">
                  <c:v>705.49033895903665</c:v>
                </c:pt>
                <c:pt idx="73">
                  <c:v>720.74221895730443</c:v>
                </c:pt>
                <c:pt idx="74">
                  <c:v>735.98751430565551</c:v>
                </c:pt>
                <c:pt idx="75">
                  <c:v>751.22638050627745</c:v>
                </c:pt>
                <c:pt idx="76">
                  <c:v>722.9447202977567</c:v>
                </c:pt>
                <c:pt idx="77">
                  <c:v>737.00363705679649</c:v>
                </c:pt>
                <c:pt idx="78">
                  <c:v>751.05709454377029</c:v>
                </c:pt>
                <c:pt idx="79">
                  <c:v>765.10520922839896</c:v>
                </c:pt>
                <c:pt idx="80">
                  <c:v>779.14809295795374</c:v>
                </c:pt>
                <c:pt idx="81">
                  <c:v>1.392570441580175E-12</c:v>
                </c:pt>
                <c:pt idx="82">
                  <c:v>1.392570441580175E-12</c:v>
                </c:pt>
                <c:pt idx="83">
                  <c:v>1.392570441580175E-12</c:v>
                </c:pt>
                <c:pt idx="84">
                  <c:v>1.392570441580175E-12</c:v>
                </c:pt>
                <c:pt idx="85">
                  <c:v>1.392570441580175E-12</c:v>
                </c:pt>
                <c:pt idx="86">
                  <c:v>1.392570441580175E-12</c:v>
                </c:pt>
                <c:pt idx="87">
                  <c:v>1.392570441580175E-12</c:v>
                </c:pt>
                <c:pt idx="88">
                  <c:v>1.392570441580175E-12</c:v>
                </c:pt>
                <c:pt idx="89">
                  <c:v>1.392570441580175E-12</c:v>
                </c:pt>
                <c:pt idx="90">
                  <c:v>1.392570441580175E-12</c:v>
                </c:pt>
                <c:pt idx="91">
                  <c:v>1.392570441580175E-12</c:v>
                </c:pt>
                <c:pt idx="92">
                  <c:v>1.392570441580175E-12</c:v>
                </c:pt>
                <c:pt idx="93">
                  <c:v>1.392570441580175E-12</c:v>
                </c:pt>
                <c:pt idx="94">
                  <c:v>1.392570441580175E-12</c:v>
                </c:pt>
                <c:pt idx="95">
                  <c:v>1.392570441580175E-12</c:v>
                </c:pt>
                <c:pt idx="96">
                  <c:v>1.392570441580175E-12</c:v>
                </c:pt>
                <c:pt idx="97">
                  <c:v>1.392570441580175E-12</c:v>
                </c:pt>
                <c:pt idx="98">
                  <c:v>1.392570441580175E-12</c:v>
                </c:pt>
                <c:pt idx="99">
                  <c:v>1.392570441580175E-12</c:v>
                </c:pt>
                <c:pt idx="100">
                  <c:v>1.392570441580175E-12</c:v>
                </c:pt>
                <c:pt idx="101">
                  <c:v>1.392570441580175E-12</c:v>
                </c:pt>
                <c:pt idx="102">
                  <c:v>1.392570441580175E-12</c:v>
                </c:pt>
                <c:pt idx="103">
                  <c:v>1.392570441580175E-12</c:v>
                </c:pt>
                <c:pt idx="104">
                  <c:v>1.392570441580175E-12</c:v>
                </c:pt>
                <c:pt idx="105">
                  <c:v>1.392570441580175E-12</c:v>
                </c:pt>
                <c:pt idx="106">
                  <c:v>1.392570441580175E-12</c:v>
                </c:pt>
                <c:pt idx="107">
                  <c:v>1.392570441580175E-12</c:v>
                </c:pt>
                <c:pt idx="108">
                  <c:v>1.392570441580175E-12</c:v>
                </c:pt>
                <c:pt idx="109">
                  <c:v>1.392570441580175E-12</c:v>
                </c:pt>
                <c:pt idx="110">
                  <c:v>1.392570441580175E-12</c:v>
                </c:pt>
                <c:pt idx="111">
                  <c:v>1.392570441580175E-12</c:v>
                </c:pt>
                <c:pt idx="112">
                  <c:v>1.392570441580175E-12</c:v>
                </c:pt>
                <c:pt idx="113">
                  <c:v>1.392570441580175E-12</c:v>
                </c:pt>
                <c:pt idx="114">
                  <c:v>1.392570441580175E-12</c:v>
                </c:pt>
                <c:pt idx="115">
                  <c:v>1.392570441580175E-12</c:v>
                </c:pt>
                <c:pt idx="116">
                  <c:v>1.392570441580175E-12</c:v>
                </c:pt>
                <c:pt idx="117">
                  <c:v>1.392570441580175E-12</c:v>
                </c:pt>
                <c:pt idx="118">
                  <c:v>1.392570441580175E-12</c:v>
                </c:pt>
                <c:pt idx="119">
                  <c:v>1.392570441580175E-12</c:v>
                </c:pt>
                <c:pt idx="120">
                  <c:v>1.392570441580175E-12</c:v>
                </c:pt>
                <c:pt idx="121">
                  <c:v>1.392570441580175E-12</c:v>
                </c:pt>
                <c:pt idx="122">
                  <c:v>1.392570441580175E-12</c:v>
                </c:pt>
                <c:pt idx="123">
                  <c:v>1.392570441580175E-12</c:v>
                </c:pt>
                <c:pt idx="124">
                  <c:v>1.392570441580175E-12</c:v>
                </c:pt>
                <c:pt idx="125">
                  <c:v>1.392570441580175E-12</c:v>
                </c:pt>
                <c:pt idx="126">
                  <c:v>1.392570441580175E-12</c:v>
                </c:pt>
                <c:pt idx="127">
                  <c:v>1.392570441580175E-12</c:v>
                </c:pt>
                <c:pt idx="128">
                  <c:v>1.392570441580175E-12</c:v>
                </c:pt>
                <c:pt idx="129">
                  <c:v>1.392570441580175E-12</c:v>
                </c:pt>
                <c:pt idx="130">
                  <c:v>1.392570441580175E-12</c:v>
                </c:pt>
                <c:pt idx="131">
                  <c:v>1.392570441580175E-12</c:v>
                </c:pt>
                <c:pt idx="132">
                  <c:v>1.392570441580175E-12</c:v>
                </c:pt>
                <c:pt idx="133">
                  <c:v>1.392570441580175E-12</c:v>
                </c:pt>
                <c:pt idx="134">
                  <c:v>1.392570441580175E-12</c:v>
                </c:pt>
                <c:pt idx="135">
                  <c:v>1.392570441580175E-12</c:v>
                </c:pt>
                <c:pt idx="136">
                  <c:v>1.392570441580175E-12</c:v>
                </c:pt>
                <c:pt idx="137">
                  <c:v>1.392570441580175E-12</c:v>
                </c:pt>
                <c:pt idx="138">
                  <c:v>1.392570441580175E-12</c:v>
                </c:pt>
                <c:pt idx="139">
                  <c:v>1.392570441580175E-12</c:v>
                </c:pt>
                <c:pt idx="140">
                  <c:v>1.392570441580175E-12</c:v>
                </c:pt>
                <c:pt idx="141">
                  <c:v>1.392570441580175E-12</c:v>
                </c:pt>
                <c:pt idx="142">
                  <c:v>1.392570441580175E-12</c:v>
                </c:pt>
                <c:pt idx="143">
                  <c:v>1.392570441580175E-12</c:v>
                </c:pt>
                <c:pt idx="144">
                  <c:v>1.392570441580175E-12</c:v>
                </c:pt>
                <c:pt idx="145">
                  <c:v>1.392570441580175E-12</c:v>
                </c:pt>
                <c:pt idx="146">
                  <c:v>1.392570441580175E-12</c:v>
                </c:pt>
                <c:pt idx="147">
                  <c:v>1.392570441580175E-12</c:v>
                </c:pt>
                <c:pt idx="148">
                  <c:v>1.392570441580175E-12</c:v>
                </c:pt>
                <c:pt idx="149">
                  <c:v>1.392570441580175E-12</c:v>
                </c:pt>
                <c:pt idx="150">
                  <c:v>1.392570441580175E-12</c:v>
                </c:pt>
                <c:pt idx="151">
                  <c:v>1.392570441580175E-12</c:v>
                </c:pt>
                <c:pt idx="152">
                  <c:v>1.392570441580175E-12</c:v>
                </c:pt>
                <c:pt idx="153">
                  <c:v>1.392570441580175E-12</c:v>
                </c:pt>
                <c:pt idx="154">
                  <c:v>1.392570441580175E-12</c:v>
                </c:pt>
                <c:pt idx="155">
                  <c:v>1.392570441580175E-12</c:v>
                </c:pt>
                <c:pt idx="156">
                  <c:v>1.392570441580175E-12</c:v>
                </c:pt>
                <c:pt idx="157">
                  <c:v>1.392570441580175E-12</c:v>
                </c:pt>
                <c:pt idx="158">
                  <c:v>1.392570441580175E-12</c:v>
                </c:pt>
                <c:pt idx="159">
                  <c:v>1.392570441580175E-12</c:v>
                </c:pt>
                <c:pt idx="160">
                  <c:v>1.392570441580175E-12</c:v>
                </c:pt>
                <c:pt idx="161">
                  <c:v>1.392570441580175E-12</c:v>
                </c:pt>
                <c:pt idx="162">
                  <c:v>1.392570441580175E-12</c:v>
                </c:pt>
                <c:pt idx="163">
                  <c:v>1.392570441580175E-12</c:v>
                </c:pt>
                <c:pt idx="164">
                  <c:v>1.392570441580175E-12</c:v>
                </c:pt>
                <c:pt idx="165">
                  <c:v>1.392570441580175E-12</c:v>
                </c:pt>
                <c:pt idx="166">
                  <c:v>1.392570441580175E-12</c:v>
                </c:pt>
                <c:pt idx="167">
                  <c:v>1.392570441580175E-12</c:v>
                </c:pt>
                <c:pt idx="168">
                  <c:v>1.392570441580175E-12</c:v>
                </c:pt>
                <c:pt idx="169">
                  <c:v>1.392570441580175E-12</c:v>
                </c:pt>
                <c:pt idx="170">
                  <c:v>1.392570441580175E-12</c:v>
                </c:pt>
                <c:pt idx="171">
                  <c:v>1.392570441580175E-12</c:v>
                </c:pt>
                <c:pt idx="172">
                  <c:v>1.392570441580175E-12</c:v>
                </c:pt>
                <c:pt idx="173">
                  <c:v>1.392570441580175E-12</c:v>
                </c:pt>
                <c:pt idx="174">
                  <c:v>1.392570441580175E-12</c:v>
                </c:pt>
                <c:pt idx="175">
                  <c:v>1.392570441580175E-12</c:v>
                </c:pt>
                <c:pt idx="176">
                  <c:v>1.392570441580175E-12</c:v>
                </c:pt>
                <c:pt idx="177">
                  <c:v>1.392570441580175E-12</c:v>
                </c:pt>
                <c:pt idx="178">
                  <c:v>1.392570441580175E-12</c:v>
                </c:pt>
                <c:pt idx="179">
                  <c:v>1.392570441580175E-12</c:v>
                </c:pt>
                <c:pt idx="180">
                  <c:v>1.392570441580175E-12</c:v>
                </c:pt>
                <c:pt idx="181">
                  <c:v>1.392570441580175E-12</c:v>
                </c:pt>
                <c:pt idx="182">
                  <c:v>1.392570441580175E-12</c:v>
                </c:pt>
                <c:pt idx="183">
                  <c:v>1.392570441580175E-12</c:v>
                </c:pt>
                <c:pt idx="184">
                  <c:v>1.392570441580175E-12</c:v>
                </c:pt>
                <c:pt idx="185">
                  <c:v>1.392570441580175E-12</c:v>
                </c:pt>
                <c:pt idx="186">
                  <c:v>1.392570441580175E-12</c:v>
                </c:pt>
                <c:pt idx="187">
                  <c:v>1.392570441580175E-12</c:v>
                </c:pt>
                <c:pt idx="188">
                  <c:v>1.392570441580175E-12</c:v>
                </c:pt>
                <c:pt idx="189">
                  <c:v>1.392570441580175E-12</c:v>
                </c:pt>
                <c:pt idx="190">
                  <c:v>1.392570441580175E-12</c:v>
                </c:pt>
                <c:pt idx="191">
                  <c:v>1.392570441580175E-12</c:v>
                </c:pt>
                <c:pt idx="192">
                  <c:v>1.392570441580175E-12</c:v>
                </c:pt>
                <c:pt idx="193">
                  <c:v>1.392570441580175E-12</c:v>
                </c:pt>
                <c:pt idx="194">
                  <c:v>1.392570441580175E-12</c:v>
                </c:pt>
                <c:pt idx="195">
                  <c:v>1.392570441580175E-12</c:v>
                </c:pt>
                <c:pt idx="196">
                  <c:v>1.392570441580175E-12</c:v>
                </c:pt>
                <c:pt idx="197">
                  <c:v>1.392570441580175E-12</c:v>
                </c:pt>
                <c:pt idx="198">
                  <c:v>1.392570441580175E-12</c:v>
                </c:pt>
                <c:pt idx="199">
                  <c:v>1.392570441580175E-12</c:v>
                </c:pt>
                <c:pt idx="200">
                  <c:v>1.392570441580175E-12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1.5169790578370435</c:v>
                </c:pt>
                <c:pt idx="2">
                  <c:v>1.8781501756367305</c:v>
                </c:pt>
                <c:pt idx="3">
                  <c:v>2.3256507836964637</c:v>
                </c:pt>
                <c:pt idx="4">
                  <c:v>2.8801928037711861</c:v>
                </c:pt>
                <c:pt idx="5">
                  <c:v>3.5674746285378856</c:v>
                </c:pt>
                <c:pt idx="6">
                  <c:v>4.419385523082803</c:v>
                </c:pt>
                <c:pt idx="7">
                  <c:v>5.475501800590159</c:v>
                </c:pt>
                <c:pt idx="8">
                  <c:v>6.784945650599842</c:v>
                </c:pt>
                <c:pt idx="9">
                  <c:v>8.4086947592856145</c:v>
                </c:pt>
                <c:pt idx="10">
                  <c:v>10.422452335472949</c:v>
                </c:pt>
                <c:pt idx="11">
                  <c:v>12.920213874061965</c:v>
                </c:pt>
                <c:pt idx="12">
                  <c:v>16.018700233156078</c:v>
                </c:pt>
                <c:pt idx="13">
                  <c:v>19.862867970024372</c:v>
                </c:pt>
                <c:pt idx="14">
                  <c:v>24.632759363258756</c:v>
                </c:pt>
                <c:pt idx="15">
                  <c:v>30.552018621247594</c:v>
                </c:pt>
                <c:pt idx="16">
                  <c:v>37.89848052526817</c:v>
                </c:pt>
                <c:pt idx="17">
                  <c:v>47.017337021109604</c:v>
                </c:pt>
                <c:pt idx="18">
                  <c:v>58.337510841395044</c:v>
                </c:pt>
                <c:pt idx="19">
                  <c:v>72.392019072005624</c:v>
                </c:pt>
                <c:pt idx="20">
                  <c:v>89.843301094640552</c:v>
                </c:pt>
                <c:pt idx="21">
                  <c:v>111.51472379224067</c:v>
                </c:pt>
                <c:pt idx="22">
                  <c:v>138.42977381649987</c:v>
                </c:pt>
                <c:pt idx="23">
                  <c:v>171.86081644124263</c:v>
                </c:pt>
                <c:pt idx="24">
                  <c:v>147.70725368638702</c:v>
                </c:pt>
                <c:pt idx="25">
                  <c:v>179.47104913917383</c:v>
                </c:pt>
                <c:pt idx="26">
                  <c:v>211.1027938308097</c:v>
                </c:pt>
                <c:pt idx="27">
                  <c:v>242.62509103866606</c:v>
                </c:pt>
                <c:pt idx="28">
                  <c:v>214.38589248354251</c:v>
                </c:pt>
                <c:pt idx="29">
                  <c:v>250.67926877807722</c:v>
                </c:pt>
                <c:pt idx="30">
                  <c:v>286.85336725699204</c:v>
                </c:pt>
                <c:pt idx="31">
                  <c:v>322.92534379451826</c:v>
                </c:pt>
                <c:pt idx="32">
                  <c:v>303.39817033602765</c:v>
                </c:pt>
                <c:pt idx="33">
                  <c:v>340.92722154371285</c:v>
                </c:pt>
                <c:pt idx="34">
                  <c:v>378.36539662842574</c:v>
                </c:pt>
                <c:pt idx="35">
                  <c:v>415.72294083711455</c:v>
                </c:pt>
                <c:pt idx="36">
                  <c:v>387.58740137132486</c:v>
                </c:pt>
                <c:pt idx="37">
                  <c:v>423.18552880120927</c:v>
                </c:pt>
                <c:pt idx="38">
                  <c:v>458.71921423081375</c:v>
                </c:pt>
                <c:pt idx="39">
                  <c:v>494.19414347908742</c:v>
                </c:pt>
                <c:pt idx="40">
                  <c:v>476.14120509445956</c:v>
                </c:pt>
                <c:pt idx="41">
                  <c:v>507.67509845566065</c:v>
                </c:pt>
                <c:pt idx="42">
                  <c:v>539.16760679331139</c:v>
                </c:pt>
                <c:pt idx="43">
                  <c:v>570.62148354470423</c:v>
                </c:pt>
                <c:pt idx="44">
                  <c:v>602.03915423253159</c:v>
                </c:pt>
                <c:pt idx="45">
                  <c:v>571.74179956676232</c:v>
                </c:pt>
                <c:pt idx="46">
                  <c:v>597.75996975235046</c:v>
                </c:pt>
                <c:pt idx="47">
                  <c:v>623.75460086683643</c:v>
                </c:pt>
                <c:pt idx="48">
                  <c:v>649.72681059203296</c:v>
                </c:pt>
                <c:pt idx="49">
                  <c:v>675.6776200826381</c:v>
                </c:pt>
                <c:pt idx="50">
                  <c:v>701.60796576320615</c:v>
                </c:pt>
                <c:pt idx="51">
                  <c:v>657.61281934757983</c:v>
                </c:pt>
                <c:pt idx="52">
                  <c:v>679.61770277833341</c:v>
                </c:pt>
                <c:pt idx="53">
                  <c:v>701.60796576320615</c:v>
                </c:pt>
                <c:pt idx="54">
                  <c:v>2.9494845662396269E-12</c:v>
                </c:pt>
                <c:pt idx="55">
                  <c:v>2.9494845662396269E-12</c:v>
                </c:pt>
                <c:pt idx="56">
                  <c:v>2.9494845662396269E-12</c:v>
                </c:pt>
                <c:pt idx="57">
                  <c:v>2.9494845662396269E-12</c:v>
                </c:pt>
                <c:pt idx="58">
                  <c:v>2.9494845662396269E-12</c:v>
                </c:pt>
                <c:pt idx="59">
                  <c:v>2.9494845662396269E-12</c:v>
                </c:pt>
                <c:pt idx="60">
                  <c:v>2.9494845662396269E-12</c:v>
                </c:pt>
                <c:pt idx="61">
                  <c:v>2.9494845662396269E-12</c:v>
                </c:pt>
                <c:pt idx="62">
                  <c:v>2.9494845662396269E-12</c:v>
                </c:pt>
                <c:pt idx="63">
                  <c:v>2.9494845662396269E-12</c:v>
                </c:pt>
                <c:pt idx="64">
                  <c:v>2.9494845662396269E-12</c:v>
                </c:pt>
                <c:pt idx="65">
                  <c:v>2.9494845662396269E-12</c:v>
                </c:pt>
                <c:pt idx="66">
                  <c:v>2.9494845662396269E-12</c:v>
                </c:pt>
                <c:pt idx="67">
                  <c:v>2.9494845662396269E-12</c:v>
                </c:pt>
                <c:pt idx="68">
                  <c:v>2.9494845662396269E-12</c:v>
                </c:pt>
                <c:pt idx="69">
                  <c:v>2.9494845662396269E-12</c:v>
                </c:pt>
                <c:pt idx="70">
                  <c:v>2.9494845662396269E-12</c:v>
                </c:pt>
                <c:pt idx="71">
                  <c:v>2.9494845662396269E-12</c:v>
                </c:pt>
                <c:pt idx="72">
                  <c:v>2.9494845662396269E-12</c:v>
                </c:pt>
                <c:pt idx="73">
                  <c:v>2.9494845662396269E-12</c:v>
                </c:pt>
                <c:pt idx="74">
                  <c:v>2.9494845662396269E-12</c:v>
                </c:pt>
                <c:pt idx="75">
                  <c:v>2.9494845662396269E-12</c:v>
                </c:pt>
                <c:pt idx="76">
                  <c:v>2.9494845662396269E-12</c:v>
                </c:pt>
                <c:pt idx="77">
                  <c:v>2.9494845662396269E-12</c:v>
                </c:pt>
                <c:pt idx="78">
                  <c:v>2.9494845662396269E-12</c:v>
                </c:pt>
                <c:pt idx="79">
                  <c:v>2.9494845662396269E-12</c:v>
                </c:pt>
                <c:pt idx="80">
                  <c:v>2.9494845662396269E-12</c:v>
                </c:pt>
                <c:pt idx="81">
                  <c:v>2.9494845662396269E-12</c:v>
                </c:pt>
                <c:pt idx="82">
                  <c:v>2.9494845662396269E-12</c:v>
                </c:pt>
                <c:pt idx="83">
                  <c:v>2.9494845662396269E-12</c:v>
                </c:pt>
                <c:pt idx="84">
                  <c:v>2.9494845662396269E-12</c:v>
                </c:pt>
                <c:pt idx="85">
                  <c:v>2.9494845662396269E-12</c:v>
                </c:pt>
                <c:pt idx="86">
                  <c:v>2.9494845662396269E-12</c:v>
                </c:pt>
                <c:pt idx="87">
                  <c:v>2.9494845662396269E-12</c:v>
                </c:pt>
                <c:pt idx="88">
                  <c:v>2.9494845662396269E-12</c:v>
                </c:pt>
                <c:pt idx="89">
                  <c:v>2.9494845662396269E-12</c:v>
                </c:pt>
                <c:pt idx="90">
                  <c:v>2.9494845662396269E-12</c:v>
                </c:pt>
                <c:pt idx="91">
                  <c:v>2.9494845662396269E-12</c:v>
                </c:pt>
                <c:pt idx="92">
                  <c:v>2.9494845662396269E-12</c:v>
                </c:pt>
                <c:pt idx="93">
                  <c:v>2.9494845662396269E-12</c:v>
                </c:pt>
                <c:pt idx="94">
                  <c:v>2.9494845662396269E-12</c:v>
                </c:pt>
                <c:pt idx="95">
                  <c:v>2.9494845662396269E-12</c:v>
                </c:pt>
                <c:pt idx="96">
                  <c:v>2.9494845662396269E-12</c:v>
                </c:pt>
                <c:pt idx="97">
                  <c:v>2.9494845662396269E-12</c:v>
                </c:pt>
                <c:pt idx="98">
                  <c:v>2.9494845662396269E-12</c:v>
                </c:pt>
                <c:pt idx="99">
                  <c:v>2.9494845662396269E-12</c:v>
                </c:pt>
                <c:pt idx="100">
                  <c:v>2.9494845662396269E-12</c:v>
                </c:pt>
                <c:pt idx="101">
                  <c:v>2.9494845662396269E-12</c:v>
                </c:pt>
                <c:pt idx="102">
                  <c:v>2.9494845662396269E-12</c:v>
                </c:pt>
                <c:pt idx="103">
                  <c:v>2.9494845662396269E-12</c:v>
                </c:pt>
                <c:pt idx="104">
                  <c:v>2.9494845662396269E-12</c:v>
                </c:pt>
                <c:pt idx="105">
                  <c:v>2.9494845662396269E-12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1.4358501294065193</c:v>
                </c:pt>
                <c:pt idx="2">
                  <c:v>1.7776383454334483</c:v>
                </c:pt>
                <c:pt idx="3">
                  <c:v>2.2011078053794022</c:v>
                </c:pt>
                <c:pt idx="4">
                  <c:v>2.725851807506011</c:v>
                </c:pt>
                <c:pt idx="5">
                  <c:v>3.3761800382263751</c:v>
                </c:pt>
                <c:pt idx="6">
                  <c:v>4.1822575671568174</c:v>
                </c:pt>
                <c:pt idx="7">
                  <c:v>5.1815197328005524</c:v>
                </c:pt>
                <c:pt idx="8">
                  <c:v>6.4204299302172032</c:v>
                </c:pt>
                <c:pt idx="9">
                  <c:v>7.9566636294832778</c:v>
                </c:pt>
                <c:pt idx="10">
                  <c:v>9.8618222536369711</c:v>
                </c:pt>
                <c:pt idx="11">
                  <c:v>12.224805801090914</c:v>
                </c:pt>
                <c:pt idx="12">
                  <c:v>15.156004522795392</c:v>
                </c:pt>
                <c:pt idx="13">
                  <c:v>18.7925090685609</c:v>
                </c:pt>
                <c:pt idx="14">
                  <c:v>23.304587179899329</c:v>
                </c:pt>
                <c:pt idx="15">
                  <c:v>28.903735569598329</c:v>
                </c:pt>
                <c:pt idx="16">
                  <c:v>35.852691006431733</c:v>
                </c:pt>
                <c:pt idx="17">
                  <c:v>44.477878447827031</c:v>
                </c:pt>
                <c:pt idx="18">
                  <c:v>55.184890856172565</c:v>
                </c:pt>
                <c:pt idx="19">
                  <c:v>68.477740728407738</c:v>
                </c:pt>
                <c:pt idx="20">
                  <c:v>84.982804379754427</c:v>
                </c:pt>
                <c:pt idx="21">
                  <c:v>105.47860539088272</c:v>
                </c:pt>
                <c:pt idx="22">
                  <c:v>130.93286424132782</c:v>
                </c:pt>
                <c:pt idx="23">
                  <c:v>162.54859057495182</c:v>
                </c:pt>
                <c:pt idx="24">
                  <c:v>139.70666242278892</c:v>
                </c:pt>
                <c:pt idx="25">
                  <c:v>169.74547039155743</c:v>
                </c:pt>
                <c:pt idx="26">
                  <c:v>199.65873123001893</c:v>
                </c:pt>
                <c:pt idx="27">
                  <c:v>229.46793498173531</c:v>
                </c:pt>
                <c:pt idx="28">
                  <c:v>202.76343275622813</c:v>
                </c:pt>
                <c:pt idx="29">
                  <c:v>237.08432568129524</c:v>
                </c:pt>
                <c:pt idx="30">
                  <c:v>271.29181534136137</c:v>
                </c:pt>
                <c:pt idx="31">
                  <c:v>305.40221266685131</c:v>
                </c:pt>
                <c:pt idx="32">
                  <c:v>286.93697943858103</c:v>
                </c:pt>
                <c:pt idx="33">
                  <c:v>322.42498078691875</c:v>
                </c:pt>
                <c:pt idx="34">
                  <c:v>357.82658175139539</c:v>
                </c:pt>
                <c:pt idx="35">
                  <c:v>393.15152299039397</c:v>
                </c:pt>
                <c:pt idx="36">
                  <c:v>366.54685925399895</c:v>
                </c:pt>
                <c:pt idx="37">
                  <c:v>400.20802972261481</c:v>
                </c:pt>
                <c:pt idx="38">
                  <c:v>433.80793202332416</c:v>
                </c:pt>
                <c:pt idx="39">
                  <c:v>467.3519719428582</c:v>
                </c:pt>
                <c:pt idx="40">
                  <c:v>450.28168574437177</c:v>
                </c:pt>
                <c:pt idx="41">
                  <c:v>480.09908815955913</c:v>
                </c:pt>
                <c:pt idx="42">
                  <c:v>509.87714380461676</c:v>
                </c:pt>
                <c:pt idx="43">
                  <c:v>539.61847050732229</c:v>
                </c:pt>
                <c:pt idx="44">
                  <c:v>569.32537433097184</c:v>
                </c:pt>
                <c:pt idx="45">
                  <c:v>540.67778582442327</c:v>
                </c:pt>
                <c:pt idx="46">
                  <c:v>565.27921227954937</c:v>
                </c:pt>
                <c:pt idx="47">
                  <c:v>589.85825898615133</c:v>
                </c:pt>
                <c:pt idx="48">
                  <c:v>614.41598857910515</c:v>
                </c:pt>
                <c:pt idx="49">
                  <c:v>638.95337192022805</c:v>
                </c:pt>
                <c:pt idx="50">
                  <c:v>663.47129931423683</c:v>
                </c:pt>
                <c:pt idx="51">
                  <c:v>621.87249278390527</c:v>
                </c:pt>
                <c:pt idx="52">
                  <c:v>642.67884623628743</c:v>
                </c:pt>
                <c:pt idx="53">
                  <c:v>663.47129931423706</c:v>
                </c:pt>
                <c:pt idx="54">
                  <c:v>2.8030510891776262E-12</c:v>
                </c:pt>
                <c:pt idx="55">
                  <c:v>2.8030510891776262E-12</c:v>
                </c:pt>
                <c:pt idx="56">
                  <c:v>2.8030510891776262E-12</c:v>
                </c:pt>
                <c:pt idx="57">
                  <c:v>2.8030510891776262E-12</c:v>
                </c:pt>
                <c:pt idx="58">
                  <c:v>2.8030510891776262E-12</c:v>
                </c:pt>
                <c:pt idx="59">
                  <c:v>2.8030510891776262E-12</c:v>
                </c:pt>
                <c:pt idx="60">
                  <c:v>2.8030510891776262E-12</c:v>
                </c:pt>
                <c:pt idx="61">
                  <c:v>2.8030510891776262E-12</c:v>
                </c:pt>
                <c:pt idx="62">
                  <c:v>2.8030510891776262E-12</c:v>
                </c:pt>
                <c:pt idx="63">
                  <c:v>2.8030510891776262E-12</c:v>
                </c:pt>
                <c:pt idx="64">
                  <c:v>2.8030510891776262E-12</c:v>
                </c:pt>
                <c:pt idx="65">
                  <c:v>2.8030510891776262E-12</c:v>
                </c:pt>
                <c:pt idx="66">
                  <c:v>2.8030510891776262E-12</c:v>
                </c:pt>
                <c:pt idx="67">
                  <c:v>2.8030510891776262E-12</c:v>
                </c:pt>
                <c:pt idx="68">
                  <c:v>2.8030510891776262E-12</c:v>
                </c:pt>
                <c:pt idx="69">
                  <c:v>2.8030510891776262E-12</c:v>
                </c:pt>
                <c:pt idx="70">
                  <c:v>2.8030510891776262E-12</c:v>
                </c:pt>
                <c:pt idx="71">
                  <c:v>2.8030510891776262E-12</c:v>
                </c:pt>
                <c:pt idx="72">
                  <c:v>2.8030510891776262E-12</c:v>
                </c:pt>
                <c:pt idx="73">
                  <c:v>2.8030510891776262E-12</c:v>
                </c:pt>
                <c:pt idx="74">
                  <c:v>2.8030510891776262E-12</c:v>
                </c:pt>
                <c:pt idx="75">
                  <c:v>2.8030510891776262E-12</c:v>
                </c:pt>
                <c:pt idx="76">
                  <c:v>2.8030510891776262E-12</c:v>
                </c:pt>
                <c:pt idx="77">
                  <c:v>2.8030510891776262E-12</c:v>
                </c:pt>
                <c:pt idx="78">
                  <c:v>2.8030510891776262E-12</c:v>
                </c:pt>
                <c:pt idx="79">
                  <c:v>2.8030510891776262E-12</c:v>
                </c:pt>
                <c:pt idx="80">
                  <c:v>2.8030510891776262E-12</c:v>
                </c:pt>
                <c:pt idx="81">
                  <c:v>2.8030510891776262E-12</c:v>
                </c:pt>
                <c:pt idx="82">
                  <c:v>2.8030510891776262E-12</c:v>
                </c:pt>
                <c:pt idx="83">
                  <c:v>2.8030510891776262E-12</c:v>
                </c:pt>
                <c:pt idx="84">
                  <c:v>2.8030510891776262E-12</c:v>
                </c:pt>
                <c:pt idx="85">
                  <c:v>2.8030510891776262E-12</c:v>
                </c:pt>
                <c:pt idx="86">
                  <c:v>2.8030510891776262E-12</c:v>
                </c:pt>
                <c:pt idx="87">
                  <c:v>2.8030510891776262E-12</c:v>
                </c:pt>
                <c:pt idx="88">
                  <c:v>2.8030510891776262E-12</c:v>
                </c:pt>
                <c:pt idx="89">
                  <c:v>2.8030510891776262E-12</c:v>
                </c:pt>
                <c:pt idx="90">
                  <c:v>2.8030510891776262E-12</c:v>
                </c:pt>
                <c:pt idx="91">
                  <c:v>2.8030510891776262E-12</c:v>
                </c:pt>
                <c:pt idx="92">
                  <c:v>2.8030510891776262E-12</c:v>
                </c:pt>
                <c:pt idx="93">
                  <c:v>2.8030510891776262E-12</c:v>
                </c:pt>
                <c:pt idx="94">
                  <c:v>2.8030510891776262E-12</c:v>
                </c:pt>
                <c:pt idx="95">
                  <c:v>2.8030510891776262E-12</c:v>
                </c:pt>
                <c:pt idx="96">
                  <c:v>2.8030510891776262E-12</c:v>
                </c:pt>
                <c:pt idx="97">
                  <c:v>2.8030510891776262E-12</c:v>
                </c:pt>
                <c:pt idx="98">
                  <c:v>2.8030510891776262E-12</c:v>
                </c:pt>
                <c:pt idx="99">
                  <c:v>2.8030510891776262E-12</c:v>
                </c:pt>
                <c:pt idx="100">
                  <c:v>2.8030510891776262E-12</c:v>
                </c:pt>
                <c:pt idx="101">
                  <c:v>2.8030510891776262E-12</c:v>
                </c:pt>
                <c:pt idx="102">
                  <c:v>2.8030510891776262E-12</c:v>
                </c:pt>
                <c:pt idx="103">
                  <c:v>2.8030510891776262E-12</c:v>
                </c:pt>
                <c:pt idx="104">
                  <c:v>2.8030510891776262E-12</c:v>
                </c:pt>
                <c:pt idx="105">
                  <c:v>2.8030510891776262E-12</c:v>
                </c:pt>
                <c:pt idx="106">
                  <c:v>2.8030510891776262E-12</c:v>
                </c:pt>
                <c:pt idx="107">
                  <c:v>2.8030510891776262E-12</c:v>
                </c:pt>
                <c:pt idx="108">
                  <c:v>2.8030510891776262E-12</c:v>
                </c:pt>
                <c:pt idx="109">
                  <c:v>2.8030510891776262E-12</c:v>
                </c:pt>
                <c:pt idx="110">
                  <c:v>2.8030510891776262E-12</c:v>
                </c:pt>
                <c:pt idx="111">
                  <c:v>2.8030510891776262E-12</c:v>
                </c:pt>
                <c:pt idx="112">
                  <c:v>2.8030510891776262E-12</c:v>
                </c:pt>
                <c:pt idx="113">
                  <c:v>2.8030510891776262E-12</c:v>
                </c:pt>
                <c:pt idx="114">
                  <c:v>2.8030510891776262E-12</c:v>
                </c:pt>
                <c:pt idx="115">
                  <c:v>2.8030510891776262E-12</c:v>
                </c:pt>
                <c:pt idx="116">
                  <c:v>2.8030510891776262E-12</c:v>
                </c:pt>
                <c:pt idx="117">
                  <c:v>2.8030510891776262E-12</c:v>
                </c:pt>
                <c:pt idx="118">
                  <c:v>2.8030510891776262E-12</c:v>
                </c:pt>
                <c:pt idx="119">
                  <c:v>2.8030510891776262E-12</c:v>
                </c:pt>
                <c:pt idx="120">
                  <c:v>2.8030510891776262E-12</c:v>
                </c:pt>
                <c:pt idx="121">
                  <c:v>2.8030510891776262E-12</c:v>
                </c:pt>
                <c:pt idx="122">
                  <c:v>2.8030510891776262E-12</c:v>
                </c:pt>
                <c:pt idx="123">
                  <c:v>2.8030510891776262E-12</c:v>
                </c:pt>
                <c:pt idx="124">
                  <c:v>2.8030510891776262E-12</c:v>
                </c:pt>
                <c:pt idx="125">
                  <c:v>2.8030510891776262E-12</c:v>
                </c:pt>
                <c:pt idx="126">
                  <c:v>2.8030510891776262E-12</c:v>
                </c:pt>
                <c:pt idx="127">
                  <c:v>2.8030510891776262E-12</c:v>
                </c:pt>
                <c:pt idx="128">
                  <c:v>2.8030510891776262E-12</c:v>
                </c:pt>
                <c:pt idx="129">
                  <c:v>2.8030510891776262E-12</c:v>
                </c:pt>
                <c:pt idx="130">
                  <c:v>2.8030510891776262E-12</c:v>
                </c:pt>
                <c:pt idx="131">
                  <c:v>2.8030510891776262E-12</c:v>
                </c:pt>
                <c:pt idx="132">
                  <c:v>2.8030510891776262E-12</c:v>
                </c:pt>
                <c:pt idx="133">
                  <c:v>2.8030510891776262E-12</c:v>
                </c:pt>
                <c:pt idx="134">
                  <c:v>2.8030510891776262E-12</c:v>
                </c:pt>
                <c:pt idx="135">
                  <c:v>2.8030510891776262E-12</c:v>
                </c:pt>
                <c:pt idx="136">
                  <c:v>2.8030510891776262E-12</c:v>
                </c:pt>
                <c:pt idx="137">
                  <c:v>2.8030510891776262E-12</c:v>
                </c:pt>
                <c:pt idx="138">
                  <c:v>2.8030510891776262E-12</c:v>
                </c:pt>
                <c:pt idx="139">
                  <c:v>2.8030510891776262E-12</c:v>
                </c:pt>
                <c:pt idx="140">
                  <c:v>2.8030510891776262E-12</c:v>
                </c:pt>
                <c:pt idx="141">
                  <c:v>2.8030510891776262E-12</c:v>
                </c:pt>
                <c:pt idx="142">
                  <c:v>2.8030510891776262E-12</c:v>
                </c:pt>
                <c:pt idx="143">
                  <c:v>2.8030510891776262E-12</c:v>
                </c:pt>
                <c:pt idx="144">
                  <c:v>2.8030510891776262E-12</c:v>
                </c:pt>
                <c:pt idx="145">
                  <c:v>2.8030510891776262E-12</c:v>
                </c:pt>
                <c:pt idx="146">
                  <c:v>2.8030510891776262E-12</c:v>
                </c:pt>
                <c:pt idx="147">
                  <c:v>2.8030510891776262E-12</c:v>
                </c:pt>
                <c:pt idx="148">
                  <c:v>2.8030510891776262E-12</c:v>
                </c:pt>
                <c:pt idx="149">
                  <c:v>2.8030510891776262E-12</c:v>
                </c:pt>
                <c:pt idx="150">
                  <c:v>2.8030510891776262E-12</c:v>
                </c:pt>
                <c:pt idx="151">
                  <c:v>2.8030510891776262E-12</c:v>
                </c:pt>
                <c:pt idx="152">
                  <c:v>2.8030510891776262E-12</c:v>
                </c:pt>
                <c:pt idx="153">
                  <c:v>2.8030510891776262E-12</c:v>
                </c:pt>
                <c:pt idx="154">
                  <c:v>2.8030510891776262E-12</c:v>
                </c:pt>
                <c:pt idx="155">
                  <c:v>2.8030510891776262E-12</c:v>
                </c:pt>
                <c:pt idx="156">
                  <c:v>2.8030510891776262E-12</c:v>
                </c:pt>
                <c:pt idx="157">
                  <c:v>2.8030510891776262E-12</c:v>
                </c:pt>
                <c:pt idx="158">
                  <c:v>2.8030510891776262E-12</c:v>
                </c:pt>
                <c:pt idx="159">
                  <c:v>2.8030510891776262E-12</c:v>
                </c:pt>
                <c:pt idx="160">
                  <c:v>2.8030510891776262E-12</c:v>
                </c:pt>
                <c:pt idx="161">
                  <c:v>2.8030510891776262E-12</c:v>
                </c:pt>
                <c:pt idx="162">
                  <c:v>2.8030510891776262E-12</c:v>
                </c:pt>
                <c:pt idx="163">
                  <c:v>2.8030510891776262E-12</c:v>
                </c:pt>
                <c:pt idx="164">
                  <c:v>2.8030510891776262E-12</c:v>
                </c:pt>
                <c:pt idx="165">
                  <c:v>2.8030510891776262E-12</c:v>
                </c:pt>
                <c:pt idx="166">
                  <c:v>2.8030510891776262E-12</c:v>
                </c:pt>
                <c:pt idx="167">
                  <c:v>2.8030510891776262E-12</c:v>
                </c:pt>
                <c:pt idx="168">
                  <c:v>2.8030510891776262E-12</c:v>
                </c:pt>
                <c:pt idx="169">
                  <c:v>2.8030510891776262E-12</c:v>
                </c:pt>
                <c:pt idx="170">
                  <c:v>2.8030510891776262E-12</c:v>
                </c:pt>
                <c:pt idx="171">
                  <c:v>2.8030510891776262E-12</c:v>
                </c:pt>
                <c:pt idx="172">
                  <c:v>2.8030510891776262E-12</c:v>
                </c:pt>
                <c:pt idx="173">
                  <c:v>2.8030510891776262E-12</c:v>
                </c:pt>
                <c:pt idx="174">
                  <c:v>2.8030510891776262E-12</c:v>
                </c:pt>
                <c:pt idx="175">
                  <c:v>2.8030510891776262E-12</c:v>
                </c:pt>
                <c:pt idx="176">
                  <c:v>2.8030510891776262E-12</c:v>
                </c:pt>
                <c:pt idx="177">
                  <c:v>2.8030510891776262E-12</c:v>
                </c:pt>
                <c:pt idx="178">
                  <c:v>2.8030510891776262E-12</c:v>
                </c:pt>
                <c:pt idx="179">
                  <c:v>2.8030510891776262E-12</c:v>
                </c:pt>
                <c:pt idx="180">
                  <c:v>2.8030510891776262E-12</c:v>
                </c:pt>
                <c:pt idx="181">
                  <c:v>2.8030510891776262E-12</c:v>
                </c:pt>
                <c:pt idx="182">
                  <c:v>2.8030510891776262E-12</c:v>
                </c:pt>
                <c:pt idx="183">
                  <c:v>2.8030510891776262E-12</c:v>
                </c:pt>
                <c:pt idx="184">
                  <c:v>2.8030510891776262E-12</c:v>
                </c:pt>
                <c:pt idx="185">
                  <c:v>2.8030510891776262E-12</c:v>
                </c:pt>
                <c:pt idx="186">
                  <c:v>2.8030510891776262E-12</c:v>
                </c:pt>
                <c:pt idx="187">
                  <c:v>2.8030510891776262E-12</c:v>
                </c:pt>
                <c:pt idx="188">
                  <c:v>2.8030510891776262E-12</c:v>
                </c:pt>
                <c:pt idx="189">
                  <c:v>2.8030510891776262E-12</c:v>
                </c:pt>
                <c:pt idx="190">
                  <c:v>2.8030510891776262E-12</c:v>
                </c:pt>
                <c:pt idx="191">
                  <c:v>2.8030510891776262E-12</c:v>
                </c:pt>
                <c:pt idx="192">
                  <c:v>2.8030510891776262E-12</c:v>
                </c:pt>
                <c:pt idx="193">
                  <c:v>2.8030510891776262E-12</c:v>
                </c:pt>
                <c:pt idx="194">
                  <c:v>2.8030510891776262E-12</c:v>
                </c:pt>
                <c:pt idx="195">
                  <c:v>2.8030510891776262E-12</c:v>
                </c:pt>
                <c:pt idx="196">
                  <c:v>2.8030510891776262E-12</c:v>
                </c:pt>
                <c:pt idx="197">
                  <c:v>2.8030510891776262E-12</c:v>
                </c:pt>
                <c:pt idx="198">
                  <c:v>2.8030510891776262E-12</c:v>
                </c:pt>
                <c:pt idx="199">
                  <c:v>2.8030510891776262E-12</c:v>
                </c:pt>
                <c:pt idx="200">
                  <c:v>2.8030510891776262E-12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5" x14ac:dyDescent="0.35"/>
  <cols>
    <col min="1" max="1" width="6.81640625" customWidth="1"/>
    <col min="2" max="13" width="15.9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B30" zoomScale="80" zoomScaleNormal="80" workbookViewId="0">
      <selection activeCell="E42" sqref="E42"/>
    </sheetView>
  </sheetViews>
  <sheetFormatPr baseColWidth="10" defaultColWidth="11.453125" defaultRowHeight="14.5" x14ac:dyDescent="0.35"/>
  <cols>
    <col min="1" max="1" width="13.816406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1796875" style="23" customWidth="1"/>
    <col min="6" max="6" width="28.90625" style="23" bestFit="1" customWidth="1"/>
    <col min="7" max="8" width="14.816406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3.68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20</v>
      </c>
      <c r="C9" s="32">
        <v>0.71499999999999997</v>
      </c>
      <c r="D9" s="33">
        <f t="shared" ref="D9:D18" si="0">C9*$C$5</f>
        <v>2.6312000000000002</v>
      </c>
      <c r="E9" s="34">
        <v>50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92</v>
      </c>
      <c r="C10" s="32">
        <v>7.0000000000000007E-2</v>
      </c>
      <c r="D10" s="33">
        <f t="shared" si="0"/>
        <v>0.25760000000000005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154</v>
      </c>
      <c r="C11" s="32">
        <v>0.14000000000000001</v>
      </c>
      <c r="D11" s="33">
        <f t="shared" si="0"/>
        <v>0.5152000000000001</v>
      </c>
      <c r="E11" s="34">
        <v>53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156</v>
      </c>
      <c r="C12" s="32">
        <v>7.0000000000000007E-2</v>
      </c>
      <c r="D12" s="33">
        <f t="shared" si="0"/>
        <v>0.25760000000000005</v>
      </c>
      <c r="E12" s="34">
        <v>53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0.99499999999999988</v>
      </c>
      <c r="D19" s="38">
        <f>SUM(D9:D18)</f>
        <v>3.6616000000000004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Epicéa de Sitka</v>
      </c>
      <c r="C32" s="23" t="s">
        <v>325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20</v>
      </c>
      <c r="B36" s="60">
        <v>143</v>
      </c>
      <c r="C36" s="60">
        <v>1</v>
      </c>
      <c r="D36" s="60">
        <v>48</v>
      </c>
      <c r="E36" s="51">
        <v>0</v>
      </c>
      <c r="F36" s="51">
        <v>0.5</v>
      </c>
      <c r="G36" s="51">
        <v>0.5</v>
      </c>
      <c r="H36" s="51">
        <v>0</v>
      </c>
      <c r="I36" s="49">
        <f>IFERROR(B36/A36,"")</f>
        <v>7.15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227</v>
      </c>
      <c r="C37" s="60">
        <v>2</v>
      </c>
      <c r="D37" s="60">
        <v>58</v>
      </c>
      <c r="E37" s="51">
        <v>0</v>
      </c>
      <c r="F37" s="51">
        <v>0.5</v>
      </c>
      <c r="G37" s="51">
        <v>0.5</v>
      </c>
      <c r="H37" s="51">
        <v>0</v>
      </c>
      <c r="I37" s="53">
        <f t="shared" ref="I37:I55" si="1">IF(A37&lt;&gt;0,(B37-(B36-D36))/(A37-A36),"")</f>
        <v>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28</v>
      </c>
      <c r="B38" s="60">
        <v>327</v>
      </c>
      <c r="C38" s="60">
        <v>3</v>
      </c>
      <c r="D38" s="60">
        <v>66</v>
      </c>
      <c r="E38" s="51">
        <v>0.35</v>
      </c>
      <c r="F38" s="51">
        <v>0.15</v>
      </c>
      <c r="G38" s="51">
        <v>0.15</v>
      </c>
      <c r="H38" s="51">
        <v>0.35</v>
      </c>
      <c r="I38" s="53">
        <f t="shared" si="1"/>
        <v>39.5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429</v>
      </c>
      <c r="C39" s="60">
        <v>4</v>
      </c>
      <c r="D39" s="60">
        <v>72</v>
      </c>
      <c r="E39" s="51">
        <v>0.35</v>
      </c>
      <c r="F39" s="51">
        <v>0.15</v>
      </c>
      <c r="G39" s="51">
        <v>0.15</v>
      </c>
      <c r="H39" s="51">
        <v>0.35</v>
      </c>
      <c r="I39" s="49">
        <f t="shared" si="1"/>
        <v>42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36</v>
      </c>
      <c r="B40" s="60">
        <v>519</v>
      </c>
      <c r="C40" s="60">
        <v>5</v>
      </c>
      <c r="D40" s="60">
        <v>59</v>
      </c>
      <c r="E40" s="51">
        <v>0.35</v>
      </c>
      <c r="F40" s="51">
        <v>0.15</v>
      </c>
      <c r="G40" s="51">
        <v>0.15</v>
      </c>
      <c r="H40" s="51">
        <v>0.35</v>
      </c>
      <c r="I40" s="49">
        <f t="shared" si="1"/>
        <v>40.5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40</v>
      </c>
      <c r="B41" s="60">
        <v>607</v>
      </c>
      <c r="C41" s="60">
        <v>6</v>
      </c>
      <c r="D41" s="60">
        <v>55</v>
      </c>
      <c r="E41" s="51">
        <v>0.35</v>
      </c>
      <c r="F41" s="51">
        <v>0.15</v>
      </c>
      <c r="G41" s="51">
        <v>0.15</v>
      </c>
      <c r="H41" s="51">
        <v>0.35</v>
      </c>
      <c r="I41" s="53">
        <f t="shared" si="1"/>
        <v>36.75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45</v>
      </c>
      <c r="B42" s="60">
        <v>711</v>
      </c>
      <c r="C42" s="60">
        <v>7</v>
      </c>
      <c r="D42" s="60">
        <v>62</v>
      </c>
      <c r="E42" s="51">
        <v>0.35</v>
      </c>
      <c r="F42" s="51">
        <v>0.15</v>
      </c>
      <c r="G42" s="51">
        <v>0.15</v>
      </c>
      <c r="H42" s="51">
        <v>0.35</v>
      </c>
      <c r="I42" s="53">
        <f t="shared" si="1"/>
        <v>31.8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50</v>
      </c>
      <c r="B43" s="60">
        <v>781</v>
      </c>
      <c r="C43" s="60" t="s">
        <v>324</v>
      </c>
      <c r="D43" s="60">
        <v>781</v>
      </c>
      <c r="E43" s="51">
        <v>0.35</v>
      </c>
      <c r="F43" s="51">
        <v>0.15</v>
      </c>
      <c r="G43" s="51">
        <v>0.15</v>
      </c>
      <c r="H43" s="51">
        <v>0.35</v>
      </c>
      <c r="I43" s="49">
        <f t="shared" si="1"/>
        <v>26.4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C57" s="23" t="s">
        <v>327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Thuya géant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20</v>
      </c>
      <c r="B62" s="60">
        <v>198</v>
      </c>
      <c r="C62" s="60">
        <v>1</v>
      </c>
      <c r="D62" s="60">
        <v>49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9.9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25</v>
      </c>
      <c r="B63" s="60">
        <v>298</v>
      </c>
      <c r="C63" s="60">
        <v>2</v>
      </c>
      <c r="D63" s="60">
        <v>77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29.8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380</v>
      </c>
      <c r="C64" s="60">
        <v>3</v>
      </c>
      <c r="D64" s="60">
        <v>77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31.8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35</v>
      </c>
      <c r="B65" s="60">
        <v>460</v>
      </c>
      <c r="C65" s="60">
        <v>4</v>
      </c>
      <c r="D65" s="60">
        <v>77</v>
      </c>
      <c r="E65" s="51">
        <v>0.25</v>
      </c>
      <c r="F65" s="51">
        <v>0.37</v>
      </c>
      <c r="G65" s="51">
        <v>0.38</v>
      </c>
      <c r="H65" s="51">
        <v>0</v>
      </c>
      <c r="I65" s="49">
        <f>IF(A65&lt;&gt;0,(B65-(B64-D64))/(A65-A64),"")</f>
        <v>31.4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40</v>
      </c>
      <c r="B66" s="60">
        <v>533</v>
      </c>
      <c r="C66" s="60">
        <v>5</v>
      </c>
      <c r="D66" s="60">
        <v>77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30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45</v>
      </c>
      <c r="B67" s="60">
        <v>596</v>
      </c>
      <c r="C67" s="60">
        <v>6</v>
      </c>
      <c r="D67" s="60">
        <v>77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28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50</v>
      </c>
      <c r="B68" s="60">
        <v>651</v>
      </c>
      <c r="C68" s="60">
        <v>7</v>
      </c>
      <c r="D68" s="60">
        <v>76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26.4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55</v>
      </c>
      <c r="B69" s="50">
        <v>697</v>
      </c>
      <c r="C69" s="50">
        <v>8</v>
      </c>
      <c r="D69" s="50">
        <v>66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24.4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60</v>
      </c>
      <c r="B70" s="50">
        <v>744</v>
      </c>
      <c r="C70" s="50">
        <v>9</v>
      </c>
      <c r="D70" s="50">
        <v>60</v>
      </c>
      <c r="E70" s="51">
        <v>0.6</v>
      </c>
      <c r="F70" s="51">
        <v>0.2</v>
      </c>
      <c r="G70" s="51">
        <v>0.2</v>
      </c>
      <c r="H70" s="51">
        <v>0</v>
      </c>
      <c r="I70" s="49">
        <f t="shared" si="2"/>
        <v>22.6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65</v>
      </c>
      <c r="B71" s="50">
        <v>790</v>
      </c>
      <c r="C71" s="50">
        <v>10</v>
      </c>
      <c r="D71" s="50">
        <v>56</v>
      </c>
      <c r="E71" s="51">
        <v>0.6</v>
      </c>
      <c r="F71" s="51">
        <v>0.2</v>
      </c>
      <c r="G71" s="51">
        <v>0.2</v>
      </c>
      <c r="H71" s="51">
        <v>0</v>
      </c>
      <c r="I71" s="49">
        <f t="shared" si="2"/>
        <v>21.2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70</v>
      </c>
      <c r="B72" s="50">
        <v>831</v>
      </c>
      <c r="C72" s="50">
        <v>11</v>
      </c>
      <c r="D72" s="50">
        <v>53</v>
      </c>
      <c r="E72" s="51">
        <v>0.6</v>
      </c>
      <c r="F72" s="51">
        <v>0.2</v>
      </c>
      <c r="G72" s="51">
        <v>0.2</v>
      </c>
      <c r="H72" s="51">
        <v>0</v>
      </c>
      <c r="I72" s="49">
        <f t="shared" si="2"/>
        <v>19.399999999999999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75</v>
      </c>
      <c r="B73" s="50">
        <v>868</v>
      </c>
      <c r="C73" s="50">
        <v>12</v>
      </c>
      <c r="D73" s="50">
        <v>50</v>
      </c>
      <c r="E73" s="51">
        <v>0.6</v>
      </c>
      <c r="F73" s="51">
        <v>0.2</v>
      </c>
      <c r="G73" s="51">
        <v>0.2</v>
      </c>
      <c r="H73" s="51">
        <v>0</v>
      </c>
      <c r="I73" s="49">
        <f t="shared" si="2"/>
        <v>18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80</v>
      </c>
      <c r="B74" s="50">
        <v>901</v>
      </c>
      <c r="C74" s="50" t="s">
        <v>324</v>
      </c>
      <c r="D74" s="50">
        <v>901</v>
      </c>
      <c r="E74" s="51">
        <v>0.6</v>
      </c>
      <c r="F74" s="51">
        <v>0.2</v>
      </c>
      <c r="G74" s="51">
        <v>0.2</v>
      </c>
      <c r="H74" s="51">
        <v>0</v>
      </c>
      <c r="I74" s="49">
        <f t="shared" si="2"/>
        <v>16.600000000000001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Cryptomère du Japon</v>
      </c>
      <c r="C84" s="23" t="s">
        <v>326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23</v>
      </c>
      <c r="B88" s="60">
        <v>165</v>
      </c>
      <c r="C88" s="60">
        <v>1</v>
      </c>
      <c r="D88" s="60">
        <v>55</v>
      </c>
      <c r="E88" s="51">
        <v>0</v>
      </c>
      <c r="F88" s="51">
        <v>0.5</v>
      </c>
      <c r="G88" s="51">
        <v>0.5</v>
      </c>
      <c r="H88" s="87">
        <v>0</v>
      </c>
      <c r="I88" s="53">
        <f>IFERROR(B88/A88,"")</f>
        <v>7.1739130434782608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27</v>
      </c>
      <c r="B89" s="60">
        <v>235</v>
      </c>
      <c r="C89" s="60">
        <v>2</v>
      </c>
      <c r="D89" s="60">
        <v>64</v>
      </c>
      <c r="E89" s="51">
        <v>0</v>
      </c>
      <c r="F89" s="51">
        <v>0.5</v>
      </c>
      <c r="G89" s="51">
        <v>0.5</v>
      </c>
      <c r="H89" s="87">
        <v>0</v>
      </c>
      <c r="I89" s="53">
        <f t="shared" ref="I89:I107" si="3">IF(A89&lt;&gt;0,(B89-(B88-D88))/(A89-A88),"")</f>
        <v>31.25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31</v>
      </c>
      <c r="B90" s="60">
        <v>315</v>
      </c>
      <c r="C90" s="60">
        <v>3</v>
      </c>
      <c r="D90" s="60">
        <v>57</v>
      </c>
      <c r="E90" s="87">
        <v>0.35</v>
      </c>
      <c r="F90" s="87">
        <v>0.15</v>
      </c>
      <c r="G90" s="87">
        <v>0.15</v>
      </c>
      <c r="H90" s="87">
        <v>0.35</v>
      </c>
      <c r="I90" s="53">
        <f t="shared" si="3"/>
        <v>36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35</v>
      </c>
      <c r="B91" s="60">
        <v>408</v>
      </c>
      <c r="C91" s="60">
        <v>4</v>
      </c>
      <c r="D91" s="60">
        <v>64</v>
      </c>
      <c r="E91" s="87">
        <v>0.35</v>
      </c>
      <c r="F91" s="87">
        <v>0.15</v>
      </c>
      <c r="G91" s="87">
        <v>0.15</v>
      </c>
      <c r="H91" s="87">
        <v>0.35</v>
      </c>
      <c r="I91" s="53">
        <f t="shared" si="3"/>
        <v>37.5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39</v>
      </c>
      <c r="B92" s="60">
        <v>487</v>
      </c>
      <c r="C92" s="60">
        <v>5</v>
      </c>
      <c r="D92" s="60">
        <v>50</v>
      </c>
      <c r="E92" s="87">
        <v>0.35</v>
      </c>
      <c r="F92" s="87">
        <v>0.15</v>
      </c>
      <c r="G92" s="87">
        <v>0.15</v>
      </c>
      <c r="H92" s="87">
        <v>0.35</v>
      </c>
      <c r="I92" s="53">
        <f t="shared" si="3"/>
        <v>35.75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44</v>
      </c>
      <c r="B93" s="60">
        <v>596</v>
      </c>
      <c r="C93" s="60">
        <v>6</v>
      </c>
      <c r="D93" s="60">
        <v>57</v>
      </c>
      <c r="E93" s="87">
        <v>0.35</v>
      </c>
      <c r="F93" s="87">
        <v>0.15</v>
      </c>
      <c r="G93" s="87">
        <v>0.15</v>
      </c>
      <c r="H93" s="87">
        <v>0.35</v>
      </c>
      <c r="I93" s="53">
        <f t="shared" si="3"/>
        <v>31.8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50</v>
      </c>
      <c r="B94" s="60">
        <v>697</v>
      </c>
      <c r="C94" s="60">
        <v>7</v>
      </c>
      <c r="D94" s="60">
        <v>67</v>
      </c>
      <c r="E94" s="87">
        <v>0.35</v>
      </c>
      <c r="F94" s="87">
        <v>0.15</v>
      </c>
      <c r="G94" s="87">
        <v>0.15</v>
      </c>
      <c r="H94" s="87">
        <v>0.35</v>
      </c>
      <c r="I94" s="53">
        <f t="shared" si="3"/>
        <v>26.333333333333332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53</v>
      </c>
      <c r="B95" s="60">
        <v>697</v>
      </c>
      <c r="C95" s="60" t="s">
        <v>324</v>
      </c>
      <c r="D95" s="60">
        <v>697</v>
      </c>
      <c r="E95" s="87">
        <v>0.35</v>
      </c>
      <c r="F95" s="87">
        <v>0.15</v>
      </c>
      <c r="G95" s="87">
        <v>0.15</v>
      </c>
      <c r="H95" s="87">
        <v>0.35</v>
      </c>
      <c r="I95" s="53">
        <f t="shared" si="3"/>
        <v>22.333333333333332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Séquoia toujours vert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23</v>
      </c>
      <c r="B114" s="60">
        <v>165</v>
      </c>
      <c r="C114" s="50">
        <v>1</v>
      </c>
      <c r="D114" s="60">
        <v>55</v>
      </c>
      <c r="E114" s="51">
        <v>0</v>
      </c>
      <c r="F114" s="51">
        <v>0.5</v>
      </c>
      <c r="G114" s="51">
        <v>0.5</v>
      </c>
      <c r="H114" s="51">
        <v>0</v>
      </c>
      <c r="I114" s="53">
        <f>IFERROR(B114/A114,"")</f>
        <v>7.1739130434782608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27</v>
      </c>
      <c r="B115" s="60">
        <v>235</v>
      </c>
      <c r="C115" s="50">
        <v>2</v>
      </c>
      <c r="D115" s="60">
        <v>64</v>
      </c>
      <c r="E115" s="51">
        <v>0</v>
      </c>
      <c r="F115" s="51">
        <v>0.5</v>
      </c>
      <c r="G115" s="51">
        <v>0.5</v>
      </c>
      <c r="H115" s="51">
        <v>0</v>
      </c>
      <c r="I115" s="53">
        <f t="shared" ref="I115:I133" si="4">IF(A115&lt;&gt;0,(B115-(B114-D114))/(A115-A114),"")</f>
        <v>31.25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31</v>
      </c>
      <c r="B116" s="60">
        <v>315</v>
      </c>
      <c r="C116" s="50">
        <v>3</v>
      </c>
      <c r="D116" s="60">
        <v>57</v>
      </c>
      <c r="E116" s="51">
        <v>0.35</v>
      </c>
      <c r="F116" s="51">
        <v>0.15</v>
      </c>
      <c r="G116" s="51">
        <v>0.15</v>
      </c>
      <c r="H116" s="51">
        <v>0.35</v>
      </c>
      <c r="I116" s="53">
        <f t="shared" si="4"/>
        <v>36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35</v>
      </c>
      <c r="B117" s="60">
        <v>408</v>
      </c>
      <c r="C117" s="50">
        <v>4</v>
      </c>
      <c r="D117" s="60">
        <v>64</v>
      </c>
      <c r="E117" s="51">
        <v>0.35</v>
      </c>
      <c r="F117" s="51">
        <v>0.15</v>
      </c>
      <c r="G117" s="51">
        <v>0.15</v>
      </c>
      <c r="H117" s="51">
        <v>0.35</v>
      </c>
      <c r="I117" s="53">
        <f t="shared" si="4"/>
        <v>37.5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39</v>
      </c>
      <c r="B118" s="60">
        <v>487</v>
      </c>
      <c r="C118" s="50">
        <v>5</v>
      </c>
      <c r="D118" s="60">
        <v>50</v>
      </c>
      <c r="E118" s="51">
        <v>0.35</v>
      </c>
      <c r="F118" s="51">
        <v>0.15</v>
      </c>
      <c r="G118" s="51">
        <v>0.15</v>
      </c>
      <c r="H118" s="51">
        <v>0.35</v>
      </c>
      <c r="I118" s="53">
        <f t="shared" si="4"/>
        <v>35.75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44</v>
      </c>
      <c r="B119" s="60">
        <v>596</v>
      </c>
      <c r="C119" s="50">
        <v>6</v>
      </c>
      <c r="D119" s="60">
        <v>57</v>
      </c>
      <c r="E119" s="51">
        <v>0.35</v>
      </c>
      <c r="F119" s="51">
        <v>0.15</v>
      </c>
      <c r="G119" s="51">
        <v>0.15</v>
      </c>
      <c r="H119" s="51">
        <v>0.35</v>
      </c>
      <c r="I119" s="53">
        <f t="shared" si="4"/>
        <v>31.8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50</v>
      </c>
      <c r="B120" s="60">
        <v>697</v>
      </c>
      <c r="C120" s="60">
        <v>7</v>
      </c>
      <c r="D120" s="60">
        <v>67</v>
      </c>
      <c r="E120" s="87">
        <v>0.35</v>
      </c>
      <c r="F120" s="87">
        <v>0.15</v>
      </c>
      <c r="G120" s="87">
        <v>0.15</v>
      </c>
      <c r="H120" s="87">
        <v>0.35</v>
      </c>
      <c r="I120" s="53">
        <f t="shared" si="4"/>
        <v>26.333333333333332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53</v>
      </c>
      <c r="B121" s="60">
        <v>697</v>
      </c>
      <c r="C121" s="60" t="s">
        <v>324</v>
      </c>
      <c r="D121" s="60">
        <v>697</v>
      </c>
      <c r="E121" s="87">
        <v>0.35</v>
      </c>
      <c r="F121" s="87">
        <v>0.15</v>
      </c>
      <c r="G121" s="87">
        <v>0.15</v>
      </c>
      <c r="H121" s="87">
        <v>0.35</v>
      </c>
      <c r="I121" s="53">
        <f t="shared" si="4"/>
        <v>22.333333333333332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F9" sqref="F9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1796875" style="1" customWidth="1"/>
    <col min="6" max="6" width="14.1796875" style="1" customWidth="1"/>
    <col min="7" max="7" width="73.179687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81640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81640625" style="4" bestFit="1" customWidth="1"/>
    <col min="25" max="25" width="14.54296875" style="4" bestFit="1" customWidth="1"/>
    <col min="26" max="26" width="12.453125" style="4" bestFit="1" customWidth="1"/>
    <col min="27" max="27" width="9.81640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1796875" style="4" bestFit="1" customWidth="1"/>
    <col min="45" max="45" width="11.81640625" style="4" bestFit="1" customWidth="1"/>
    <col min="46" max="46" width="8.453125" style="4" bestFit="1" customWidth="1"/>
    <col min="47" max="47" width="9.453125" style="4" bestFit="1" customWidth="1"/>
    <col min="48" max="48" width="9.81640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179687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1796875" style="4" bestFit="1" customWidth="1"/>
    <col min="66" max="66" width="11.81640625" style="4" bestFit="1" customWidth="1"/>
    <col min="67" max="67" width="8.453125" style="4" bestFit="1" customWidth="1"/>
    <col min="68" max="68" width="9.453125" style="4" bestFit="1" customWidth="1"/>
    <col min="69" max="69" width="9.81640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1796875" style="4" bestFit="1" customWidth="1"/>
    <col min="87" max="87" width="11.81640625" style="4" bestFit="1" customWidth="1"/>
    <col min="88" max="88" width="8.453125" style="4" bestFit="1" customWidth="1"/>
    <col min="89" max="89" width="9.453125" style="4" bestFit="1" customWidth="1"/>
    <col min="90" max="90" width="9.81640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1796875" style="4" bestFit="1" customWidth="1"/>
    <col min="108" max="108" width="11.81640625" style="4" bestFit="1" customWidth="1"/>
    <col min="109" max="109" width="8.453125" style="4" bestFit="1" customWidth="1"/>
    <col min="110" max="110" width="9.453125" style="4" bestFit="1" customWidth="1"/>
    <col min="111" max="111" width="9.81640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179687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1796875" style="4" bestFit="1" customWidth="1"/>
    <col min="129" max="129" width="11.81640625" style="4" bestFit="1" customWidth="1"/>
    <col min="130" max="130" width="8.453125" style="4" bestFit="1" customWidth="1"/>
    <col min="131" max="131" width="9.453125" style="4" bestFit="1" customWidth="1"/>
    <col min="132" max="132" width="9.81640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1796875" style="4" bestFit="1" customWidth="1"/>
    <col min="150" max="150" width="11.81640625" style="4" bestFit="1" customWidth="1"/>
    <col min="151" max="151" width="8.453125" style="4" bestFit="1" customWidth="1"/>
    <col min="152" max="152" width="9.453125" style="4" bestFit="1" customWidth="1"/>
    <col min="153" max="153" width="9.81640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1796875" style="4" bestFit="1" customWidth="1"/>
    <col min="171" max="171" width="11.81640625" style="4" bestFit="1" customWidth="1"/>
    <col min="172" max="172" width="8.08984375" style="4" bestFit="1" customWidth="1"/>
    <col min="173" max="173" width="9.453125" style="4" bestFit="1" customWidth="1"/>
    <col min="174" max="174" width="9.81640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179687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81640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179687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1796875" style="4" bestFit="1" customWidth="1"/>
    <col min="213" max="213" width="11.81640625" style="4" bestFit="1" customWidth="1"/>
    <col min="214" max="214" width="8.453125" style="4" bestFit="1" customWidth="1"/>
    <col min="215" max="215" width="9.453125" style="4" bestFit="1" customWidth="1"/>
    <col min="216" max="216" width="9.81640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Epicéa de Sitka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Thuya géant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Cryptomère du Japon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Séquoia toujours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263.37813242097957</v>
      </c>
      <c r="T3" s="59">
        <f>IF('Données projet'!E9&gt;30,$R$33-$H$33,LOOKUP('Données projet'!$E$9,$A$3:$A$203,R3:R203)-LOOKUP('Données projet'!$E$9,$A$3:$A$203,$H$3:$H$203))</f>
        <v>314.89350816766904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344.29957955721721</v>
      </c>
      <c r="AO3" s="59">
        <f>IF('Données projet'!E10&gt;30,$AM$33-$H$33,LOOKUP('Données projet'!$E$10,$A$3:$A$203,AM3:AM203)-LOOKUP('Données projet'!$E$10,$A$3:$A$203,$H$3:$H$203))</f>
        <v>297.12790038882594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234.83702199169585</v>
      </c>
      <c r="BJ3" s="59">
        <f>IF('Données projet'!E11&gt;30,$BH$33-$H$33,LOOKUP('Données projet'!$E$11,$A$3:$A$203,BH3:BH203)-LOOKUP('Données projet'!$E$11,$A$3:$A$203,$H$3:$H$203))</f>
        <v>248.83008816685089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220.26537310502334</v>
      </c>
      <c r="CE3" s="59">
        <f>IF('Données projet'!E12&gt;30,$CC$33-$H$33,LOOKUP('Données projet'!$E$12,$A$3:$A$203,CC3:CC203)-LOOKUP('Données projet'!$E$12,$A$3:$A$203,$H$3:$H$203))</f>
        <v>233.26853625122016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7.15</v>
      </c>
      <c r="N4" s="13">
        <f>IF('Données projet'!$A$36&gt;35,N3+M4-V3,IF(A4&lt;'Données projet'!$A$36,$K$205^A4,IF(A4='Données projet'!$A$36,'Données projet'!$B$36,N3+M4-V3)))</f>
        <v>1.2816422091414759</v>
      </c>
      <c r="O4" s="13">
        <f>N4*VLOOKUP('Données projet'!$B$9,Paramètres!$A$1:$I$89,3,0)*VLOOKUP('Données projet'!$B$9,Paramètres!$A$1:$I$89,5,0)</f>
        <v>0.59980855387821075</v>
      </c>
      <c r="P4" s="13">
        <f>EXP(-1.0587+0.8836*LN(O4)+0.284)</f>
        <v>0.29336212767391762</v>
      </c>
      <c r="Q4" s="20">
        <f t="shared" ref="Q4:Q34" si="2">(O4+P4)*0.475*44/12</f>
        <v>1.5556056037032899</v>
      </c>
      <c r="R4" s="59">
        <f t="shared" si="0"/>
        <v>294.88893893703658</v>
      </c>
      <c r="S4" s="59">
        <f ca="1">AVERAGE(OFFSET($R$3,0,0,'Données projet'!$E$9+1,1))-AVERAGE(OFFSET($H$3,0,0,'Données projet'!$E$9+1,1))</f>
        <v>263.37813242097957</v>
      </c>
      <c r="T4" s="59">
        <f>$T$3</f>
        <v>314.89350816766904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9.9</v>
      </c>
      <c r="AI4" s="13">
        <f>IF('Données projet'!$A$62&gt;35,AI3+AH4-AQ3,IF(A4&lt;'Données projet'!$A$62,$AF$205^A4,IF(A4='Données projet'!$A$62,'Données projet'!$B$62,AI3+AH4-AQ3)))</f>
        <v>1.3026665442450553</v>
      </c>
      <c r="AJ4" s="13">
        <f>AI4*VLOOKUP('Données projet'!$B$10,Paramètres!$A$1:$I$89,3,0)*VLOOKUP('Données projet'!$B$10,Paramètres!$A$1:$I$89,5,0)</f>
        <v>0.52497461733075734</v>
      </c>
      <c r="AK4" s="13">
        <f>EXP(-1.0587+0.8836*LN(AJ4)+0.284)</f>
        <v>0.2607751907475056</v>
      </c>
      <c r="AL4" s="20">
        <f t="shared" ref="AL4:AL67" si="4">(AJ4+AK4)*0.475*44/12</f>
        <v>1.3685142490696414</v>
      </c>
      <c r="AM4" s="59">
        <f t="shared" ref="AM4:AM67" si="5">AL4+(AD4+AE4)*44/12</f>
        <v>294.70184758240293</v>
      </c>
      <c r="AN4" s="59">
        <f ca="1">AVERAGE(OFFSET($AM$3,0,0,'Données projet'!$E$10+1,1))-AVERAGE(OFFSET($H$3,0,0,'Données projet'!$E$10+1,1))</f>
        <v>344.29957955721721</v>
      </c>
      <c r="AO4" s="59">
        <f>$AO$3</f>
        <v>297.12790038882594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7.1739130434782608</v>
      </c>
      <c r="BD4" s="12">
        <f>IF('Données projet'!$A$88&gt;35,BD3+BC4-BL3,IF(A4&lt;'Données projet'!$A$88,$BA$205^A4,IF(A4='Données projet'!$A$88,'Données projet'!$B$88,BD3+BC4-BL3)))</f>
        <v>1.2485684178796581</v>
      </c>
      <c r="BE4" s="13">
        <f>BD4*VLOOKUP('Données projet'!$B$11,Paramètres!$A$1:$I$89,3,0)*VLOOKUP('Données projet'!$B$11,Paramètres!$A$1:$I$89,5,0)</f>
        <v>0.58433001956768005</v>
      </c>
      <c r="BF4" s="13">
        <f>EXP(-1.0587+0.8836*LN(BE4)+0.284)</f>
        <v>0.28666274091291899</v>
      </c>
      <c r="BG4" s="20">
        <f t="shared" ref="BG4:BG67" si="7">(BE4+BF4)*0.475*44/12</f>
        <v>1.5169790578370435</v>
      </c>
      <c r="BH4" s="59">
        <f t="shared" ref="BH4:BH67" si="8">BG4+(AY4+AZ4)*44/12</f>
        <v>294.85031239117035</v>
      </c>
      <c r="BI4" s="59">
        <f ca="1">AVERAGE(OFFSET($BH$3,0,0,'Données projet'!$E$11+1,1))-AVERAGE(OFFSET($H$3,0,0,'Données projet'!$E$11+1,1))</f>
        <v>234.83702199169585</v>
      </c>
      <c r="BJ4" s="59">
        <f>$BJ$3</f>
        <v>248.83008816685089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7.1739130434782608</v>
      </c>
      <c r="BY4" s="12">
        <f>IF('Données projet'!$A$114&gt;35,BY3+BX4-CG3,IF(A4&lt;'Données projet'!$A$114,$BV$205^A4,IF(A4='Données projet'!$A$114,'Données projet'!$B$114,BY3+BX4-CG3)))</f>
        <v>1.2485684178796581</v>
      </c>
      <c r="BZ4" s="13">
        <f>BY4*VLOOKUP('Données projet'!$B$12,Paramètres!$A$1:$I$89,3,0)*VLOOKUP('Données projet'!$B$12,Paramètres!$A$1:$I$89,5,0)</f>
        <v>0.5518672407028089</v>
      </c>
      <c r="CA4" s="13">
        <f>EXP(-1.0587+0.8836*LN(BZ4)+0.284)</f>
        <v>0.27254431685117353</v>
      </c>
      <c r="CB4" s="20">
        <f t="shared" ref="CB4:CB67" si="10">(BZ4+CA4)*0.475*44/12</f>
        <v>1.4358501294065193</v>
      </c>
      <c r="CC4" s="59">
        <f t="shared" ref="CC4:CC67" si="11">CB4+(BT4+BU4)*44/12</f>
        <v>294.76918346273982</v>
      </c>
      <c r="CD4" s="59">
        <f ca="1">AVERAGE(OFFSET($CC$3,0,0,'Données projet'!$E$12+1,1))-AVERAGE(OFFSET($H$3,0,0,'Données projet'!$E$12+1,1))</f>
        <v>220.26537310502334</v>
      </c>
      <c r="CE4" s="59">
        <f>$CE$3</f>
        <v>233.26853625122016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7.15</v>
      </c>
      <c r="N5" s="13">
        <f>IF('Données projet'!$A$36&gt;35,N4+M5-V4,IF(A5&lt;'Données projet'!$A$36,$K$205^A5,IF(A5='Données projet'!$A$36,'Données projet'!$B$36,N4+M5-V4)))</f>
        <v>1.6426067522530425</v>
      </c>
      <c r="O5" s="13">
        <f>N5*VLOOKUP('Données projet'!$B$9,Paramètres!$A$1:$I$89,3,0)*VLOOKUP('Données projet'!$B$9,Paramètres!$A$1:$I$89,5,0)</f>
        <v>0.76873996005442391</v>
      </c>
      <c r="P5" s="13">
        <f t="shared" ref="P5:P68" si="33">EXP(-1.0587+0.8836*LN(O5)+0.284)</f>
        <v>0.36528075594578191</v>
      </c>
      <c r="Q5" s="20">
        <f t="shared" si="2"/>
        <v>1.9750860803670249</v>
      </c>
      <c r="R5" s="59">
        <f t="shared" si="0"/>
        <v>295.30841941370034</v>
      </c>
      <c r="S5" s="59">
        <f ca="1">AVERAGE(OFFSET($R$3,0,0,'Données projet'!$E$9+1,1))-AVERAGE(OFFSET($H$3,0,0,'Données projet'!$E$9+1,1))</f>
        <v>263.37813242097957</v>
      </c>
      <c r="T5" s="59">
        <f t="shared" ref="T5:T68" si="34">$T$3</f>
        <v>314.89350816766904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9.9</v>
      </c>
      <c r="AI5" s="13">
        <f>IF('Données projet'!$A$62&gt;35,AI4+AH5-AQ4,IF(A5&lt;'Données projet'!$A$62,$AF$205^A5,IF(A5='Données projet'!$A$62,'Données projet'!$B$62,AI4+AH5-AQ4)))</f>
        <v>1.6969401254953547</v>
      </c>
      <c r="AJ5" s="13">
        <f>AI5*VLOOKUP('Données projet'!$B$10,Paramètres!$A$1:$I$89,3,0)*VLOOKUP('Données projet'!$B$10,Paramètres!$A$1:$I$89,5,0)</f>
        <v>0.68386687057462803</v>
      </c>
      <c r="AK5" s="13">
        <f t="shared" ref="AK5:AK68" si="35">EXP(-1.0587+0.8836*LN(AJ5)+0.284)</f>
        <v>0.32940708800605845</v>
      </c>
      <c r="AL5" s="20">
        <f t="shared" si="4"/>
        <v>1.7647854778613621</v>
      </c>
      <c r="AM5" s="59">
        <f t="shared" si="5"/>
        <v>295.09811881119469</v>
      </c>
      <c r="AN5" s="59">
        <f ca="1">AVERAGE(OFFSET($AM$3,0,0,'Données projet'!$E$10+1,1))-AVERAGE(OFFSET($H$3,0,0,'Données projet'!$E$10+1,1))</f>
        <v>344.29957955721721</v>
      </c>
      <c r="AO5" s="59">
        <f t="shared" ref="AO5:AO68" si="36">$AO$3</f>
        <v>297.12790038882594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7.1739130434782608</v>
      </c>
      <c r="BD5" s="12">
        <f>IF('Données projet'!$A$88&gt;35,BD4+BC5-BL4,IF(A5&lt;'Données projet'!$A$88,$BA$205^A5,IF(A5='Données projet'!$A$88,'Données projet'!$B$88,BD4+BC5-BL4)))</f>
        <v>1.5589230941265126</v>
      </c>
      <c r="BE5" s="13">
        <f>BD5*VLOOKUP('Données projet'!$B$11,Paramètres!$A$1:$I$89,3,0)*VLOOKUP('Données projet'!$B$11,Paramètres!$A$1:$I$89,5,0)</f>
        <v>0.72957600805120781</v>
      </c>
      <c r="BF5" s="13">
        <f t="shared" ref="BF5:BF68" si="37">EXP(-1.0587+0.8836*LN(BE5)+0.284)</f>
        <v>0.34878772915648432</v>
      </c>
      <c r="BG5" s="20">
        <f t="shared" si="7"/>
        <v>1.8781501756367305</v>
      </c>
      <c r="BH5" s="59">
        <f t="shared" si="8"/>
        <v>295.21148350897005</v>
      </c>
      <c r="BI5" s="59">
        <f ca="1">AVERAGE(OFFSET($BH$3,0,0,'Données projet'!$E$11+1,1))-AVERAGE(OFFSET($H$3,0,0,'Données projet'!$E$11+1,1))</f>
        <v>234.83702199169585</v>
      </c>
      <c r="BJ5" s="59">
        <f t="shared" ref="BJ5:BJ68" si="38">$BJ$3</f>
        <v>248.83008816685089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7.1739130434782608</v>
      </c>
      <c r="BY5" s="12">
        <f>IF('Données projet'!$A$114&gt;35,BY4+BX5-CG4,IF(A5&lt;'Données projet'!$A$114,$BV$205^A5,IF(A5='Données projet'!$A$114,'Données projet'!$B$114,BY4+BX5-CG4)))</f>
        <v>1.5589230941265126</v>
      </c>
      <c r="BZ5" s="13">
        <f>BY5*VLOOKUP('Données projet'!$B$12,Paramètres!$A$1:$I$89,3,0)*VLOOKUP('Données projet'!$B$12,Paramètres!$A$1:$I$89,5,0)</f>
        <v>0.68904400760391871</v>
      </c>
      <c r="CA5" s="13">
        <f t="shared" ref="CA5:CA68" si="39">EXP(-1.0587+0.8836*LN(BZ5)+0.284)</f>
        <v>0.33160958786026218</v>
      </c>
      <c r="CB5" s="20">
        <f t="shared" si="10"/>
        <v>1.7776383454334483</v>
      </c>
      <c r="CC5" s="59">
        <f t="shared" si="11"/>
        <v>295.11097167876676</v>
      </c>
      <c r="CD5" s="59">
        <f ca="1">AVERAGE(OFFSET($CC$3,0,0,'Données projet'!$E$12+1,1))-AVERAGE(OFFSET($H$3,0,0,'Données projet'!$E$12+1,1))</f>
        <v>220.26537310502334</v>
      </c>
      <c r="CE5" s="59">
        <f t="shared" ref="CE5:CE68" si="40">$CE$3</f>
        <v>233.26853625122016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7.15</v>
      </c>
      <c r="N6" s="13">
        <f>IF('Données projet'!$A$36&gt;35,N5+M6-V5,IF(A6&lt;'Données projet'!$A$36,$K$205^A6,IF(A6='Données projet'!$A$36,'Données projet'!$B$36,N5+M6-V5)))</f>
        <v>2.1052341467082942</v>
      </c>
      <c r="O6" s="13">
        <f>N6*VLOOKUP('Données projet'!$B$9,Paramètres!$A$1:$I$89,3,0)*VLOOKUP('Données projet'!$B$9,Paramètres!$A$1:$I$89,5,0)</f>
        <v>0.98524958065948176</v>
      </c>
      <c r="P6" s="13">
        <f t="shared" si="33"/>
        <v>0.45483045723146009</v>
      </c>
      <c r="Q6" s="20">
        <f t="shared" si="2"/>
        <v>2.508139399326724</v>
      </c>
      <c r="R6" s="59">
        <f t="shared" si="0"/>
        <v>295.84147273266007</v>
      </c>
      <c r="S6" s="59">
        <f ca="1">AVERAGE(OFFSET($R$3,0,0,'Données projet'!$E$9+1,1))-AVERAGE(OFFSET($H$3,0,0,'Données projet'!$E$9+1,1))</f>
        <v>263.37813242097957</v>
      </c>
      <c r="T6" s="59">
        <f t="shared" si="34"/>
        <v>314.89350816766904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9.9</v>
      </c>
      <c r="AI6" s="13">
        <f>IF('Données projet'!$A$62&gt;35,AI5+AH6-AQ5,IF(A6&lt;'Données projet'!$A$62,$AF$205^A6,IF(A6='Données projet'!$A$62,'Données projet'!$B$62,AI5+AH6-AQ5)))</f>
        <v>2.2105471290698042</v>
      </c>
      <c r="AJ6" s="13">
        <f>AI6*VLOOKUP('Données projet'!$B$10,Paramètres!$A$1:$I$89,3,0)*VLOOKUP('Données projet'!$B$10,Paramètres!$A$1:$I$89,5,0)</f>
        <v>0.8908504930151312</v>
      </c>
      <c r="AK6" s="13">
        <f t="shared" si="35"/>
        <v>0.41610181289712689</v>
      </c>
      <c r="AL6" s="20">
        <f t="shared" si="4"/>
        <v>2.2762752661305163</v>
      </c>
      <c r="AM6" s="59">
        <f t="shared" si="5"/>
        <v>295.60960859946385</v>
      </c>
      <c r="AN6" s="59">
        <f ca="1">AVERAGE(OFFSET($AM$3,0,0,'Données projet'!$E$10+1,1))-AVERAGE(OFFSET($H$3,0,0,'Données projet'!$E$10+1,1))</f>
        <v>344.29957955721721</v>
      </c>
      <c r="AO6" s="59">
        <f t="shared" si="36"/>
        <v>297.12790038882594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7.1739130434782608</v>
      </c>
      <c r="BD6" s="12">
        <f>IF('Données projet'!$A$88&gt;35,BD5+BC6-BL5,IF(A6&lt;'Données projet'!$A$88,$BA$205^A6,IF(A6='Données projet'!$A$88,'Données projet'!$B$88,BD5+BC6-BL5)))</f>
        <v>1.9464221412296012</v>
      </c>
      <c r="BE6" s="13">
        <f>BD6*VLOOKUP('Données projet'!$B$11,Paramètres!$A$1:$I$89,3,0)*VLOOKUP('Données projet'!$B$11,Paramètres!$A$1:$I$89,5,0)</f>
        <v>0.91092556209545339</v>
      </c>
      <c r="BF6" s="13">
        <f t="shared" si="37"/>
        <v>0.42437632328050684</v>
      </c>
      <c r="BG6" s="20">
        <f t="shared" si="7"/>
        <v>2.3256507836964637</v>
      </c>
      <c r="BH6" s="59">
        <f t="shared" si="8"/>
        <v>295.65898411702977</v>
      </c>
      <c r="BI6" s="59">
        <f ca="1">AVERAGE(OFFSET($BH$3,0,0,'Données projet'!$E$11+1,1))-AVERAGE(OFFSET($H$3,0,0,'Données projet'!$E$11+1,1))</f>
        <v>234.83702199169585</v>
      </c>
      <c r="BJ6" s="59">
        <f t="shared" si="38"/>
        <v>248.83008816685089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7.1739130434782608</v>
      </c>
      <c r="BY6" s="12">
        <f>IF('Données projet'!$A$114&gt;35,BY5+BX6-CG5,IF(A6&lt;'Données projet'!$A$114,$BV$205^A6,IF(A6='Données projet'!$A$114,'Données projet'!$B$114,BY5+BX6-CG5)))</f>
        <v>1.9464221412296012</v>
      </c>
      <c r="BZ6" s="13">
        <f>BY6*VLOOKUP('Données projet'!$B$12,Paramètres!$A$1:$I$89,3,0)*VLOOKUP('Données projet'!$B$12,Paramètres!$A$1:$I$89,5,0)</f>
        <v>0.86031858642348391</v>
      </c>
      <c r="CA6" s="13">
        <f t="shared" si="39"/>
        <v>0.40347536881827828</v>
      </c>
      <c r="CB6" s="20">
        <f t="shared" si="10"/>
        <v>2.2011078053794022</v>
      </c>
      <c r="CC6" s="59">
        <f t="shared" si="11"/>
        <v>295.53444113871274</v>
      </c>
      <c r="CD6" s="59">
        <f ca="1">AVERAGE(OFFSET($CC$3,0,0,'Données projet'!$E$12+1,1))-AVERAGE(OFFSET($H$3,0,0,'Données projet'!$E$12+1,1))</f>
        <v>220.26537310502334</v>
      </c>
      <c r="CE6" s="59">
        <f t="shared" si="40"/>
        <v>233.26853625122016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7.15</v>
      </c>
      <c r="N7" s="13">
        <f>IF('Données projet'!$A$36&gt;35,N6+M7-V6,IF(A7&lt;'Données projet'!$A$36,$K$205^A7,IF(A7='Données projet'!$A$36,'Données projet'!$B$36,N6+M7-V6)))</f>
        <v>2.6981569425472882</v>
      </c>
      <c r="O7" s="13">
        <f>N7*VLOOKUP('Données projet'!$B$9,Paramètres!$A$1:$I$89,3,0)*VLOOKUP('Données projet'!$B$9,Paramètres!$A$1:$I$89,5,0)</f>
        <v>1.2627374491121308</v>
      </c>
      <c r="P7" s="13">
        <f t="shared" si="33"/>
        <v>0.5663335433309401</v>
      </c>
      <c r="Q7" s="20">
        <f t="shared" si="2"/>
        <v>3.1856319785050151</v>
      </c>
      <c r="R7" s="59">
        <f t="shared" si="0"/>
        <v>296.51896531183831</v>
      </c>
      <c r="S7" s="59">
        <f ca="1">AVERAGE(OFFSET($R$3,0,0,'Données projet'!$E$9+1,1))-AVERAGE(OFFSET($H$3,0,0,'Données projet'!$E$9+1,1))</f>
        <v>263.37813242097957</v>
      </c>
      <c r="T7" s="59">
        <f t="shared" si="34"/>
        <v>314.89350816766904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9.9</v>
      </c>
      <c r="AI7" s="13">
        <f>IF('Données projet'!$A$62&gt;35,AI6+AH7-AQ6,IF(A7&lt;'Données projet'!$A$62,$AF$205^A7,IF(A7='Données projet'!$A$62,'Données projet'!$B$62,AI6+AH7-AQ6)))</f>
        <v>2.87960578951619</v>
      </c>
      <c r="AJ7" s="13">
        <f>AI7*VLOOKUP('Données projet'!$B$10,Paramètres!$A$1:$I$89,3,0)*VLOOKUP('Données projet'!$B$10,Paramètres!$A$1:$I$89,5,0)</f>
        <v>1.1604811331750244</v>
      </c>
      <c r="AK7" s="13">
        <f t="shared" si="35"/>
        <v>0.52561321538136152</v>
      </c>
      <c r="AL7" s="20">
        <f t="shared" si="4"/>
        <v>2.9366143237357054</v>
      </c>
      <c r="AM7" s="59">
        <f t="shared" si="5"/>
        <v>296.269947657069</v>
      </c>
      <c r="AN7" s="59">
        <f ca="1">AVERAGE(OFFSET($AM$3,0,0,'Données projet'!$E$10+1,1))-AVERAGE(OFFSET($H$3,0,0,'Données projet'!$E$10+1,1))</f>
        <v>344.29957955721721</v>
      </c>
      <c r="AO7" s="59">
        <f t="shared" si="36"/>
        <v>297.12790038882594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7.1739130434782608</v>
      </c>
      <c r="BD7" s="12">
        <f>IF('Données projet'!$A$88&gt;35,BD6+BC7-BL6,IF(A7&lt;'Données projet'!$A$88,$BA$205^A7,IF(A7='Données projet'!$A$88,'Données projet'!$B$88,BD6+BC7-BL6)))</f>
        <v>2.4302412134009796</v>
      </c>
      <c r="BE7" s="13">
        <f>BD7*VLOOKUP('Données projet'!$B$11,Paramètres!$A$1:$I$89,3,0)*VLOOKUP('Données projet'!$B$11,Paramètres!$A$1:$I$89,5,0)</f>
        <v>1.1373528878716586</v>
      </c>
      <c r="BF7" s="13">
        <f t="shared" si="37"/>
        <v>0.51634632960462079</v>
      </c>
      <c r="BG7" s="20">
        <f t="shared" si="7"/>
        <v>2.8801928037711861</v>
      </c>
      <c r="BH7" s="59">
        <f t="shared" si="8"/>
        <v>296.21352613710451</v>
      </c>
      <c r="BI7" s="59">
        <f ca="1">AVERAGE(OFFSET($BH$3,0,0,'Données projet'!$E$11+1,1))-AVERAGE(OFFSET($H$3,0,0,'Données projet'!$E$11+1,1))</f>
        <v>234.83702199169585</v>
      </c>
      <c r="BJ7" s="59">
        <f t="shared" si="38"/>
        <v>248.83008816685089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7.1739130434782608</v>
      </c>
      <c r="BY7" s="12">
        <f>IF('Données projet'!$A$114&gt;35,BY6+BX7-CG6,IF(A7&lt;'Données projet'!$A$114,$BV$205^A7,IF(A7='Données projet'!$A$114,'Données projet'!$B$114,BY6+BX7-CG6)))</f>
        <v>2.4302412134009796</v>
      </c>
      <c r="BZ7" s="13">
        <f>BY7*VLOOKUP('Données projet'!$B$12,Paramètres!$A$1:$I$89,3,0)*VLOOKUP('Données projet'!$B$12,Paramètres!$A$1:$I$89,5,0)</f>
        <v>1.0741666163232331</v>
      </c>
      <c r="CA7" s="13">
        <f t="shared" si="39"/>
        <v>0.49091576119217989</v>
      </c>
      <c r="CB7" s="20">
        <f t="shared" si="10"/>
        <v>2.725851807506011</v>
      </c>
      <c r="CC7" s="59">
        <f t="shared" si="11"/>
        <v>296.0591851408393</v>
      </c>
      <c r="CD7" s="59">
        <f ca="1">AVERAGE(OFFSET($CC$3,0,0,'Données projet'!$E$12+1,1))-AVERAGE(OFFSET($H$3,0,0,'Données projet'!$E$12+1,1))</f>
        <v>220.26537310502334</v>
      </c>
      <c r="CE7" s="59">
        <f t="shared" si="40"/>
        <v>233.26853625122016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7.15</v>
      </c>
      <c r="N8" s="13">
        <f>IF('Données projet'!$A$36&gt;35,N7+M8-V7,IF(A8&lt;'Données projet'!$A$36,$K$205^A8,IF(A8='Données projet'!$A$36,'Données projet'!$B$36,N7+M8-V7)))</f>
        <v>3.4580718244567166</v>
      </c>
      <c r="O8" s="13">
        <f>N8*VLOOKUP('Données projet'!$B$9,Paramètres!$A$1:$I$89,3,0)*VLOOKUP('Données projet'!$B$9,Paramètres!$A$1:$I$89,5,0)</f>
        <v>1.6183776138457435</v>
      </c>
      <c r="P8" s="13">
        <f t="shared" si="33"/>
        <v>0.70517195408169131</v>
      </c>
      <c r="Q8" s="20">
        <f t="shared" si="2"/>
        <v>4.0468488308069483</v>
      </c>
      <c r="R8" s="59">
        <f t="shared" si="0"/>
        <v>297.38018216414025</v>
      </c>
      <c r="S8" s="59">
        <f ca="1">AVERAGE(OFFSET($R$3,0,0,'Données projet'!$E$9+1,1))-AVERAGE(OFFSET($H$3,0,0,'Données projet'!$E$9+1,1))</f>
        <v>263.37813242097957</v>
      </c>
      <c r="T8" s="59">
        <f t="shared" si="34"/>
        <v>314.89350816766904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9.9</v>
      </c>
      <c r="AI8" s="13">
        <f>IF('Données projet'!$A$62&gt;35,AI7+AH8-AQ7,IF(A8&lt;'Données projet'!$A$62,$AF$205^A8,IF(A8='Données projet'!$A$62,'Données projet'!$B$62,AI7+AH8-AQ7)))</f>
        <v>3.7511661226171094</v>
      </c>
      <c r="AJ8" s="13">
        <f>AI8*VLOOKUP('Données projet'!$B$10,Paramètres!$A$1:$I$89,3,0)*VLOOKUP('Données projet'!$B$10,Paramètres!$A$1:$I$89,5,0)</f>
        <v>1.5117199474146952</v>
      </c>
      <c r="AK8" s="13">
        <f t="shared" si="35"/>
        <v>0.66394628338674377</v>
      </c>
      <c r="AL8" s="20">
        <f t="shared" si="4"/>
        <v>3.7892853519791725</v>
      </c>
      <c r="AM8" s="59">
        <f t="shared" si="5"/>
        <v>297.12261868531249</v>
      </c>
      <c r="AN8" s="59">
        <f ca="1">AVERAGE(OFFSET($AM$3,0,0,'Données projet'!$E$10+1,1))-AVERAGE(OFFSET($H$3,0,0,'Données projet'!$E$10+1,1))</f>
        <v>344.29957955721721</v>
      </c>
      <c r="AO8" s="59">
        <f t="shared" si="36"/>
        <v>297.12790038882594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7.1739130434782608</v>
      </c>
      <c r="BD8" s="12">
        <f>IF('Données projet'!$A$88&gt;35,BD7+BC8-BL7,IF(A8&lt;'Données projet'!$A$88,$BA$205^A8,IF(A8='Données projet'!$A$88,'Données projet'!$B$88,BD7+BC8-BL7)))</f>
        <v>3.0343224268820017</v>
      </c>
      <c r="BE8" s="13">
        <f>BD8*VLOOKUP('Données projet'!$B$11,Paramètres!$A$1:$I$89,3,0)*VLOOKUP('Données projet'!$B$11,Paramètres!$A$1:$I$89,5,0)</f>
        <v>1.4200628957807768</v>
      </c>
      <c r="BF8" s="13">
        <f t="shared" si="37"/>
        <v>0.62824789572422923</v>
      </c>
      <c r="BG8" s="20">
        <f t="shared" si="7"/>
        <v>3.5674746285378856</v>
      </c>
      <c r="BH8" s="59">
        <f t="shared" si="8"/>
        <v>296.90080796187118</v>
      </c>
      <c r="BI8" s="59">
        <f ca="1">AVERAGE(OFFSET($BH$3,0,0,'Données projet'!$E$11+1,1))-AVERAGE(OFFSET($H$3,0,0,'Données projet'!$E$11+1,1))</f>
        <v>234.83702199169585</v>
      </c>
      <c r="BJ8" s="59">
        <f t="shared" si="38"/>
        <v>248.83008816685089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7.1739130434782608</v>
      </c>
      <c r="BY8" s="12">
        <f>IF('Données projet'!$A$114&gt;35,BY7+BX8-CG7,IF(A8&lt;'Données projet'!$A$114,$BV$205^A8,IF(A8='Données projet'!$A$114,'Données projet'!$B$114,BY7+BX8-CG7)))</f>
        <v>3.0343224268820017</v>
      </c>
      <c r="BZ8" s="13">
        <f>BY8*VLOOKUP('Données projet'!$B$12,Paramètres!$A$1:$I$89,3,0)*VLOOKUP('Données projet'!$B$12,Paramètres!$A$1:$I$89,5,0)</f>
        <v>1.341170512681845</v>
      </c>
      <c r="CA8" s="13">
        <f t="shared" si="39"/>
        <v>0.59730606429023658</v>
      </c>
      <c r="CB8" s="20">
        <f t="shared" si="10"/>
        <v>3.3761800382263751</v>
      </c>
      <c r="CC8" s="59">
        <f t="shared" si="11"/>
        <v>296.70951337155969</v>
      </c>
      <c r="CD8" s="59">
        <f ca="1">AVERAGE(OFFSET($CC$3,0,0,'Données projet'!$E$12+1,1))-AVERAGE(OFFSET($H$3,0,0,'Données projet'!$E$12+1,1))</f>
        <v>220.26537310502334</v>
      </c>
      <c r="CE8" s="59">
        <f t="shared" si="40"/>
        <v>233.26853625122016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7.15</v>
      </c>
      <c r="N9" s="13">
        <f>IF('Données projet'!$A$36&gt;35,N8+M9-V8,IF(A9&lt;'Données projet'!$A$36,$K$205^A9,IF(A9='Données projet'!$A$36,'Données projet'!$B$36,N8+M9-V8)))</f>
        <v>4.4320108124665998</v>
      </c>
      <c r="O9" s="13">
        <f>N9*VLOOKUP('Données projet'!$B$9,Paramètres!$A$1:$I$89,3,0)*VLOOKUP('Données projet'!$B$9,Paramètres!$A$1:$I$89,5,0)</f>
        <v>2.0741810602343684</v>
      </c>
      <c r="P9" s="13">
        <f t="shared" si="33"/>
        <v>0.87804702843251825</v>
      </c>
      <c r="Q9" s="20">
        <f t="shared" si="2"/>
        <v>5.1417972544281598</v>
      </c>
      <c r="R9" s="59">
        <f t="shared" si="0"/>
        <v>298.4751305877615</v>
      </c>
      <c r="S9" s="59">
        <f ca="1">AVERAGE(OFFSET($R$3,0,0,'Données projet'!$E$9+1,1))-AVERAGE(OFFSET($H$3,0,0,'Données projet'!$E$9+1,1))</f>
        <v>263.37813242097957</v>
      </c>
      <c r="T9" s="59">
        <f t="shared" si="34"/>
        <v>314.89350816766904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9.9</v>
      </c>
      <c r="AI9" s="13">
        <f>IF('Données projet'!$A$62&gt;35,AI8+AH9-AQ8,IF(A9&lt;'Données projet'!$A$62,$AF$205^A9,IF(A9='Données projet'!$A$62,'Données projet'!$B$62,AI8+AH9-AQ8)))</f>
        <v>4.8865186098387534</v>
      </c>
      <c r="AJ9" s="13">
        <f>AI9*VLOOKUP('Données projet'!$B$10,Paramètres!$A$1:$I$89,3,0)*VLOOKUP('Données projet'!$B$10,Paramètres!$A$1:$I$89,5,0)</f>
        <v>1.9692669997650176</v>
      </c>
      <c r="AK9" s="13">
        <f t="shared" si="35"/>
        <v>0.8386864224926831</v>
      </c>
      <c r="AL9" s="20">
        <f t="shared" si="4"/>
        <v>4.8905188770988284</v>
      </c>
      <c r="AM9" s="59">
        <f t="shared" si="5"/>
        <v>298.22385221043214</v>
      </c>
      <c r="AN9" s="59">
        <f ca="1">AVERAGE(OFFSET($AM$3,0,0,'Données projet'!$E$10+1,1))-AVERAGE(OFFSET($H$3,0,0,'Données projet'!$E$10+1,1))</f>
        <v>344.29957955721721</v>
      </c>
      <c r="AO9" s="59">
        <f t="shared" si="36"/>
        <v>297.12790038882594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7.1739130434782608</v>
      </c>
      <c r="BD9" s="12">
        <f>IF('Données projet'!$A$88&gt;35,BD8+BC9-BL8,IF(A9&lt;'Données projet'!$A$88,$BA$205^A9,IF(A9='Données projet'!$A$88,'Données projet'!$B$88,BD8+BC9-BL8)))</f>
        <v>3.7885591518688257</v>
      </c>
      <c r="BE9" s="13">
        <f>BD9*VLOOKUP('Données projet'!$B$11,Paramètres!$A$1:$I$89,3,0)*VLOOKUP('Données projet'!$B$11,Paramètres!$A$1:$I$89,5,0)</f>
        <v>1.7730456830746104</v>
      </c>
      <c r="BF9" s="13">
        <f t="shared" si="37"/>
        <v>0.7644005502743676</v>
      </c>
      <c r="BG9" s="20">
        <f t="shared" si="7"/>
        <v>4.419385523082803</v>
      </c>
      <c r="BH9" s="59">
        <f t="shared" si="8"/>
        <v>297.7527188564161</v>
      </c>
      <c r="BI9" s="59">
        <f ca="1">AVERAGE(OFFSET($BH$3,0,0,'Données projet'!$E$11+1,1))-AVERAGE(OFFSET($H$3,0,0,'Données projet'!$E$11+1,1))</f>
        <v>234.83702199169585</v>
      </c>
      <c r="BJ9" s="59">
        <f t="shared" si="38"/>
        <v>248.83008816685089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7.1739130434782608</v>
      </c>
      <c r="BY9" s="12">
        <f>IF('Données projet'!$A$114&gt;35,BY8+BX9-CG8,IF(A9&lt;'Données projet'!$A$114,$BV$205^A9,IF(A9='Données projet'!$A$114,'Données projet'!$B$114,BY8+BX9-CG8)))</f>
        <v>3.7885591518688257</v>
      </c>
      <c r="BZ9" s="13">
        <f>BY9*VLOOKUP('Données projet'!$B$12,Paramètres!$A$1:$I$89,3,0)*VLOOKUP('Données projet'!$B$12,Paramètres!$A$1:$I$89,5,0)</f>
        <v>1.6745431451260211</v>
      </c>
      <c r="CA9" s="13">
        <f t="shared" si="39"/>
        <v>0.7267530656817206</v>
      </c>
      <c r="CB9" s="20">
        <f t="shared" si="10"/>
        <v>4.1822575671568174</v>
      </c>
      <c r="CC9" s="59">
        <f t="shared" si="11"/>
        <v>297.51559090049011</v>
      </c>
      <c r="CD9" s="59">
        <f ca="1">AVERAGE(OFFSET($CC$3,0,0,'Données projet'!$E$12+1,1))-AVERAGE(OFFSET($H$3,0,0,'Données projet'!$E$12+1,1))</f>
        <v>220.26537310502334</v>
      </c>
      <c r="CE9" s="59">
        <f t="shared" si="40"/>
        <v>233.26853625122016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7.15</v>
      </c>
      <c r="N10" s="13">
        <f>IF('Données projet'!$A$36&gt;35,N9+M10-V9,IF(A10&lt;'Données projet'!$A$36,$K$205^A10,IF(A10='Données projet'!$A$36,'Données projet'!$B$36,N9+M10-V9)))</f>
        <v>5.6802521286286005</v>
      </c>
      <c r="O10" s="13">
        <f>N10*VLOOKUP('Données projet'!$B$9,Paramètres!$A$1:$I$89,3,0)*VLOOKUP('Données projet'!$B$9,Paramètres!$A$1:$I$89,5,0)</f>
        <v>2.6583579961981854</v>
      </c>
      <c r="P10" s="13">
        <f t="shared" si="33"/>
        <v>1.0933029591954853</v>
      </c>
      <c r="Q10" s="20">
        <f t="shared" si="2"/>
        <v>6.5341428306439759</v>
      </c>
      <c r="R10" s="59">
        <f t="shared" si="0"/>
        <v>299.8674761639773</v>
      </c>
      <c r="S10" s="59">
        <f ca="1">AVERAGE(OFFSET($R$3,0,0,'Données projet'!$E$9+1,1))-AVERAGE(OFFSET($H$3,0,0,'Données projet'!$E$9+1,1))</f>
        <v>263.37813242097957</v>
      </c>
      <c r="T10" s="59">
        <f t="shared" si="34"/>
        <v>314.89350816766904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9.9</v>
      </c>
      <c r="AI10" s="13">
        <f>IF('Données projet'!$A$62&gt;35,AI9+AH10-AQ9,IF(A10&lt;'Données projet'!$A$62,$AF$205^A10,IF(A10='Données projet'!$A$62,'Données projet'!$B$62,AI9+AH10-AQ9)))</f>
        <v>6.3655043108678004</v>
      </c>
      <c r="AJ10" s="13">
        <f>AI10*VLOOKUP('Données projet'!$B$10,Paramètres!$A$1:$I$89,3,0)*VLOOKUP('Données projet'!$B$10,Paramètres!$A$1:$I$89,5,0)</f>
        <v>2.5652982372797237</v>
      </c>
      <c r="AK10" s="13">
        <f t="shared" si="35"/>
        <v>1.0594153968083184</v>
      </c>
      <c r="AL10" s="20">
        <f t="shared" si="4"/>
        <v>6.3130429127033407</v>
      </c>
      <c r="AM10" s="59">
        <f t="shared" si="5"/>
        <v>299.64637624603665</v>
      </c>
      <c r="AN10" s="59">
        <f ca="1">AVERAGE(OFFSET($AM$3,0,0,'Données projet'!$E$10+1,1))-AVERAGE(OFFSET($H$3,0,0,'Données projet'!$E$10+1,1))</f>
        <v>344.29957955721721</v>
      </c>
      <c r="AO10" s="59">
        <f t="shared" si="36"/>
        <v>297.12790038882594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7.1739130434782608</v>
      </c>
      <c r="BD10" s="12">
        <f>IF('Données projet'!$A$88&gt;35,BD9+BC10-BL9,IF(A10&lt;'Données projet'!$A$88,$BA$205^A10,IF(A10='Données projet'!$A$88,'Données projet'!$B$88,BD9+BC10-BL9)))</f>
        <v>4.7302753062923593</v>
      </c>
      <c r="BE10" s="13">
        <f>BD10*VLOOKUP('Données projet'!$B$11,Paramètres!$A$1:$I$89,3,0)*VLOOKUP('Données projet'!$B$11,Paramètres!$A$1:$I$89,5,0)</f>
        <v>2.2137688433448242</v>
      </c>
      <c r="BF10" s="13">
        <f t="shared" si="37"/>
        <v>0.93005994168301886</v>
      </c>
      <c r="BG10" s="20">
        <f t="shared" si="7"/>
        <v>5.475501800590159</v>
      </c>
      <c r="BH10" s="59">
        <f t="shared" si="8"/>
        <v>298.80883513392348</v>
      </c>
      <c r="BI10" s="59">
        <f ca="1">AVERAGE(OFFSET($BH$3,0,0,'Données projet'!$E$11+1,1))-AVERAGE(OFFSET($H$3,0,0,'Données projet'!$E$11+1,1))</f>
        <v>234.83702199169585</v>
      </c>
      <c r="BJ10" s="59">
        <f t="shared" si="38"/>
        <v>248.83008816685089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7.1739130434782608</v>
      </c>
      <c r="BY10" s="12">
        <f>IF('Données projet'!$A$114&gt;35,BY9+BX10-CG9,IF(A10&lt;'Données projet'!$A$114,$BV$205^A10,IF(A10='Données projet'!$A$114,'Données projet'!$B$114,BY9+BX10-CG9)))</f>
        <v>4.7302753062923593</v>
      </c>
      <c r="BZ10" s="13">
        <f>BY10*VLOOKUP('Données projet'!$B$12,Paramètres!$A$1:$I$89,3,0)*VLOOKUP('Données projet'!$B$12,Paramètres!$A$1:$I$89,5,0)</f>
        <v>2.0907816853812231</v>
      </c>
      <c r="CA10" s="13">
        <f t="shared" si="39"/>
        <v>0.88425356790139109</v>
      </c>
      <c r="CB10" s="20">
        <f t="shared" si="10"/>
        <v>5.1815197328005524</v>
      </c>
      <c r="CC10" s="59">
        <f t="shared" si="11"/>
        <v>298.51485306613387</v>
      </c>
      <c r="CD10" s="59">
        <f ca="1">AVERAGE(OFFSET($CC$3,0,0,'Données projet'!$E$12+1,1))-AVERAGE(OFFSET($H$3,0,0,'Données projet'!$E$12+1,1))</f>
        <v>220.26537310502334</v>
      </c>
      <c r="CE10" s="59">
        <f t="shared" si="40"/>
        <v>233.26853625122016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7.15</v>
      </c>
      <c r="N11" s="13">
        <f>IF('Données projet'!$A$36&gt;35,N10+M11-V10,IF(A11&lt;'Données projet'!$A$36,$K$205^A11,IF(A11='Données projet'!$A$36,'Données projet'!$B$36,N10+M11-V10)))</f>
        <v>7.28005088661613</v>
      </c>
      <c r="O11" s="13">
        <f>N11*VLOOKUP('Données projet'!$B$9,Paramètres!$A$1:$I$89,3,0)*VLOOKUP('Données projet'!$B$9,Paramètres!$A$1:$I$89,5,0)</f>
        <v>3.4070638149363486</v>
      </c>
      <c r="P11" s="13">
        <f t="shared" si="33"/>
        <v>1.3613295437255377</v>
      </c>
      <c r="Q11" s="20">
        <f t="shared" si="2"/>
        <v>8.304951766336119</v>
      </c>
      <c r="R11" s="59">
        <f t="shared" si="0"/>
        <v>301.63828509966942</v>
      </c>
      <c r="S11" s="59">
        <f ca="1">AVERAGE(OFFSET($R$3,0,0,'Données projet'!$E$9+1,1))-AVERAGE(OFFSET($H$3,0,0,'Données projet'!$E$9+1,1))</f>
        <v>263.37813242097957</v>
      </c>
      <c r="T11" s="59">
        <f t="shared" si="34"/>
        <v>314.89350816766904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9.9</v>
      </c>
      <c r="AI11" s="13">
        <f>IF('Données projet'!$A$62&gt;35,AI10+AH11-AQ10,IF(A11&lt;'Données projet'!$A$62,$AF$205^A11,IF(A11='Données projet'!$A$62,'Données projet'!$B$62,AI10+AH11-AQ10)))</f>
        <v>8.2921295030151594</v>
      </c>
      <c r="AJ11" s="13">
        <f>AI11*VLOOKUP('Données projet'!$B$10,Paramètres!$A$1:$I$89,3,0)*VLOOKUP('Données projet'!$B$10,Paramètres!$A$1:$I$89,5,0)</f>
        <v>3.3417281897151092</v>
      </c>
      <c r="AK11" s="13">
        <f t="shared" si="35"/>
        <v>1.3382367388978664</v>
      </c>
      <c r="AL11" s="20">
        <f t="shared" si="4"/>
        <v>8.1509389173342655</v>
      </c>
      <c r="AM11" s="59">
        <f t="shared" si="5"/>
        <v>301.48427225066757</v>
      </c>
      <c r="AN11" s="59">
        <f ca="1">AVERAGE(OFFSET($AM$3,0,0,'Données projet'!$E$10+1,1))-AVERAGE(OFFSET($H$3,0,0,'Données projet'!$E$10+1,1))</f>
        <v>344.29957955721721</v>
      </c>
      <c r="AO11" s="59">
        <f t="shared" si="36"/>
        <v>297.12790038882594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7.1739130434782608</v>
      </c>
      <c r="BD11" s="12">
        <f>IF('Données projet'!$A$88&gt;35,BD10+BC11-BL10,IF(A11&lt;'Données projet'!$A$88,$BA$205^A11,IF(A11='Données projet'!$A$88,'Données projet'!$B$88,BD10+BC11-BL10)))</f>
        <v>5.9060723553126655</v>
      </c>
      <c r="BE11" s="13">
        <f>BD11*VLOOKUP('Données projet'!$B$11,Paramètres!$A$1:$I$89,3,0)*VLOOKUP('Données projet'!$B$11,Paramètres!$A$1:$I$89,5,0)</f>
        <v>2.7640418622863274</v>
      </c>
      <c r="BF11" s="13">
        <f t="shared" si="37"/>
        <v>1.1316207122207593</v>
      </c>
      <c r="BG11" s="20">
        <f t="shared" si="7"/>
        <v>6.784945650599842</v>
      </c>
      <c r="BH11" s="59">
        <f t="shared" si="8"/>
        <v>300.11827898393318</v>
      </c>
      <c r="BI11" s="59">
        <f ca="1">AVERAGE(OFFSET($BH$3,0,0,'Données projet'!$E$11+1,1))-AVERAGE(OFFSET($H$3,0,0,'Données projet'!$E$11+1,1))</f>
        <v>234.83702199169585</v>
      </c>
      <c r="BJ11" s="59">
        <f t="shared" si="38"/>
        <v>248.83008816685089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7.1739130434782608</v>
      </c>
      <c r="BY11" s="12">
        <f>IF('Données projet'!$A$114&gt;35,BY10+BX11-CG10,IF(A11&lt;'Données projet'!$A$114,$BV$205^A11,IF(A11='Données projet'!$A$114,'Données projet'!$B$114,BY10+BX11-CG10)))</f>
        <v>5.9060723553126655</v>
      </c>
      <c r="BZ11" s="13">
        <f>BY11*VLOOKUP('Données projet'!$B$12,Paramètres!$A$1:$I$89,3,0)*VLOOKUP('Données projet'!$B$12,Paramètres!$A$1:$I$89,5,0)</f>
        <v>2.6104839810481986</v>
      </c>
      <c r="CA11" s="13">
        <f t="shared" si="39"/>
        <v>1.0758872707511531</v>
      </c>
      <c r="CB11" s="20">
        <f t="shared" si="10"/>
        <v>6.4204299302172032</v>
      </c>
      <c r="CC11" s="59">
        <f t="shared" si="11"/>
        <v>299.75376326355052</v>
      </c>
      <c r="CD11" s="59">
        <f ca="1">AVERAGE(OFFSET($CC$3,0,0,'Données projet'!$E$12+1,1))-AVERAGE(OFFSET($H$3,0,0,'Données projet'!$E$12+1,1))</f>
        <v>220.26537310502334</v>
      </c>
      <c r="CE11" s="59">
        <f t="shared" si="40"/>
        <v>233.26853625122016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7.15</v>
      </c>
      <c r="N12" s="13">
        <f>IF('Données projet'!$A$36&gt;35,N11+M12-V11,IF(A12&lt;'Données projet'!$A$36,$K$205^A12,IF(A12='Données projet'!$A$36,'Données projet'!$B$36,N11+M12-V11)))</f>
        <v>9.3304205009850563</v>
      </c>
      <c r="O12" s="13">
        <f>N12*VLOOKUP('Données projet'!$B$9,Paramètres!$A$1:$I$89,3,0)*VLOOKUP('Données projet'!$B$9,Paramètres!$A$1:$I$89,5,0)</f>
        <v>4.3666367944610061</v>
      </c>
      <c r="P12" s="13">
        <f t="shared" si="33"/>
        <v>1.6950636701684998</v>
      </c>
      <c r="Q12" s="20">
        <f t="shared" si="2"/>
        <v>10.557461642563055</v>
      </c>
      <c r="R12" s="59">
        <f t="shared" si="0"/>
        <v>303.89079497589637</v>
      </c>
      <c r="S12" s="59">
        <f ca="1">AVERAGE(OFFSET($R$3,0,0,'Données projet'!$E$9+1,1))-AVERAGE(OFFSET($H$3,0,0,'Données projet'!$E$9+1,1))</f>
        <v>263.37813242097957</v>
      </c>
      <c r="T12" s="59">
        <f t="shared" si="34"/>
        <v>314.89350816766904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9.9</v>
      </c>
      <c r="AI12" s="13">
        <f>IF('Données projet'!$A$62&gt;35,AI11+AH12-AQ11,IF(A12&lt;'Données projet'!$A$62,$AF$205^A12,IF(A12='Données projet'!$A$62,'Données projet'!$B$62,AI11+AH12-AQ11)))</f>
        <v>10.801879684125225</v>
      </c>
      <c r="AJ12" s="13">
        <f>AI12*VLOOKUP('Données projet'!$B$10,Paramètres!$A$1:$I$89,3,0)*VLOOKUP('Données projet'!$B$10,Paramètres!$A$1:$I$89,5,0)</f>
        <v>4.3531575127024658</v>
      </c>
      <c r="AK12" s="13">
        <f t="shared" si="35"/>
        <v>1.6904394392712638</v>
      </c>
      <c r="AL12" s="20">
        <f t="shared" si="4"/>
        <v>10.525931358020911</v>
      </c>
      <c r="AM12" s="59">
        <f t="shared" si="5"/>
        <v>303.85926469135421</v>
      </c>
      <c r="AN12" s="59">
        <f ca="1">AVERAGE(OFFSET($AM$3,0,0,'Données projet'!$E$10+1,1))-AVERAGE(OFFSET($H$3,0,0,'Données projet'!$E$10+1,1))</f>
        <v>344.29957955721721</v>
      </c>
      <c r="AO12" s="59">
        <f t="shared" si="36"/>
        <v>297.12790038882594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7.1739130434782608</v>
      </c>
      <c r="BD12" s="12">
        <f>IF('Données projet'!$A$88&gt;35,BD11+BC12-BL11,IF(A12&lt;'Données projet'!$A$88,$BA$205^A12,IF(A12='Données projet'!$A$88,'Données projet'!$B$88,BD11+BC12-BL11)))</f>
        <v>7.3741354165555206</v>
      </c>
      <c r="BE12" s="13">
        <f>BD12*VLOOKUP('Données projet'!$B$11,Paramètres!$A$1:$I$89,3,0)*VLOOKUP('Données projet'!$B$11,Paramètres!$A$1:$I$89,5,0)</f>
        <v>3.4510953749479834</v>
      </c>
      <c r="BF12" s="13">
        <f t="shared" si="37"/>
        <v>1.376863338517442</v>
      </c>
      <c r="BG12" s="20">
        <f t="shared" si="7"/>
        <v>8.4086947592856145</v>
      </c>
      <c r="BH12" s="59">
        <f t="shared" si="8"/>
        <v>301.74202809261891</v>
      </c>
      <c r="BI12" s="59">
        <f ca="1">AVERAGE(OFFSET($BH$3,0,0,'Données projet'!$E$11+1,1))-AVERAGE(OFFSET($H$3,0,0,'Données projet'!$E$11+1,1))</f>
        <v>234.83702199169585</v>
      </c>
      <c r="BJ12" s="59">
        <f t="shared" si="38"/>
        <v>248.83008816685089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7.1739130434782608</v>
      </c>
      <c r="BY12" s="12">
        <f>IF('Données projet'!$A$114&gt;35,BY11+BX12-CG11,IF(A12&lt;'Données projet'!$A$114,$BV$205^A12,IF(A12='Données projet'!$A$114,'Données projet'!$B$114,BY11+BX12-CG11)))</f>
        <v>7.3741354165555206</v>
      </c>
      <c r="BZ12" s="13">
        <f>BY12*VLOOKUP('Données projet'!$B$12,Paramètres!$A$1:$I$89,3,0)*VLOOKUP('Données projet'!$B$12,Paramètres!$A$1:$I$89,5,0)</f>
        <v>3.2593678541175404</v>
      </c>
      <c r="CA12" s="13">
        <f t="shared" si="39"/>
        <v>1.3090514546766854</v>
      </c>
      <c r="CB12" s="20">
        <f t="shared" si="10"/>
        <v>7.9566636294832778</v>
      </c>
      <c r="CC12" s="59">
        <f t="shared" si="11"/>
        <v>301.28999696281659</v>
      </c>
      <c r="CD12" s="59">
        <f ca="1">AVERAGE(OFFSET($CC$3,0,0,'Données projet'!$E$12+1,1))-AVERAGE(OFFSET($H$3,0,0,'Données projet'!$E$12+1,1))</f>
        <v>220.26537310502334</v>
      </c>
      <c r="CE12" s="59">
        <f t="shared" si="40"/>
        <v>233.26853625122016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7.15</v>
      </c>
      <c r="N13" s="13">
        <f>IF('Données projet'!$A$36&gt;35,N12+M13-V12,IF(A13&lt;'Données projet'!$A$36,$K$205^A13,IF(A13='Données projet'!$A$36,'Données projet'!$B$36,N12+M13-V12)))</f>
        <v>11.958260743101404</v>
      </c>
      <c r="O13" s="13">
        <f>N13*VLOOKUP('Données projet'!$B$9,Paramètres!$A$1:$I$89,3,0)*VLOOKUP('Données projet'!$B$9,Paramètres!$A$1:$I$89,5,0)</f>
        <v>5.5964660277714566</v>
      </c>
      <c r="P13" s="13">
        <f t="shared" si="33"/>
        <v>2.110613744605832</v>
      </c>
      <c r="Q13" s="20">
        <f t="shared" si="2"/>
        <v>13.423163936890445</v>
      </c>
      <c r="R13" s="59">
        <f t="shared" si="0"/>
        <v>306.75649727022375</v>
      </c>
      <c r="S13" s="59">
        <f ca="1">AVERAGE(OFFSET($R$3,0,0,'Données projet'!$E$9+1,1))-AVERAGE(OFFSET($H$3,0,0,'Données projet'!$E$9+1,1))</f>
        <v>263.37813242097957</v>
      </c>
      <c r="T13" s="59">
        <f t="shared" si="34"/>
        <v>314.89350816766904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9.9</v>
      </c>
      <c r="AI13" s="13">
        <f>IF('Données projet'!$A$62&gt;35,AI12+AH13-AQ12,IF(A13&lt;'Données projet'!$A$62,$AF$205^A13,IF(A13='Données projet'!$A$62,'Données projet'!$B$62,AI12+AH13-AQ12)))</f>
        <v>14.071247279470278</v>
      </c>
      <c r="AJ13" s="13">
        <f>AI13*VLOOKUP('Données projet'!$B$10,Paramètres!$A$1:$I$89,3,0)*VLOOKUP('Données projet'!$B$10,Paramètres!$A$1:$I$89,5,0)</f>
        <v>5.6707126536265227</v>
      </c>
      <c r="AK13" s="13">
        <f t="shared" si="35"/>
        <v>2.1353363084301287</v>
      </c>
      <c r="AL13" s="20">
        <f t="shared" si="4"/>
        <v>13.595535275582002</v>
      </c>
      <c r="AM13" s="59">
        <f t="shared" si="5"/>
        <v>306.92886860891531</v>
      </c>
      <c r="AN13" s="59">
        <f ca="1">AVERAGE(OFFSET($AM$3,0,0,'Données projet'!$E$10+1,1))-AVERAGE(OFFSET($H$3,0,0,'Données projet'!$E$10+1,1))</f>
        <v>344.29957955721721</v>
      </c>
      <c r="AO13" s="59">
        <f t="shared" si="36"/>
        <v>297.12790038882594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7.1739130434782608</v>
      </c>
      <c r="BD13" s="12">
        <f>IF('Données projet'!$A$88&gt;35,BD12+BC13-BL12,IF(A13&lt;'Données projet'!$A$88,$BA$205^A13,IF(A13='Données projet'!$A$88,'Données projet'!$B$88,BD12+BC13-BL12)))</f>
        <v>9.2071125902790811</v>
      </c>
      <c r="BE13" s="13">
        <f>BD13*VLOOKUP('Données projet'!$B$11,Paramètres!$A$1:$I$89,3,0)*VLOOKUP('Données projet'!$B$11,Paramètres!$A$1:$I$89,5,0)</f>
        <v>4.3089286922506105</v>
      </c>
      <c r="BF13" s="13">
        <f t="shared" si="37"/>
        <v>1.6752544668726144</v>
      </c>
      <c r="BG13" s="20">
        <f t="shared" si="7"/>
        <v>10.422452335472949</v>
      </c>
      <c r="BH13" s="59">
        <f t="shared" si="8"/>
        <v>303.75578566880625</v>
      </c>
      <c r="BI13" s="59">
        <f ca="1">AVERAGE(OFFSET($BH$3,0,0,'Données projet'!$E$11+1,1))-AVERAGE(OFFSET($H$3,0,0,'Données projet'!$E$11+1,1))</f>
        <v>234.83702199169585</v>
      </c>
      <c r="BJ13" s="59">
        <f t="shared" si="38"/>
        <v>248.83008816685089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7.1739130434782608</v>
      </c>
      <c r="BY13" s="12">
        <f>IF('Données projet'!$A$114&gt;35,BY12+BX13-CG12,IF(A13&lt;'Données projet'!$A$114,$BV$205^A13,IF(A13='Données projet'!$A$114,'Données projet'!$B$114,BY12+BX13-CG12)))</f>
        <v>9.2071125902790811</v>
      </c>
      <c r="BZ13" s="13">
        <f>BY13*VLOOKUP('Données projet'!$B$12,Paramètres!$A$1:$I$89,3,0)*VLOOKUP('Données projet'!$B$12,Paramètres!$A$1:$I$89,5,0)</f>
        <v>4.0695437649033543</v>
      </c>
      <c r="CA13" s="13">
        <f t="shared" si="39"/>
        <v>1.5927465242661989</v>
      </c>
      <c r="CB13" s="20">
        <f t="shared" si="10"/>
        <v>9.8618222536369711</v>
      </c>
      <c r="CC13" s="59">
        <f t="shared" si="11"/>
        <v>303.19515558697026</v>
      </c>
      <c r="CD13" s="59">
        <f ca="1">AVERAGE(OFFSET($CC$3,0,0,'Données projet'!$E$12+1,1))-AVERAGE(OFFSET($H$3,0,0,'Données projet'!$E$12+1,1))</f>
        <v>220.26537310502334</v>
      </c>
      <c r="CE13" s="59">
        <f t="shared" si="40"/>
        <v>233.26853625122016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7.15</v>
      </c>
      <c r="N14" s="13">
        <f>IF('Données projet'!$A$36&gt;35,N13+M14-V13,IF(A14&lt;'Données projet'!$A$36,$K$205^A14,IF(A14='Données projet'!$A$36,'Données projet'!$B$36,N13+M14-V13)))</f>
        <v>15.326211716278269</v>
      </c>
      <c r="O14" s="13">
        <f>N14*VLOOKUP('Données projet'!$B$9,Paramètres!$A$1:$I$89,3,0)*VLOOKUP('Données projet'!$B$9,Paramètres!$A$1:$I$89,5,0)</f>
        <v>7.1726670832182302</v>
      </c>
      <c r="P14" s="13">
        <f t="shared" si="33"/>
        <v>2.6280371984352819</v>
      </c>
      <c r="Q14" s="20">
        <f t="shared" si="2"/>
        <v>17.069559957213201</v>
      </c>
      <c r="R14" s="59">
        <f t="shared" si="0"/>
        <v>310.4028932905465</v>
      </c>
      <c r="S14" s="59">
        <f ca="1">AVERAGE(OFFSET($R$3,0,0,'Données projet'!$E$9+1,1))-AVERAGE(OFFSET($H$3,0,0,'Données projet'!$E$9+1,1))</f>
        <v>263.37813242097957</v>
      </c>
      <c r="T14" s="59">
        <f t="shared" si="34"/>
        <v>314.89350816766904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9.9</v>
      </c>
      <c r="AI14" s="13">
        <f>IF('Données projet'!$A$62&gt;35,AI13+AH14-AQ13,IF(A14&lt;'Données projet'!$A$62,$AF$205^A14,IF(A14='Données projet'!$A$62,'Données projet'!$B$62,AI13+AH14-AQ13)))</f>
        <v>18.330143066765181</v>
      </c>
      <c r="AJ14" s="13">
        <f>AI14*VLOOKUP('Données projet'!$B$10,Paramètres!$A$1:$I$89,3,0)*VLOOKUP('Données projet'!$B$10,Paramètres!$A$1:$I$89,5,0)</f>
        <v>7.3870476559063682</v>
      </c>
      <c r="AK14" s="13">
        <f t="shared" si="35"/>
        <v>2.6973229825172833</v>
      </c>
      <c r="AL14" s="20">
        <f t="shared" si="4"/>
        <v>17.563612195254525</v>
      </c>
      <c r="AM14" s="59">
        <f t="shared" si="5"/>
        <v>310.89694552858782</v>
      </c>
      <c r="AN14" s="59">
        <f ca="1">AVERAGE(OFFSET($AM$3,0,0,'Données projet'!$E$10+1,1))-AVERAGE(OFFSET($H$3,0,0,'Données projet'!$E$10+1,1))</f>
        <v>344.29957955721721</v>
      </c>
      <c r="AO14" s="59">
        <f t="shared" si="36"/>
        <v>297.12790038882594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7.1739130434782608</v>
      </c>
      <c r="BD14" s="12">
        <f>IF('Données projet'!$A$88&gt;35,BD13+BC14-BL13,IF(A14&lt;'Données projet'!$A$88,$BA$205^A14,IF(A14='Données projet'!$A$88,'Données projet'!$B$88,BD13+BC14-BL13)))</f>
        <v>11.495710000084632</v>
      </c>
      <c r="BE14" s="13">
        <f>BD14*VLOOKUP('Données projet'!$B$11,Paramètres!$A$1:$I$89,3,0)*VLOOKUP('Données projet'!$B$11,Paramètres!$A$1:$I$89,5,0)</f>
        <v>5.3799922800396081</v>
      </c>
      <c r="BF14" s="13">
        <f t="shared" si="37"/>
        <v>2.0383123366466882</v>
      </c>
      <c r="BG14" s="20">
        <f t="shared" si="7"/>
        <v>12.920213874061965</v>
      </c>
      <c r="BH14" s="59">
        <f t="shared" si="8"/>
        <v>306.25354720739529</v>
      </c>
      <c r="BI14" s="59">
        <f ca="1">AVERAGE(OFFSET($BH$3,0,0,'Données projet'!$E$11+1,1))-AVERAGE(OFFSET($H$3,0,0,'Données projet'!$E$11+1,1))</f>
        <v>234.83702199169585</v>
      </c>
      <c r="BJ14" s="59">
        <f t="shared" si="38"/>
        <v>248.83008816685089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7.1739130434782608</v>
      </c>
      <c r="BY14" s="12">
        <f>IF('Données projet'!$A$114&gt;35,BY13+BX14-CG13,IF(A14&lt;'Données projet'!$A$114,$BV$205^A14,IF(A14='Données projet'!$A$114,'Données projet'!$B$114,BY13+BX14-CG13)))</f>
        <v>11.495710000084632</v>
      </c>
      <c r="BZ14" s="13">
        <f>BY14*VLOOKUP('Données projet'!$B$12,Paramètres!$A$1:$I$89,3,0)*VLOOKUP('Données projet'!$B$12,Paramètres!$A$1:$I$89,5,0)</f>
        <v>5.0811038200374075</v>
      </c>
      <c r="CA14" s="13">
        <f t="shared" si="39"/>
        <v>1.9379234341774723</v>
      </c>
      <c r="CB14" s="20">
        <f t="shared" si="10"/>
        <v>12.224805801090914</v>
      </c>
      <c r="CC14" s="59">
        <f t="shared" si="11"/>
        <v>305.55813913442421</v>
      </c>
      <c r="CD14" s="59">
        <f ca="1">AVERAGE(OFFSET($CC$3,0,0,'Données projet'!$E$12+1,1))-AVERAGE(OFFSET($H$3,0,0,'Données projet'!$E$12+1,1))</f>
        <v>220.26537310502334</v>
      </c>
      <c r="CE14" s="59">
        <f t="shared" si="40"/>
        <v>233.26853625122016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7.15</v>
      </c>
      <c r="N15" s="13">
        <f>IF('Données projet'!$A$36&gt;35,N14+M15-V14,IF(A15&lt;'Données projet'!$A$36,$K$205^A15,IF(A15='Données projet'!$A$36,'Données projet'!$B$36,N14+M15-V14)))</f>
        <v>19.642719841820853</v>
      </c>
      <c r="O15" s="13">
        <f>N15*VLOOKUP('Données projet'!$B$9,Paramètres!$A$1:$I$89,3,0)*VLOOKUP('Données projet'!$B$9,Paramètres!$A$1:$I$89,5,0)</f>
        <v>9.1927928859721586</v>
      </c>
      <c r="P15" s="13">
        <f t="shared" si="33"/>
        <v>3.2723086040782912</v>
      </c>
      <c r="Q15" s="20">
        <f t="shared" si="2"/>
        <v>21.710051761837864</v>
      </c>
      <c r="R15" s="59">
        <f t="shared" si="0"/>
        <v>315.04338509517117</v>
      </c>
      <c r="S15" s="59">
        <f ca="1">AVERAGE(OFFSET($R$3,0,0,'Données projet'!$E$9+1,1))-AVERAGE(OFFSET($H$3,0,0,'Données projet'!$E$9+1,1))</f>
        <v>263.37813242097957</v>
      </c>
      <c r="T15" s="59">
        <f t="shared" si="34"/>
        <v>314.89350816766904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9.9</v>
      </c>
      <c r="AI15" s="13">
        <f>IF('Données projet'!$A$62&gt;35,AI14+AH15-AQ14,IF(A15&lt;'Données projet'!$A$62,$AF$205^A15,IF(A15='Données projet'!$A$62,'Données projet'!$B$62,AI14+AH15-AQ14)))</f>
        <v>23.878064124300458</v>
      </c>
      <c r="AJ15" s="13">
        <f>AI15*VLOOKUP('Données projet'!$B$10,Paramètres!$A$1:$I$89,3,0)*VLOOKUP('Données projet'!$B$10,Paramètres!$A$1:$I$89,5,0)</f>
        <v>9.6228598420930851</v>
      </c>
      <c r="AK15" s="13">
        <f t="shared" si="35"/>
        <v>3.4072156424693705</v>
      </c>
      <c r="AL15" s="20">
        <f t="shared" si="4"/>
        <v>22.694048135612945</v>
      </c>
      <c r="AM15" s="59">
        <f t="shared" si="5"/>
        <v>316.02738146894626</v>
      </c>
      <c r="AN15" s="59">
        <f ca="1">AVERAGE(OFFSET($AM$3,0,0,'Données projet'!$E$10+1,1))-AVERAGE(OFFSET($H$3,0,0,'Données projet'!$E$10+1,1))</f>
        <v>344.29957955721721</v>
      </c>
      <c r="AO15" s="59">
        <f t="shared" si="36"/>
        <v>297.12790038882594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7.1739130434782608</v>
      </c>
      <c r="BD15" s="12">
        <f>IF('Données projet'!$A$88&gt;35,BD14+BC15-BL14,IF(A15&lt;'Données projet'!$A$88,$BA$205^A15,IF(A15='Données projet'!$A$88,'Données projet'!$B$88,BD14+BC15-BL14)))</f>
        <v>14.353180447209034</v>
      </c>
      <c r="BE15" s="13">
        <f>BD15*VLOOKUP('Données projet'!$B$11,Paramètres!$A$1:$I$89,3,0)*VLOOKUP('Données projet'!$B$11,Paramètres!$A$1:$I$89,5,0)</f>
        <v>6.7172884492938278</v>
      </c>
      <c r="BF15" s="13">
        <f t="shared" si="37"/>
        <v>2.4800513974943508</v>
      </c>
      <c r="BG15" s="20">
        <f t="shared" si="7"/>
        <v>16.018700233156078</v>
      </c>
      <c r="BH15" s="59">
        <f t="shared" si="8"/>
        <v>309.35203356648941</v>
      </c>
      <c r="BI15" s="59">
        <f ca="1">AVERAGE(OFFSET($BH$3,0,0,'Données projet'!$E$11+1,1))-AVERAGE(OFFSET($H$3,0,0,'Données projet'!$E$11+1,1))</f>
        <v>234.83702199169585</v>
      </c>
      <c r="BJ15" s="59">
        <f t="shared" si="38"/>
        <v>248.83008816685089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7.1739130434782608</v>
      </c>
      <c r="BY15" s="12">
        <f>IF('Données projet'!$A$114&gt;35,BY14+BX15-CG14,IF(A15&lt;'Données projet'!$A$114,$BV$205^A15,IF(A15='Données projet'!$A$114,'Données projet'!$B$114,BY14+BX15-CG14)))</f>
        <v>14.353180447209034</v>
      </c>
      <c r="BZ15" s="13">
        <f>BY15*VLOOKUP('Données projet'!$B$12,Paramètres!$A$1:$I$89,3,0)*VLOOKUP('Données projet'!$B$12,Paramètres!$A$1:$I$89,5,0)</f>
        <v>6.3441057576663944</v>
      </c>
      <c r="CA15" s="13">
        <f t="shared" si="39"/>
        <v>2.357906408531917</v>
      </c>
      <c r="CB15" s="20">
        <f t="shared" si="10"/>
        <v>15.156004522795392</v>
      </c>
      <c r="CC15" s="59">
        <f t="shared" si="11"/>
        <v>308.48933785612871</v>
      </c>
      <c r="CD15" s="59">
        <f ca="1">AVERAGE(OFFSET($CC$3,0,0,'Données projet'!$E$12+1,1))-AVERAGE(OFFSET($H$3,0,0,'Données projet'!$E$12+1,1))</f>
        <v>220.26537310502334</v>
      </c>
      <c r="CE15" s="59">
        <f t="shared" si="40"/>
        <v>233.26853625122016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7.15</v>
      </c>
      <c r="N16" s="13">
        <f>IF('Données projet'!$A$36&gt;35,N15+M16-V15,IF(A16&lt;'Données projet'!$A$36,$K$205^A16,IF(A16='Données projet'!$A$36,'Données projet'!$B$36,N15+M16-V15)))</f>
        <v>25.174938851618379</v>
      </c>
      <c r="O16" s="13">
        <f>N16*VLOOKUP('Données projet'!$B$9,Paramètres!$A$1:$I$89,3,0)*VLOOKUP('Données projet'!$B$9,Paramètres!$A$1:$I$89,5,0)</f>
        <v>11.781871382557402</v>
      </c>
      <c r="P16" s="13">
        <f t="shared" si="33"/>
        <v>4.0745251272319516</v>
      </c>
      <c r="Q16" s="20">
        <f t="shared" si="2"/>
        <v>27.616557254549786</v>
      </c>
      <c r="R16" s="59">
        <f t="shared" si="0"/>
        <v>320.94989058788309</v>
      </c>
      <c r="S16" s="59">
        <f ca="1">AVERAGE(OFFSET($R$3,0,0,'Données projet'!$E$9+1,1))-AVERAGE(OFFSET($H$3,0,0,'Données projet'!$E$9+1,1))</f>
        <v>263.37813242097957</v>
      </c>
      <c r="T16" s="59">
        <f t="shared" si="34"/>
        <v>314.89350816766904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9.9</v>
      </c>
      <c r="AI16" s="13">
        <f>IF('Données projet'!$A$62&gt;35,AI15+AH16-AQ15,IF(A16&lt;'Données projet'!$A$62,$AF$205^A16,IF(A16='Données projet'!$A$62,'Données projet'!$B$62,AI15+AH16-AQ15)))</f>
        <v>31.105155276064313</v>
      </c>
      <c r="AJ16" s="13">
        <f>AI16*VLOOKUP('Données projet'!$B$10,Paramètres!$A$1:$I$89,3,0)*VLOOKUP('Données projet'!$B$10,Paramètres!$A$1:$I$89,5,0)</f>
        <v>12.535377576253918</v>
      </c>
      <c r="AK16" s="13">
        <f t="shared" si="35"/>
        <v>4.3039407996493333</v>
      </c>
      <c r="AL16" s="20">
        <f t="shared" si="4"/>
        <v>29.328479504698162</v>
      </c>
      <c r="AM16" s="59">
        <f t="shared" si="5"/>
        <v>322.66181283803149</v>
      </c>
      <c r="AN16" s="59">
        <f ca="1">AVERAGE(OFFSET($AM$3,0,0,'Données projet'!$E$10+1,1))-AVERAGE(OFFSET($H$3,0,0,'Données projet'!$E$10+1,1))</f>
        <v>344.29957955721721</v>
      </c>
      <c r="AO16" s="59">
        <f t="shared" si="36"/>
        <v>297.12790038882594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7.1739130434782608</v>
      </c>
      <c r="BD16" s="12">
        <f>IF('Données projet'!$A$88&gt;35,BD15+BC16-BL15,IF(A16&lt;'Données projet'!$A$88,$BA$205^A16,IF(A16='Données projet'!$A$88,'Données projet'!$B$88,BD15+BC16-BL15)))</f>
        <v>17.920927802513027</v>
      </c>
      <c r="BE16" s="13">
        <f>BD16*VLOOKUP('Données projet'!$B$11,Paramètres!$A$1:$I$89,3,0)*VLOOKUP('Données projet'!$B$11,Paramètres!$A$1:$I$89,5,0)</f>
        <v>8.3869942115760967</v>
      </c>
      <c r="BF16" s="13">
        <f t="shared" si="37"/>
        <v>3.0175232831747367</v>
      </c>
      <c r="BG16" s="20">
        <f t="shared" si="7"/>
        <v>19.862867970024372</v>
      </c>
      <c r="BH16" s="59">
        <f t="shared" si="8"/>
        <v>313.19620130335767</v>
      </c>
      <c r="BI16" s="59">
        <f ca="1">AVERAGE(OFFSET($BH$3,0,0,'Données projet'!$E$11+1,1))-AVERAGE(OFFSET($H$3,0,0,'Données projet'!$E$11+1,1))</f>
        <v>234.83702199169585</v>
      </c>
      <c r="BJ16" s="59">
        <f t="shared" si="38"/>
        <v>248.83008816685089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7.1739130434782608</v>
      </c>
      <c r="BY16" s="12">
        <f>IF('Données projet'!$A$114&gt;35,BY15+BX16-CG15,IF(A16&lt;'Données projet'!$A$114,$BV$205^A16,IF(A16='Données projet'!$A$114,'Données projet'!$B$114,BY15+BX16-CG15)))</f>
        <v>17.920927802513027</v>
      </c>
      <c r="BZ16" s="13">
        <f>BY16*VLOOKUP('Données projet'!$B$12,Paramètres!$A$1:$I$89,3,0)*VLOOKUP('Données projet'!$B$12,Paramètres!$A$1:$I$89,5,0)</f>
        <v>7.9210500887107589</v>
      </c>
      <c r="CA16" s="13">
        <f t="shared" si="39"/>
        <v>2.8689072712285149</v>
      </c>
      <c r="CB16" s="20">
        <f t="shared" si="10"/>
        <v>18.7925090685609</v>
      </c>
      <c r="CC16" s="59">
        <f t="shared" si="11"/>
        <v>312.1258424018942</v>
      </c>
      <c r="CD16" s="59">
        <f ca="1">AVERAGE(OFFSET($CC$3,0,0,'Données projet'!$E$12+1,1))-AVERAGE(OFFSET($H$3,0,0,'Données projet'!$E$12+1,1))</f>
        <v>220.26537310502334</v>
      </c>
      <c r="CE16" s="59">
        <f t="shared" si="40"/>
        <v>233.26853625122016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7.15</v>
      </c>
      <c r="N17" s="13">
        <f>IF('Données projet'!$A$36&gt;35,N16+M17-V16,IF(A17&lt;'Données projet'!$A$36,$K$205^A17,IF(A17='Données projet'!$A$36,'Données projet'!$B$36,N16+M17-V16)))</f>
        <v>32.265264244789748</v>
      </c>
      <c r="O17" s="13">
        <f>N17*VLOOKUP('Données projet'!$B$9,Paramètres!$A$1:$I$89,3,0)*VLOOKUP('Données projet'!$B$9,Paramètres!$A$1:$I$89,5,0)</f>
        <v>15.100143666561602</v>
      </c>
      <c r="P17" s="13">
        <f t="shared" si="33"/>
        <v>5.0734074994496874</v>
      </c>
      <c r="Q17" s="20">
        <f t="shared" si="2"/>
        <v>35.135601614136327</v>
      </c>
      <c r="R17" s="59">
        <f t="shared" si="0"/>
        <v>328.46893494746962</v>
      </c>
      <c r="S17" s="59">
        <f ca="1">AVERAGE(OFFSET($R$3,0,0,'Données projet'!$E$9+1,1))-AVERAGE(OFFSET($H$3,0,0,'Données projet'!$E$9+1,1))</f>
        <v>263.37813242097957</v>
      </c>
      <c r="T17" s="59">
        <f t="shared" si="34"/>
        <v>314.89350816766904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9.9</v>
      </c>
      <c r="AI17" s="13">
        <f>IF('Données projet'!$A$62&gt;35,AI16+AH17-AQ16,IF(A17&lt;'Données projet'!$A$62,$AF$205^A17,IF(A17='Données projet'!$A$62,'Données projet'!$B$62,AI16+AH17-AQ16)))</f>
        <v>40.519645131676548</v>
      </c>
      <c r="AJ17" s="13">
        <f>AI17*VLOOKUP('Données projet'!$B$10,Paramètres!$A$1:$I$89,3,0)*VLOOKUP('Données projet'!$B$10,Paramètres!$A$1:$I$89,5,0)</f>
        <v>16.329416988065649</v>
      </c>
      <c r="AK17" s="13">
        <f t="shared" si="35"/>
        <v>5.4366698062764822</v>
      </c>
      <c r="AL17" s="20">
        <f t="shared" si="4"/>
        <v>37.909267833479205</v>
      </c>
      <c r="AM17" s="59">
        <f t="shared" si="5"/>
        <v>331.24260116681251</v>
      </c>
      <c r="AN17" s="59">
        <f ca="1">AVERAGE(OFFSET($AM$3,0,0,'Données projet'!$E$10+1,1))-AVERAGE(OFFSET($H$3,0,0,'Données projet'!$E$10+1,1))</f>
        <v>344.29957955721721</v>
      </c>
      <c r="AO17" s="59">
        <f t="shared" si="36"/>
        <v>297.12790038882594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7.1739130434782608</v>
      </c>
      <c r="BD17" s="12">
        <f>IF('Données projet'!$A$88&gt;35,BD16+BC17-BL16,IF(A17&lt;'Données projet'!$A$88,$BA$205^A17,IF(A17='Données projet'!$A$88,'Données projet'!$B$88,BD16+BC17-BL16)))</f>
        <v>22.375504473319271</v>
      </c>
      <c r="BE17" s="13">
        <f>BD17*VLOOKUP('Données projet'!$B$11,Paramètres!$A$1:$I$89,3,0)*VLOOKUP('Données projet'!$B$11,Paramètres!$A$1:$I$89,5,0)</f>
        <v>10.471736093513419</v>
      </c>
      <c r="BF17" s="13">
        <f t="shared" si="37"/>
        <v>3.6714750241471097</v>
      </c>
      <c r="BG17" s="20">
        <f t="shared" si="7"/>
        <v>24.632759363258756</v>
      </c>
      <c r="BH17" s="59">
        <f t="shared" si="8"/>
        <v>317.96609269659206</v>
      </c>
      <c r="BI17" s="59">
        <f ca="1">AVERAGE(OFFSET($BH$3,0,0,'Données projet'!$E$11+1,1))-AVERAGE(OFFSET($H$3,0,0,'Données projet'!$E$11+1,1))</f>
        <v>234.83702199169585</v>
      </c>
      <c r="BJ17" s="59">
        <f t="shared" si="38"/>
        <v>248.83008816685089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7.1739130434782608</v>
      </c>
      <c r="BY17" s="12">
        <f>IF('Données projet'!$A$114&gt;35,BY16+BX17-CG16,IF(A17&lt;'Données projet'!$A$114,$BV$205^A17,IF(A17='Données projet'!$A$114,'Données projet'!$B$114,BY16+BX17-CG16)))</f>
        <v>22.375504473319271</v>
      </c>
      <c r="BZ17" s="13">
        <f>BY17*VLOOKUP('Données projet'!$B$12,Paramètres!$A$1:$I$89,3,0)*VLOOKUP('Données projet'!$B$12,Paramètres!$A$1:$I$89,5,0)</f>
        <v>9.889972977207119</v>
      </c>
      <c r="CA17" s="13">
        <f t="shared" si="39"/>
        <v>3.4906512409168982</v>
      </c>
      <c r="CB17" s="20">
        <f t="shared" si="10"/>
        <v>23.304587179899329</v>
      </c>
      <c r="CC17" s="59">
        <f t="shared" si="11"/>
        <v>316.63792051323264</v>
      </c>
      <c r="CD17" s="59">
        <f ca="1">AVERAGE(OFFSET($CC$3,0,0,'Données projet'!$E$12+1,1))-AVERAGE(OFFSET($H$3,0,0,'Données projet'!$E$12+1,1))</f>
        <v>220.26537310502334</v>
      </c>
      <c r="CE17" s="59">
        <f t="shared" si="40"/>
        <v>233.26853625122016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7.15</v>
      </c>
      <c r="N18" s="13">
        <f>IF('Données projet'!$A$36&gt;35,N17+M18-V17,IF(A18&lt;'Données projet'!$A$36,$K$205^A18,IF(A18='Données projet'!$A$36,'Données projet'!$B$36,N17+M18-V17)))</f>
        <v>41.352524545225805</v>
      </c>
      <c r="O18" s="13">
        <f>N18*VLOOKUP('Données projet'!$B$9,Paramètres!$A$1:$I$89,3,0)*VLOOKUP('Données projet'!$B$9,Paramètres!$A$1:$I$89,5,0)</f>
        <v>19.352981487165678</v>
      </c>
      <c r="P18" s="13">
        <f t="shared" si="33"/>
        <v>6.3171689587685922</v>
      </c>
      <c r="Q18" s="20">
        <f t="shared" si="2"/>
        <v>44.708845360002179</v>
      </c>
      <c r="R18" s="59">
        <f t="shared" si="0"/>
        <v>338.04217869333547</v>
      </c>
      <c r="S18" s="59">
        <f ca="1">AVERAGE(OFFSET($R$3,0,0,'Données projet'!$E$9+1,1))-AVERAGE(OFFSET($H$3,0,0,'Données projet'!$E$9+1,1))</f>
        <v>263.37813242097957</v>
      </c>
      <c r="T18" s="59">
        <f t="shared" si="34"/>
        <v>314.89350816766904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9.9</v>
      </c>
      <c r="AI18" s="13">
        <f>IF('Données projet'!$A$62&gt;35,AI17+AH18-AQ17,IF(A18&lt;'Données projet'!$A$62,$AF$205^A18,IF(A18='Données projet'!$A$62,'Données projet'!$B$62,AI17+AH18-AQ17)))</f>
        <v>52.78358609771707</v>
      </c>
      <c r="AJ18" s="13">
        <f>AI18*VLOOKUP('Données projet'!$B$10,Paramètres!$A$1:$I$89,3,0)*VLOOKUP('Données projet'!$B$10,Paramètres!$A$1:$I$89,5,0)</f>
        <v>21.27178519737998</v>
      </c>
      <c r="AK18" s="13">
        <f t="shared" si="35"/>
        <v>6.8675151351725274</v>
      </c>
      <c r="AL18" s="20">
        <f t="shared" si="4"/>
        <v>49.009281412528956</v>
      </c>
      <c r="AM18" s="59">
        <f t="shared" si="5"/>
        <v>342.34261474586225</v>
      </c>
      <c r="AN18" s="59">
        <f ca="1">AVERAGE(OFFSET($AM$3,0,0,'Données projet'!$E$10+1,1))-AVERAGE(OFFSET($H$3,0,0,'Données projet'!$E$10+1,1))</f>
        <v>344.29957955721721</v>
      </c>
      <c r="AO18" s="59">
        <f t="shared" si="36"/>
        <v>297.12790038882594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7.1739130434782608</v>
      </c>
      <c r="BD18" s="12">
        <f>IF('Données projet'!$A$88&gt;35,BD17+BC18-BL17,IF(A18&lt;'Données projet'!$A$88,$BA$205^A18,IF(A18='Données projet'!$A$88,'Données projet'!$B$88,BD17+BC18-BL17)))</f>
        <v>27.937348219511456</v>
      </c>
      <c r="BE18" s="13">
        <f>BD18*VLOOKUP('Données projet'!$B$11,Paramètres!$A$1:$I$89,3,0)*VLOOKUP('Données projet'!$B$11,Paramètres!$A$1:$I$89,5,0)</f>
        <v>13.074678966731362</v>
      </c>
      <c r="BF18" s="13">
        <f t="shared" si="37"/>
        <v>4.4671499067122324</v>
      </c>
      <c r="BG18" s="20">
        <f t="shared" si="7"/>
        <v>30.552018621247594</v>
      </c>
      <c r="BH18" s="59">
        <f t="shared" si="8"/>
        <v>323.88535195458093</v>
      </c>
      <c r="BI18" s="59">
        <f ca="1">AVERAGE(OFFSET($BH$3,0,0,'Données projet'!$E$11+1,1))-AVERAGE(OFFSET($H$3,0,0,'Données projet'!$E$11+1,1))</f>
        <v>234.83702199169585</v>
      </c>
      <c r="BJ18" s="59">
        <f t="shared" si="38"/>
        <v>248.83008816685089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7.1739130434782608</v>
      </c>
      <c r="BY18" s="12">
        <f>IF('Données projet'!$A$114&gt;35,BY17+BX18-CG17,IF(A18&lt;'Données projet'!$A$114,$BV$205^A18,IF(A18='Données projet'!$A$114,'Données projet'!$B$114,BY17+BX18-CG17)))</f>
        <v>27.937348219511456</v>
      </c>
      <c r="BZ18" s="13">
        <f>BY18*VLOOKUP('Données projet'!$B$12,Paramètres!$A$1:$I$89,3,0)*VLOOKUP('Données projet'!$B$12,Paramètres!$A$1:$I$89,5,0)</f>
        <v>12.348307913024065</v>
      </c>
      <c r="CA18" s="13">
        <f t="shared" si="39"/>
        <v>4.2471383470323927</v>
      </c>
      <c r="CB18" s="20">
        <f t="shared" si="10"/>
        <v>28.903735569598329</v>
      </c>
      <c r="CC18" s="59">
        <f t="shared" si="11"/>
        <v>322.23706890293164</v>
      </c>
      <c r="CD18" s="59">
        <f ca="1">AVERAGE(OFFSET($CC$3,0,0,'Données projet'!$E$12+1,1))-AVERAGE(OFFSET($H$3,0,0,'Données projet'!$E$12+1,1))</f>
        <v>220.26537310502334</v>
      </c>
      <c r="CE18" s="59">
        <f t="shared" si="40"/>
        <v>233.26853625122016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7.15</v>
      </c>
      <c r="N19" s="13">
        <f>IF('Données projet'!$A$36&gt;35,N18+M19-V18,IF(A19&lt;'Données projet'!$A$36,$K$205^A19,IF(A19='Données projet'!$A$36,'Données projet'!$B$36,N18+M19-V18)))</f>
        <v>52.999140911720303</v>
      </c>
      <c r="O19" s="13">
        <f>N19*VLOOKUP('Données projet'!$B$9,Paramètres!$A$1:$I$89,3,0)*VLOOKUP('Données projet'!$B$9,Paramètres!$A$1:$I$89,5,0)</f>
        <v>24.803597946685102</v>
      </c>
      <c r="P19" s="13">
        <f t="shared" si="33"/>
        <v>7.8658423668822461</v>
      </c>
      <c r="Q19" s="20">
        <f t="shared" si="2"/>
        <v>56.899275212796461</v>
      </c>
      <c r="R19" s="59">
        <f t="shared" si="0"/>
        <v>350.23260854612977</v>
      </c>
      <c r="S19" s="59">
        <f ca="1">AVERAGE(OFFSET($R$3,0,0,'Données projet'!$E$9+1,1))-AVERAGE(OFFSET($H$3,0,0,'Données projet'!$E$9+1,1))</f>
        <v>263.37813242097957</v>
      </c>
      <c r="T19" s="59">
        <f t="shared" si="34"/>
        <v>314.89350816766904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9.9</v>
      </c>
      <c r="AI19" s="13">
        <f>IF('Données projet'!$A$62&gt;35,AI18+AH19-AQ18,IF(A19&lt;'Données projet'!$A$62,$AF$205^A19,IF(A19='Données projet'!$A$62,'Données projet'!$B$62,AI18+AH19-AQ18)))</f>
        <v>68.759411694774428</v>
      </c>
      <c r="AJ19" s="13">
        <f>AI19*VLOOKUP('Données projet'!$B$10,Paramètres!$A$1:$I$89,3,0)*VLOOKUP('Données projet'!$B$10,Paramètres!$A$1:$I$89,5,0)</f>
        <v>27.710042912994094</v>
      </c>
      <c r="AK19" s="13">
        <f t="shared" si="35"/>
        <v>8.6749362776042869</v>
      </c>
      <c r="AL19" s="20">
        <f t="shared" si="4"/>
        <v>63.370505423625502</v>
      </c>
      <c r="AM19" s="59">
        <f t="shared" si="5"/>
        <v>356.70383875695882</v>
      </c>
      <c r="AN19" s="59">
        <f ca="1">AVERAGE(OFFSET($AM$3,0,0,'Données projet'!$E$10+1,1))-AVERAGE(OFFSET($H$3,0,0,'Données projet'!$E$10+1,1))</f>
        <v>344.29957955721721</v>
      </c>
      <c r="AO19" s="59">
        <f t="shared" si="36"/>
        <v>297.12790038882594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7.1739130434782608</v>
      </c>
      <c r="BD19" s="12">
        <f>IF('Données projet'!$A$88&gt;35,BD18+BC19-BL18,IF(A19&lt;'Données projet'!$A$88,$BA$205^A19,IF(A19='Données projet'!$A$88,'Données projet'!$B$88,BD18+BC19-BL18)))</f>
        <v>34.881690666188497</v>
      </c>
      <c r="BE19" s="13">
        <f>BD19*VLOOKUP('Données projet'!$B$11,Paramètres!$A$1:$I$89,3,0)*VLOOKUP('Données projet'!$B$11,Paramètres!$A$1:$I$89,5,0)</f>
        <v>16.324631231776216</v>
      </c>
      <c r="BF19" s="13">
        <f t="shared" si="37"/>
        <v>5.4352618927796694</v>
      </c>
      <c r="BG19" s="20">
        <f t="shared" si="7"/>
        <v>37.89848052526817</v>
      </c>
      <c r="BH19" s="59">
        <f t="shared" si="8"/>
        <v>331.23181385860147</v>
      </c>
      <c r="BI19" s="59">
        <f ca="1">AVERAGE(OFFSET($BH$3,0,0,'Données projet'!$E$11+1,1))-AVERAGE(OFFSET($H$3,0,0,'Données projet'!$E$11+1,1))</f>
        <v>234.83702199169585</v>
      </c>
      <c r="BJ19" s="59">
        <f t="shared" si="38"/>
        <v>248.83008816685089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7.1739130434782608</v>
      </c>
      <c r="BY19" s="12">
        <f>IF('Données projet'!$A$114&gt;35,BY18+BX19-CG18,IF(A19&lt;'Données projet'!$A$114,$BV$205^A19,IF(A19='Données projet'!$A$114,'Données projet'!$B$114,BY18+BX19-CG18)))</f>
        <v>34.881690666188497</v>
      </c>
      <c r="BZ19" s="13">
        <f>BY19*VLOOKUP('Données projet'!$B$12,Paramètres!$A$1:$I$89,3,0)*VLOOKUP('Données projet'!$B$12,Paramètres!$A$1:$I$89,5,0)</f>
        <v>15.417707274455317</v>
      </c>
      <c r="CA19" s="13">
        <f t="shared" si="39"/>
        <v>5.1675698584241525</v>
      </c>
      <c r="CB19" s="20">
        <f t="shared" si="10"/>
        <v>35.852691006431733</v>
      </c>
      <c r="CC19" s="59">
        <f t="shared" si="11"/>
        <v>329.18602433976503</v>
      </c>
      <c r="CD19" s="59">
        <f ca="1">AVERAGE(OFFSET($CC$3,0,0,'Données projet'!$E$12+1,1))-AVERAGE(OFFSET($H$3,0,0,'Données projet'!$E$12+1,1))</f>
        <v>220.26537310502334</v>
      </c>
      <c r="CE19" s="59">
        <f t="shared" si="40"/>
        <v>233.26853625122016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7.15</v>
      </c>
      <c r="N20" s="13">
        <f>IF('Données projet'!$A$36&gt;35,N19+M20-V19,IF(A20&lt;'Données projet'!$A$36,$K$205^A20,IF(A20='Données projet'!$A$36,'Données projet'!$B$36,N19+M20-V19)))</f>
        <v>67.925936040697579</v>
      </c>
      <c r="O20" s="13">
        <f>N20*VLOOKUP('Données projet'!$B$9,Paramètres!$A$1:$I$89,3,0)*VLOOKUP('Données projet'!$B$9,Paramètres!$A$1:$I$89,5,0)</f>
        <v>31.789338067046465</v>
      </c>
      <c r="P20" s="13">
        <f t="shared" si="33"/>
        <v>9.7941778262489763</v>
      </c>
      <c r="Q20" s="20">
        <f t="shared" si="2"/>
        <v>72.424623514156238</v>
      </c>
      <c r="R20" s="59">
        <f t="shared" si="0"/>
        <v>365.75795684748954</v>
      </c>
      <c r="S20" s="59">
        <f ca="1">AVERAGE(OFFSET($R$3,0,0,'Données projet'!$E$9+1,1))-AVERAGE(OFFSET($H$3,0,0,'Données projet'!$E$9+1,1))</f>
        <v>263.37813242097957</v>
      </c>
      <c r="T20" s="59">
        <f t="shared" si="34"/>
        <v>314.89350816766904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9.9</v>
      </c>
      <c r="AI20" s="13">
        <f>IF('Données projet'!$A$62&gt;35,AI19+AH20-AQ19,IF(A20&lt;'Données projet'!$A$62,$AF$205^A20,IF(A20='Données projet'!$A$62,'Données projet'!$B$62,AI19+AH20-AQ19)))</f>
        <v>89.57058521675485</v>
      </c>
      <c r="AJ20" s="13">
        <f>AI20*VLOOKUP('Données projet'!$B$10,Paramètres!$A$1:$I$89,3,0)*VLOOKUP('Données projet'!$B$10,Paramètres!$A$1:$I$89,5,0)</f>
        <v>36.096945842352206</v>
      </c>
      <c r="AK20" s="13">
        <f t="shared" si="35"/>
        <v>10.958042019459544</v>
      </c>
      <c r="AL20" s="20">
        <f t="shared" si="4"/>
        <v>81.954103859322132</v>
      </c>
      <c r="AM20" s="59">
        <f t="shared" si="5"/>
        <v>375.28743719265543</v>
      </c>
      <c r="AN20" s="59">
        <f ca="1">AVERAGE(OFFSET($AM$3,0,0,'Données projet'!$E$10+1,1))-AVERAGE(OFFSET($H$3,0,0,'Données projet'!$E$10+1,1))</f>
        <v>344.29957955721721</v>
      </c>
      <c r="AO20" s="59">
        <f t="shared" si="36"/>
        <v>297.12790038882594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7.1739130434782608</v>
      </c>
      <c r="BD20" s="12">
        <f>IF('Données projet'!$A$88&gt;35,BD19+BC20-BL19,IF(A20&lt;'Données projet'!$A$88,$BA$205^A20,IF(A20='Données projet'!$A$88,'Données projet'!$B$88,BD19+BC20-BL19)))</f>
        <v>43.552177328050611</v>
      </c>
      <c r="BE20" s="13">
        <f>BD20*VLOOKUP('Données projet'!$B$11,Paramètres!$A$1:$I$89,3,0)*VLOOKUP('Données projet'!$B$11,Paramètres!$A$1:$I$89,5,0)</f>
        <v>20.382418989527686</v>
      </c>
      <c r="BF20" s="13">
        <f t="shared" si="37"/>
        <v>6.6131812139802273</v>
      </c>
      <c r="BG20" s="20">
        <f t="shared" si="7"/>
        <v>47.017337021109604</v>
      </c>
      <c r="BH20" s="59">
        <f t="shared" si="8"/>
        <v>340.35067035444291</v>
      </c>
      <c r="BI20" s="59">
        <f ca="1">AVERAGE(OFFSET($BH$3,0,0,'Données projet'!$E$11+1,1))-AVERAGE(OFFSET($H$3,0,0,'Données projet'!$E$11+1,1))</f>
        <v>234.83702199169585</v>
      </c>
      <c r="BJ20" s="59">
        <f t="shared" si="38"/>
        <v>248.83008816685089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7.1739130434782608</v>
      </c>
      <c r="BY20" s="12">
        <f>IF('Données projet'!$A$114&gt;35,BY19+BX20-CG19,IF(A20&lt;'Données projet'!$A$114,$BV$205^A20,IF(A20='Données projet'!$A$114,'Données projet'!$B$114,BY19+BX20-CG19)))</f>
        <v>43.552177328050611</v>
      </c>
      <c r="BZ20" s="13">
        <f>BY20*VLOOKUP('Données projet'!$B$12,Paramètres!$A$1:$I$89,3,0)*VLOOKUP('Données projet'!$B$12,Paramètres!$A$1:$I$89,5,0)</f>
        <v>19.250062378998372</v>
      </c>
      <c r="CA20" s="13">
        <f t="shared" si="39"/>
        <v>6.2874754857827</v>
      </c>
      <c r="CB20" s="20">
        <f t="shared" si="10"/>
        <v>44.477878447827031</v>
      </c>
      <c r="CC20" s="59">
        <f t="shared" si="11"/>
        <v>337.81121178116035</v>
      </c>
      <c r="CD20" s="59">
        <f ca="1">AVERAGE(OFFSET($CC$3,0,0,'Données projet'!$E$12+1,1))-AVERAGE(OFFSET($H$3,0,0,'Données projet'!$E$12+1,1))</f>
        <v>220.26537310502334</v>
      </c>
      <c r="CE20" s="59">
        <f t="shared" si="40"/>
        <v>233.26853625122016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7.15</v>
      </c>
      <c r="N21" s="13">
        <f>IF('Données projet'!$A$36&gt;35,N20+M21-V20,IF(A21&lt;'Données projet'!$A$36,$K$205^A21,IF(A21='Données projet'!$A$36,'Données projet'!$B$36,N20+M21-V20)))</f>
        <v>87.056746725202245</v>
      </c>
      <c r="O21" s="13">
        <f>N21*VLOOKUP('Données projet'!$B$9,Paramètres!$A$1:$I$89,3,0)*VLOOKUP('Données projet'!$B$9,Paramètres!$A$1:$I$89,5,0)</f>
        <v>40.742557467394647</v>
      </c>
      <c r="P21" s="13">
        <f t="shared" si="33"/>
        <v>12.195250656950169</v>
      </c>
      <c r="Q21" s="20">
        <f t="shared" si="2"/>
        <v>92.200015816567202</v>
      </c>
      <c r="R21" s="59">
        <f t="shared" si="0"/>
        <v>385.53334914990052</v>
      </c>
      <c r="S21" s="59">
        <f ca="1">AVERAGE(OFFSET($R$3,0,0,'Données projet'!$E$9+1,1))-AVERAGE(OFFSET($H$3,0,0,'Données projet'!$E$9+1,1))</f>
        <v>263.37813242097957</v>
      </c>
      <c r="T21" s="59">
        <f t="shared" si="34"/>
        <v>314.89350816766904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9.9</v>
      </c>
      <c r="AI21" s="13">
        <f>IF('Données projet'!$A$62&gt;35,AI20+AH21-AQ20,IF(A21&lt;'Données projet'!$A$62,$AF$205^A21,IF(A21='Données projet'!$A$62,'Données projet'!$B$62,AI20+AH21-AQ20)))</f>
        <v>116.68060471031727</v>
      </c>
      <c r="AJ21" s="13">
        <f>AI21*VLOOKUP('Données projet'!$B$10,Paramètres!$A$1:$I$89,3,0)*VLOOKUP('Données projet'!$B$10,Paramètres!$A$1:$I$89,5,0)</f>
        <v>47.022283698257866</v>
      </c>
      <c r="AK21" s="13">
        <f t="shared" si="35"/>
        <v>13.842025008326923</v>
      </c>
      <c r="AL21" s="20">
        <f t="shared" si="4"/>
        <v>106.00533766396849</v>
      </c>
      <c r="AM21" s="59">
        <f t="shared" si="5"/>
        <v>399.33867099730179</v>
      </c>
      <c r="AN21" s="59">
        <f ca="1">AVERAGE(OFFSET($AM$3,0,0,'Données projet'!$E$10+1,1))-AVERAGE(OFFSET($H$3,0,0,'Données projet'!$E$10+1,1))</f>
        <v>344.29957955721721</v>
      </c>
      <c r="AO21" s="59">
        <f t="shared" si="36"/>
        <v>297.12790038882594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7.1739130434782608</v>
      </c>
      <c r="BD21" s="12">
        <f>IF('Données projet'!$A$88&gt;35,BD20+BC21-BL20,IF(A21&lt;'Données projet'!$A$88,$BA$205^A21,IF(A21='Données projet'!$A$88,'Données projet'!$B$88,BD20+BC21-BL20)))</f>
        <v>54.377873141698466</v>
      </c>
      <c r="BE21" s="13">
        <f>BD21*VLOOKUP('Données projet'!$B$11,Paramètres!$A$1:$I$89,3,0)*VLOOKUP('Données projet'!$B$11,Paramètres!$A$1:$I$89,5,0)</f>
        <v>25.448844630314881</v>
      </c>
      <c r="BF21" s="13">
        <f t="shared" si="37"/>
        <v>8.0463769054143359</v>
      </c>
      <c r="BG21" s="20">
        <f t="shared" si="7"/>
        <v>58.337510841395044</v>
      </c>
      <c r="BH21" s="59">
        <f t="shared" si="8"/>
        <v>351.67084417472836</v>
      </c>
      <c r="BI21" s="59">
        <f ca="1">AVERAGE(OFFSET($BH$3,0,0,'Données projet'!$E$11+1,1))-AVERAGE(OFFSET($H$3,0,0,'Données projet'!$E$11+1,1))</f>
        <v>234.83702199169585</v>
      </c>
      <c r="BJ21" s="59">
        <f t="shared" si="38"/>
        <v>248.83008816685089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7.1739130434782608</v>
      </c>
      <c r="BY21" s="12">
        <f>IF('Données projet'!$A$114&gt;35,BY20+BX21-CG20,IF(A21&lt;'Données projet'!$A$114,$BV$205^A21,IF(A21='Données projet'!$A$114,'Données projet'!$B$114,BY20+BX21-CG20)))</f>
        <v>54.377873141698466</v>
      </c>
      <c r="BZ21" s="13">
        <f>BY21*VLOOKUP('Données projet'!$B$12,Paramètres!$A$1:$I$89,3,0)*VLOOKUP('Données projet'!$B$12,Paramètres!$A$1:$I$89,5,0)</f>
        <v>24.035019928630724</v>
      </c>
      <c r="CA21" s="13">
        <f t="shared" si="39"/>
        <v>7.6500848691717076</v>
      </c>
      <c r="CB21" s="20">
        <f t="shared" si="10"/>
        <v>55.184890856172565</v>
      </c>
      <c r="CC21" s="59">
        <f t="shared" si="11"/>
        <v>348.51822418950587</v>
      </c>
      <c r="CD21" s="59">
        <f ca="1">AVERAGE(OFFSET($CC$3,0,0,'Données projet'!$E$12+1,1))-AVERAGE(OFFSET($H$3,0,0,'Données projet'!$E$12+1,1))</f>
        <v>220.26537310502334</v>
      </c>
      <c r="CE21" s="59">
        <f t="shared" si="40"/>
        <v>233.26853625122016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7.15</v>
      </c>
      <c r="N22" s="13">
        <f>IF('Données projet'!$A$36&gt;35,N21+M22-V21,IF(A22&lt;'Données projet'!$A$36,$K$205^A22,IF(A22='Données projet'!$A$36,'Données projet'!$B$36,N21+M22-V21)))</f>
        <v>111.57560119355814</v>
      </c>
      <c r="O22" s="13">
        <f>N22*VLOOKUP('Données projet'!$B$9,Paramètres!$A$1:$I$89,3,0)*VLOOKUP('Données projet'!$B$9,Paramètres!$A$1:$I$89,5,0)</f>
        <v>52.217381358585207</v>
      </c>
      <c r="P22" s="13">
        <f t="shared" si="33"/>
        <v>15.184953880177051</v>
      </c>
      <c r="Q22" s="20">
        <f t="shared" si="2"/>
        <v>117.39240054084426</v>
      </c>
      <c r="R22" s="59">
        <f t="shared" si="0"/>
        <v>410.72573387417759</v>
      </c>
      <c r="S22" s="59">
        <f ca="1">AVERAGE(OFFSET($R$3,0,0,'Données projet'!$E$9+1,1))-AVERAGE(OFFSET($H$3,0,0,'Données projet'!$E$9+1,1))</f>
        <v>263.37813242097957</v>
      </c>
      <c r="T22" s="59">
        <f t="shared" si="34"/>
        <v>314.89350816766904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9.9</v>
      </c>
      <c r="AI22" s="13">
        <f>IF('Données projet'!$A$62&gt;35,AI21+AH22-AQ21,IF(A22&lt;'Données projet'!$A$62,$AF$205^A22,IF(A22='Données projet'!$A$62,'Données projet'!$B$62,AI21+AH22-AQ21)))</f>
        <v>151.99592011841233</v>
      </c>
      <c r="AJ22" s="13">
        <f>AI22*VLOOKUP('Données projet'!$B$10,Paramètres!$A$1:$I$89,3,0)*VLOOKUP('Données projet'!$B$10,Paramètres!$A$1:$I$89,5,0)</f>
        <v>61.254355807720167</v>
      </c>
      <c r="AK22" s="13">
        <f t="shared" si="35"/>
        <v>17.485026612500423</v>
      </c>
      <c r="AL22" s="20">
        <f t="shared" si="4"/>
        <v>137.13775771521753</v>
      </c>
      <c r="AM22" s="59">
        <f t="shared" si="5"/>
        <v>430.47109104855087</v>
      </c>
      <c r="AN22" s="59">
        <f ca="1">AVERAGE(OFFSET($AM$3,0,0,'Données projet'!$E$10+1,1))-AVERAGE(OFFSET($H$3,0,0,'Données projet'!$E$10+1,1))</f>
        <v>344.29957955721721</v>
      </c>
      <c r="AO22" s="59">
        <f t="shared" si="36"/>
        <v>297.12790038882594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7.1739130434782608</v>
      </c>
      <c r="BD22" s="12">
        <f>IF('Données projet'!$A$88&gt;35,BD21+BC22-BL21,IF(A22&lt;'Données projet'!$A$88,$BA$205^A22,IF(A22='Données projet'!$A$88,'Données projet'!$B$88,BD21+BC22-BL21)))</f>
        <v>67.894495036191216</v>
      </c>
      <c r="BE22" s="13">
        <f>BD22*VLOOKUP('Données projet'!$B$11,Paramètres!$A$1:$I$89,3,0)*VLOOKUP('Données projet'!$B$11,Paramètres!$A$1:$I$89,5,0)</f>
        <v>31.774623676937491</v>
      </c>
      <c r="BF22" s="13">
        <f t="shared" si="37"/>
        <v>9.7901719624915806</v>
      </c>
      <c r="BG22" s="20">
        <f t="shared" si="7"/>
        <v>72.392019072005624</v>
      </c>
      <c r="BH22" s="59">
        <f t="shared" si="8"/>
        <v>365.72535240533892</v>
      </c>
      <c r="BI22" s="59">
        <f ca="1">AVERAGE(OFFSET($BH$3,0,0,'Données projet'!$E$11+1,1))-AVERAGE(OFFSET($H$3,0,0,'Données projet'!$E$11+1,1))</f>
        <v>234.83702199169585</v>
      </c>
      <c r="BJ22" s="59">
        <f t="shared" si="38"/>
        <v>248.83008816685089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7.1739130434782608</v>
      </c>
      <c r="BY22" s="12">
        <f>IF('Données projet'!$A$114&gt;35,BY21+BX22-CG21,IF(A22&lt;'Données projet'!$A$114,$BV$205^A22,IF(A22='Données projet'!$A$114,'Données projet'!$B$114,BY21+BX22-CG21)))</f>
        <v>67.894495036191216</v>
      </c>
      <c r="BZ22" s="13">
        <f>BY22*VLOOKUP('Données projet'!$B$12,Paramètres!$A$1:$I$89,3,0)*VLOOKUP('Données projet'!$B$12,Paramètres!$A$1:$I$89,5,0)</f>
        <v>30.009366805996521</v>
      </c>
      <c r="CA22" s="13">
        <f t="shared" si="39"/>
        <v>9.3079962916538594</v>
      </c>
      <c r="CB22" s="20">
        <f t="shared" si="10"/>
        <v>68.477740728407738</v>
      </c>
      <c r="CC22" s="59">
        <f t="shared" si="11"/>
        <v>361.81107406174107</v>
      </c>
      <c r="CD22" s="59">
        <f ca="1">AVERAGE(OFFSET($CC$3,0,0,'Données projet'!$E$12+1,1))-AVERAGE(OFFSET($H$3,0,0,'Données projet'!$E$12+1,1))</f>
        <v>220.26537310502334</v>
      </c>
      <c r="CE22" s="59">
        <f t="shared" si="40"/>
        <v>233.26853625122016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143</v>
      </c>
      <c r="L23" s="12">
        <f>VLOOKUP(A23,'Données projet'!$A$35:$I$55,9,0)</f>
        <v>7.15</v>
      </c>
      <c r="M23" s="12">
        <f t="array" ref="M23">INDEX(L:L,MIN(IF(ISNUMBER(L23:L219),ROW(L23:L219),"")))</f>
        <v>7.15</v>
      </c>
      <c r="N23" s="13">
        <f>IF('Données projet'!$A$36&gt;35,N22+M23-V22,IF(A23&lt;'Données projet'!$A$36,$K$205^A23,IF(A23='Données projet'!$A$36,'Données projet'!$B$36,N22+M23-V22)))</f>
        <v>143</v>
      </c>
      <c r="O23" s="13">
        <f>N23*VLOOKUP('Données projet'!$B$9,Paramètres!$A$1:$I$89,3,0)*VLOOKUP('Données projet'!$B$9,Paramètres!$A$1:$I$89,5,0)</f>
        <v>66.923999999999992</v>
      </c>
      <c r="P23" s="13">
        <f t="shared" si="33"/>
        <v>18.90759204786767</v>
      </c>
      <c r="Q23" s="20">
        <f t="shared" si="2"/>
        <v>149.49002281670283</v>
      </c>
      <c r="R23" s="59">
        <f t="shared" si="0"/>
        <v>442.82335615003615</v>
      </c>
      <c r="S23" s="59">
        <f ca="1">AVERAGE(OFFSET($R$3,0,0,'Données projet'!$E$9+1,1))-AVERAGE(OFFSET($H$3,0,0,'Données projet'!$E$9+1,1))</f>
        <v>263.37813242097957</v>
      </c>
      <c r="T23" s="59">
        <f t="shared" si="34"/>
        <v>314.89350816766904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48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8.1627178030982179</v>
      </c>
      <c r="AB23" s="21">
        <f>EXP(-LN(2)/2)*AB22+(1-EXP(-LN(2)/2))/(LN(2)/2)*V23*Y23*VLOOKUP('Données projet'!$B$9,Paramètres!$A$1:$I$89,3,0)*0.475*44/12</f>
        <v>12.717233165817262</v>
      </c>
      <c r="AC23" s="22">
        <f t="shared" si="3"/>
        <v>20.87995096891548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198</v>
      </c>
      <c r="AG23" s="12">
        <f>VLOOKUP(A23,'Données projet'!$A$61:$I$81,9,0)</f>
        <v>9.9</v>
      </c>
      <c r="AH23" s="12">
        <f t="array" ref="AH23">INDEX(AG:AG,MIN(IF(ISNUMBER(AG23:AG219),ROW(AG23:AG219),"")))</f>
        <v>9.9</v>
      </c>
      <c r="AI23" s="13">
        <f>IF('Données projet'!$A$62&gt;35,AI22+AH23-AQ22,IF(A23&lt;'Données projet'!$A$62,$AF$205^A23,IF(A23='Données projet'!$A$62,'Données projet'!$B$62,AI22+AH23-AQ22)))</f>
        <v>198</v>
      </c>
      <c r="AJ23" s="13">
        <f>AI23*VLOOKUP('Données projet'!$B$10,Paramètres!$A$1:$I$89,3,0)*VLOOKUP('Données projet'!$B$10,Paramètres!$A$1:$I$89,5,0)</f>
        <v>79.794000000000011</v>
      </c>
      <c r="AK23" s="13">
        <f t="shared" si="35"/>
        <v>22.086808502074891</v>
      </c>
      <c r="AL23" s="20">
        <f t="shared" si="4"/>
        <v>177.44240814111376</v>
      </c>
      <c r="AM23" s="59">
        <f t="shared" si="5"/>
        <v>470.77574147444705</v>
      </c>
      <c r="AN23" s="59">
        <f ca="1">AVERAGE(OFFSET($AM$3,0,0,'Données projet'!$E$10+1,1))-AVERAGE(OFFSET($H$3,0,0,'Données projet'!$E$10+1,1))</f>
        <v>344.29957955721721</v>
      </c>
      <c r="AO23" s="59">
        <f t="shared" si="36"/>
        <v>297.12790038882594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49</v>
      </c>
      <c r="AR23" s="16">
        <f>IF(ISNA(VLOOKUP(A23,'Données projet'!$A$61:$I$81,5,0)),0%,VLOOKUP(A23,'Données projet'!$A$61:$I$81,5,0)*VLOOKUP('Données projet'!$B$10,Paramètres!$A$1:$I$89,7,0))</f>
        <v>0.13750000000000001</v>
      </c>
      <c r="AS23" s="16">
        <f>IF(ISNA(VLOOKUP(A23,'Données projet'!$A$61:$I$81,6,0)),0%,VLOOKUP(A23,'Données projet'!$A$61:$I$81,6,0)*VLOOKUP('Données projet'!$B$10,Paramètres!$A$1:$I$89,7,0))</f>
        <v>0.20350000000000001</v>
      </c>
      <c r="AT23" s="16">
        <f>IF(ISNA(VLOOKUP(A23,'Données projet'!$A$61:$I$81,7,0)),0%,VLOOKUP(A23,'Données projet'!$A$61:$I$81,7,0))</f>
        <v>0.38</v>
      </c>
      <c r="AU23" s="21">
        <f>EXP(-LN(2)/35)*AU22+(1-EXP(-LN(2)/35))/(LN(2)/35)*AQ23*AR23*VLOOKUP('Données projet'!$B$10,Paramètres!$A$1:$I$89,3,0)*0.475*44/12</f>
        <v>3.6019043914651334</v>
      </c>
      <c r="AV23" s="21">
        <f>EXP(-LN(2)/25)*AV22+(1-EXP(-LN(2)/25))/(LN(2)/25)*Calculateur!AQ23*Calculateur!AS23*VLOOKUP('Données projet'!$B$10,Paramètres!$A$1:$I$89,3,0)*0.475*44/12</f>
        <v>5.3098290357352917</v>
      </c>
      <c r="AW23" s="21">
        <f>EXP(-LN(2)/2)*AW22+(1-EXP(-LN(2)/2))/(LN(2)/2)*AQ23*AT23*VLOOKUP('Données projet'!$B$10,Paramètres!$A$1:$I$89,3,0)*0.475*44/12</f>
        <v>8.4961126481169469</v>
      </c>
      <c r="AX23" s="21">
        <f t="shared" si="6"/>
        <v>17.407846075317373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7.1739130434782608</v>
      </c>
      <c r="BD23" s="12">
        <f>IF('Données projet'!$A$88&gt;35,BD22+BC23-BL22,IF(A23&lt;'Données projet'!$A$88,$BA$205^A23,IF(A23='Données projet'!$A$88,'Données projet'!$B$88,BD22+BC23-BL22)))</f>
        <v>84.770922250075557</v>
      </c>
      <c r="BE23" s="13">
        <f>BD23*VLOOKUP('Données projet'!$B$11,Paramètres!$A$1:$I$89,3,0)*VLOOKUP('Données projet'!$B$11,Paramètres!$A$1:$I$89,5,0)</f>
        <v>39.672791613035358</v>
      </c>
      <c r="BF23" s="13">
        <f t="shared" si="37"/>
        <v>11.911878871925735</v>
      </c>
      <c r="BG23" s="20">
        <f t="shared" si="7"/>
        <v>89.843301094640552</v>
      </c>
      <c r="BH23" s="59">
        <f t="shared" si="8"/>
        <v>383.17663442797385</v>
      </c>
      <c r="BI23" s="59">
        <f ca="1">AVERAGE(OFFSET($BH$3,0,0,'Données projet'!$E$11+1,1))-AVERAGE(OFFSET($H$3,0,0,'Données projet'!$E$11+1,1))</f>
        <v>234.83702199169585</v>
      </c>
      <c r="BJ23" s="59">
        <f t="shared" si="38"/>
        <v>248.83008816685089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7.1739130434782608</v>
      </c>
      <c r="BY23" s="12">
        <f>IF('Données projet'!$A$114&gt;35,BY22+BX23-CG22,IF(A23&lt;'Données projet'!$A$114,$BV$205^A23,IF(A23='Données projet'!$A$114,'Données projet'!$B$114,BY22+BX23-CG22)))</f>
        <v>84.770922250075557</v>
      </c>
      <c r="BZ23" s="13">
        <f>BY23*VLOOKUP('Données projet'!$B$12,Paramètres!$A$1:$I$89,3,0)*VLOOKUP('Données projet'!$B$12,Paramètres!$A$1:$I$89,5,0)</f>
        <v>37.468747634533401</v>
      </c>
      <c r="CA23" s="13">
        <f t="shared" si="39"/>
        <v>11.325207033268191</v>
      </c>
      <c r="CB23" s="20">
        <f t="shared" si="10"/>
        <v>84.982804379754427</v>
      </c>
      <c r="CC23" s="59">
        <f t="shared" si="11"/>
        <v>378.31613771308776</v>
      </c>
      <c r="CD23" s="59">
        <f ca="1">AVERAGE(OFFSET($CC$3,0,0,'Données projet'!$E$12+1,1))-AVERAGE(OFFSET($H$3,0,0,'Données projet'!$E$12+1,1))</f>
        <v>220.26537310502334</v>
      </c>
      <c r="CE23" s="59">
        <f t="shared" si="40"/>
        <v>233.26853625122016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33</v>
      </c>
      <c r="N24" s="13">
        <f>IF('Données projet'!$A$36&gt;35,N23+M24-V23,IF(A24&lt;'Données projet'!$A$36,$K$205^A24,IF(A24='Données projet'!$A$36,'Données projet'!$B$36,N23+M24-V23)))</f>
        <v>128</v>
      </c>
      <c r="O24" s="13">
        <f>N24*VLOOKUP('Données projet'!$B$9,Paramètres!$A$1:$I$89,3,0)*VLOOKUP('Données projet'!$B$9,Paramètres!$A$1:$I$89,5,0)</f>
        <v>59.903999999999996</v>
      </c>
      <c r="P24" s="13">
        <f t="shared" si="33"/>
        <v>17.143994938960184</v>
      </c>
      <c r="Q24" s="20">
        <f t="shared" si="2"/>
        <v>134.19192451868898</v>
      </c>
      <c r="R24" s="59">
        <f t="shared" si="0"/>
        <v>427.52525785202226</v>
      </c>
      <c r="S24" s="59">
        <f ca="1">AVERAGE(OFFSET($R$3,0,0,'Données projet'!$E$9+1,1))-AVERAGE(OFFSET($H$3,0,0,'Données projet'!$E$9+1,1))</f>
        <v>263.37813242097957</v>
      </c>
      <c r="T24" s="59">
        <f t="shared" si="34"/>
        <v>314.89350816766904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7.9395078555138241</v>
      </c>
      <c r="AB24" s="21">
        <f>EXP(-LN(2)/2)*AB23+(1-EXP(-LN(2)/2))/(LN(2)/2)*V24*Y24*VLOOKUP('Données projet'!$B$9,Paramètres!$A$1:$I$89,3,0)*0.475*44/12</f>
        <v>8.9924418094798533</v>
      </c>
      <c r="AC24" s="22">
        <f t="shared" si="3"/>
        <v>16.931949664993677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29.8</v>
      </c>
      <c r="AI24" s="13">
        <f>IF('Données projet'!$A$62&gt;35,AI23+AH24-AQ23,IF(A24&lt;'Données projet'!$A$62,$AF$205^A24,IF(A24='Données projet'!$A$62,'Données projet'!$B$62,AI23+AH24-AQ23)))</f>
        <v>178.8</v>
      </c>
      <c r="AJ24" s="13">
        <f>AI24*VLOOKUP('Données projet'!$B$10,Paramètres!$A$1:$I$89,3,0)*VLOOKUP('Données projet'!$B$10,Paramètres!$A$1:$I$89,5,0)</f>
        <v>72.056400000000011</v>
      </c>
      <c r="AK24" s="13">
        <f t="shared" si="35"/>
        <v>20.183270438390934</v>
      </c>
      <c r="AL24" s="20">
        <f t="shared" si="4"/>
        <v>160.65075934686422</v>
      </c>
      <c r="AM24" s="59">
        <f t="shared" si="5"/>
        <v>453.98409268019753</v>
      </c>
      <c r="AN24" s="59">
        <f ca="1">AVERAGE(OFFSET($AM$3,0,0,'Données projet'!$E$10+1,1))-AVERAGE(OFFSET($H$3,0,0,'Données projet'!$E$10+1,1))</f>
        <v>344.29957955721721</v>
      </c>
      <c r="AO24" s="59">
        <f t="shared" si="36"/>
        <v>297.12790038882594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3.5312732432932505</v>
      </c>
      <c r="AV24" s="21">
        <f>EXP(-LN(2)/25)*AV23+(1-EXP(-LN(2)/25))/(LN(2)/25)*Calculateur!AQ24*Calculateur!AS24*VLOOKUP('Données projet'!$B$10,Paramètres!$A$1:$I$89,3,0)*0.475*44/12</f>
        <v>5.1646314815213366</v>
      </c>
      <c r="AW24" s="21">
        <f>EXP(-LN(2)/2)*AW23+(1-EXP(-LN(2)/2))/(LN(2)/2)*AQ24*AT24*VLOOKUP('Données projet'!$B$10,Paramètres!$A$1:$I$89,3,0)*0.475*44/12</f>
        <v>6.0076588672082893</v>
      </c>
      <c r="AX24" s="21">
        <f t="shared" si="6"/>
        <v>14.703563592022878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7.1739130434782608</v>
      </c>
      <c r="BD24" s="12">
        <f>IF('Données projet'!$A$88&gt;35,BD23+BC24-BL23,IF(A24&lt;'Données projet'!$A$88,$BA$205^A24,IF(A24='Données projet'!$A$88,'Données projet'!$B$88,BD23+BC24-BL23)))</f>
        <v>105.84229627597635</v>
      </c>
      <c r="BE24" s="13">
        <f>BD24*VLOOKUP('Données projet'!$B$11,Paramètres!$A$1:$I$89,3,0)*VLOOKUP('Données projet'!$B$11,Paramètres!$A$1:$I$89,5,0)</f>
        <v>49.534194657156931</v>
      </c>
      <c r="BF24" s="13">
        <f t="shared" si="37"/>
        <v>14.493397950828152</v>
      </c>
      <c r="BG24" s="20">
        <f t="shared" si="7"/>
        <v>111.51472379224067</v>
      </c>
      <c r="BH24" s="59">
        <f t="shared" si="8"/>
        <v>404.84805712557397</v>
      </c>
      <c r="BI24" s="59">
        <f ca="1">AVERAGE(OFFSET($BH$3,0,0,'Données projet'!$E$11+1,1))-AVERAGE(OFFSET($H$3,0,0,'Données projet'!$E$11+1,1))</f>
        <v>234.83702199169585</v>
      </c>
      <c r="BJ24" s="59">
        <f t="shared" si="38"/>
        <v>248.83008816685089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7.1739130434782608</v>
      </c>
      <c r="BY24" s="12">
        <f>IF('Données projet'!$A$114&gt;35,BY23+BX24-CG23,IF(A24&lt;'Données projet'!$A$114,$BV$205^A24,IF(A24='Données projet'!$A$114,'Données projet'!$B$114,BY23+BX24-CG23)))</f>
        <v>105.84229627597635</v>
      </c>
      <c r="BZ24" s="13">
        <f>BY24*VLOOKUP('Données projet'!$B$12,Paramètres!$A$1:$I$89,3,0)*VLOOKUP('Données projet'!$B$12,Paramètres!$A$1:$I$89,5,0)</f>
        <v>46.782294953981555</v>
      </c>
      <c r="CA24" s="13">
        <f t="shared" si="39"/>
        <v>13.77958373934824</v>
      </c>
      <c r="CB24" s="20">
        <f t="shared" si="10"/>
        <v>105.47860539088272</v>
      </c>
      <c r="CC24" s="59">
        <f t="shared" si="11"/>
        <v>398.81193872421602</v>
      </c>
      <c r="CD24" s="59">
        <f ca="1">AVERAGE(OFFSET($CC$3,0,0,'Données projet'!$E$12+1,1))-AVERAGE(OFFSET($H$3,0,0,'Données projet'!$E$12+1,1))</f>
        <v>220.26537310502334</v>
      </c>
      <c r="CE24" s="59">
        <f t="shared" si="40"/>
        <v>233.26853625122016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33</v>
      </c>
      <c r="N25" s="13">
        <f>IF('Données projet'!$A$36&gt;35,N24+M25-V24,IF(A25&lt;'Données projet'!$A$36,$K$205^A25,IF(A25='Données projet'!$A$36,'Données projet'!$B$36,N24+M25-V24)))</f>
        <v>161</v>
      </c>
      <c r="O25" s="13">
        <f>N25*VLOOKUP('Données projet'!$B$9,Paramètres!$A$1:$I$89,3,0)*VLOOKUP('Données projet'!$B$9,Paramètres!$A$1:$I$89,5,0)</f>
        <v>75.347999999999999</v>
      </c>
      <c r="P25" s="13">
        <f t="shared" si="33"/>
        <v>20.99581051771704</v>
      </c>
      <c r="Q25" s="20">
        <f t="shared" si="2"/>
        <v>167.79880331835713</v>
      </c>
      <c r="R25" s="59">
        <f t="shared" si="0"/>
        <v>461.13213665169042</v>
      </c>
      <c r="S25" s="59">
        <f ca="1">AVERAGE(OFFSET($R$3,0,0,'Données projet'!$E$9+1,1))-AVERAGE(OFFSET($H$3,0,0,'Données projet'!$E$9+1,1))</f>
        <v>263.37813242097957</v>
      </c>
      <c r="T25" s="59">
        <f t="shared" si="34"/>
        <v>314.89350816766904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7.722401595684226</v>
      </c>
      <c r="AB25" s="21">
        <f>EXP(-LN(2)/2)*AB24+(1-EXP(-LN(2)/2))/(LN(2)/2)*V25*Y25*VLOOKUP('Données projet'!$B$9,Paramètres!$A$1:$I$89,3,0)*0.475*44/12</f>
        <v>6.358616582908633</v>
      </c>
      <c r="AC25" s="22">
        <f t="shared" si="3"/>
        <v>14.08101817859286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29.8</v>
      </c>
      <c r="AI25" s="13">
        <f>IF('Données projet'!$A$62&gt;35,AI24+AH25-AQ24,IF(A25&lt;'Données projet'!$A$62,$AF$205^A25,IF(A25='Données projet'!$A$62,'Données projet'!$B$62,AI24+AH25-AQ24)))</f>
        <v>208.60000000000002</v>
      </c>
      <c r="AJ25" s="13">
        <f>AI25*VLOOKUP('Données projet'!$B$10,Paramètres!$A$1:$I$89,3,0)*VLOOKUP('Données projet'!$B$10,Paramètres!$A$1:$I$89,5,0)</f>
        <v>84.065800000000024</v>
      </c>
      <c r="AK25" s="13">
        <f t="shared" si="35"/>
        <v>23.128407082409389</v>
      </c>
      <c r="AL25" s="20">
        <f t="shared" si="4"/>
        <v>186.69657733519637</v>
      </c>
      <c r="AM25" s="59">
        <f t="shared" si="5"/>
        <v>480.02991066852968</v>
      </c>
      <c r="AN25" s="59">
        <f ca="1">AVERAGE(OFFSET($AM$3,0,0,'Données projet'!$E$10+1,1))-AVERAGE(OFFSET($H$3,0,0,'Données projet'!$E$10+1,1))</f>
        <v>344.29957955721721</v>
      </c>
      <c r="AO25" s="59">
        <f t="shared" si="36"/>
        <v>297.12790038882594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3.4620271288562718</v>
      </c>
      <c r="AV25" s="21">
        <f>EXP(-LN(2)/25)*AV24+(1-EXP(-LN(2)/25))/(LN(2)/25)*Calculateur!AQ25*Calculateur!AS25*VLOOKUP('Données projet'!$B$10,Paramètres!$A$1:$I$89,3,0)*0.475*44/12</f>
        <v>5.02340436206297</v>
      </c>
      <c r="AW25" s="21">
        <f>EXP(-LN(2)/2)*AW24+(1-EXP(-LN(2)/2))/(LN(2)/2)*AQ25*AT25*VLOOKUP('Données projet'!$B$10,Paramètres!$A$1:$I$89,3,0)*0.475*44/12</f>
        <v>4.2480563240584743</v>
      </c>
      <c r="AX25" s="21">
        <f t="shared" si="6"/>
        <v>12.733487814977716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7.1739130434782608</v>
      </c>
      <c r="BD25" s="12">
        <f>IF('Données projet'!$A$88&gt;35,BD24+BC25-BL24,IF(A25&lt;'Données projet'!$A$88,$BA$205^A25,IF(A25='Données projet'!$A$88,'Données projet'!$B$88,BD24+BC25-BL24)))</f>
        <v>132.15134840604583</v>
      </c>
      <c r="BE25" s="13">
        <f>BD25*VLOOKUP('Données projet'!$B$11,Paramètres!$A$1:$I$89,3,0)*VLOOKUP('Données projet'!$B$11,Paramètres!$A$1:$I$89,5,0)</f>
        <v>61.846831054029444</v>
      </c>
      <c r="BF25" s="13">
        <f t="shared" si="37"/>
        <v>17.634378792764753</v>
      </c>
      <c r="BG25" s="20">
        <f t="shared" si="7"/>
        <v>138.42977381649987</v>
      </c>
      <c r="BH25" s="59">
        <f t="shared" si="8"/>
        <v>431.76310714983322</v>
      </c>
      <c r="BI25" s="59">
        <f ca="1">AVERAGE(OFFSET($BH$3,0,0,'Données projet'!$E$11+1,1))-AVERAGE(OFFSET($H$3,0,0,'Données projet'!$E$11+1,1))</f>
        <v>234.83702199169585</v>
      </c>
      <c r="BJ25" s="59">
        <f t="shared" si="38"/>
        <v>248.83008816685089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7.1739130434782608</v>
      </c>
      <c r="BY25" s="12">
        <f>IF('Données projet'!$A$114&gt;35,BY24+BX25-CG24,IF(A25&lt;'Données projet'!$A$114,$BV$205^A25,IF(A25='Données projet'!$A$114,'Données projet'!$B$114,BY24+BX25-CG24)))</f>
        <v>132.15134840604583</v>
      </c>
      <c r="BZ25" s="13">
        <f>BY25*VLOOKUP('Données projet'!$B$12,Paramètres!$A$1:$I$89,3,0)*VLOOKUP('Données projet'!$B$12,Paramètres!$A$1:$I$89,5,0)</f>
        <v>58.410895995472266</v>
      </c>
      <c r="CA25" s="13">
        <f t="shared" si="39"/>
        <v>16.765868162227903</v>
      </c>
      <c r="CB25" s="20">
        <f t="shared" si="10"/>
        <v>130.93286424132782</v>
      </c>
      <c r="CC25" s="59">
        <f t="shared" si="11"/>
        <v>424.26619757466113</v>
      </c>
      <c r="CD25" s="59">
        <f ca="1">AVERAGE(OFFSET($CC$3,0,0,'Données projet'!$E$12+1,1))-AVERAGE(OFFSET($H$3,0,0,'Données projet'!$E$12+1,1))</f>
        <v>220.26537310502334</v>
      </c>
      <c r="CE25" s="59">
        <f t="shared" si="40"/>
        <v>233.26853625122016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33</v>
      </c>
      <c r="N26" s="13">
        <f>IF('Données projet'!$A$36&gt;35,N25+M26-V25,IF(A26&lt;'Données projet'!$A$36,$K$205^A26,IF(A26='Données projet'!$A$36,'Données projet'!$B$36,N25+M26-V25)))</f>
        <v>194</v>
      </c>
      <c r="O26" s="13">
        <f>N26*VLOOKUP('Données projet'!$B$9,Paramètres!$A$1:$I$89,3,0)*VLOOKUP('Données projet'!$B$9,Paramètres!$A$1:$I$89,5,0)</f>
        <v>90.792000000000002</v>
      </c>
      <c r="P26" s="13">
        <f t="shared" si="33"/>
        <v>24.756138813110173</v>
      </c>
      <c r="Q26" s="20">
        <f t="shared" si="2"/>
        <v>201.24634176616689</v>
      </c>
      <c r="R26" s="59">
        <f t="shared" si="0"/>
        <v>494.57967509950021</v>
      </c>
      <c r="S26" s="59">
        <f ca="1">AVERAGE(OFFSET($R$3,0,0,'Données projet'!$E$9+1,1))-AVERAGE(OFFSET($H$3,0,0,'Données projet'!$E$9+1,1))</f>
        <v>263.37813242097957</v>
      </c>
      <c r="T26" s="59">
        <f t="shared" si="34"/>
        <v>314.89350816766904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7.5112321179467907</v>
      </c>
      <c r="AB26" s="21">
        <f>EXP(-LN(2)/2)*AB25+(1-EXP(-LN(2)/2))/(LN(2)/2)*V26*Y26*VLOOKUP('Données projet'!$B$9,Paramètres!$A$1:$I$89,3,0)*0.475*44/12</f>
        <v>4.4962209047399275</v>
      </c>
      <c r="AC26" s="22">
        <f t="shared" si="3"/>
        <v>12.007453022686718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29.8</v>
      </c>
      <c r="AI26" s="13">
        <f>IF('Données projet'!$A$62&gt;35,AI25+AH26-AQ25,IF(A26&lt;'Données projet'!$A$62,$AF$205^A26,IF(A26='Données projet'!$A$62,'Données projet'!$B$62,AI25+AH26-AQ25)))</f>
        <v>238.40000000000003</v>
      </c>
      <c r="AJ26" s="13">
        <f>AI26*VLOOKUP('Données projet'!$B$10,Paramètres!$A$1:$I$89,3,0)*VLOOKUP('Données projet'!$B$10,Paramètres!$A$1:$I$89,5,0)</f>
        <v>96.075200000000024</v>
      </c>
      <c r="AK26" s="13">
        <f t="shared" si="35"/>
        <v>26.024800385407946</v>
      </c>
      <c r="AL26" s="20">
        <f t="shared" si="4"/>
        <v>212.65750067125222</v>
      </c>
      <c r="AM26" s="59">
        <f t="shared" si="5"/>
        <v>505.99083400458551</v>
      </c>
      <c r="AN26" s="59">
        <f ca="1">AVERAGE(OFFSET($AM$3,0,0,'Données projet'!$E$10+1,1))-AVERAGE(OFFSET($H$3,0,0,'Données projet'!$E$10+1,1))</f>
        <v>344.29957955721721</v>
      </c>
      <c r="AO26" s="59">
        <f t="shared" si="36"/>
        <v>297.12790038882594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3.3941388884874431</v>
      </c>
      <c r="AV26" s="21">
        <f>EXP(-LN(2)/25)*AV25+(1-EXP(-LN(2)/25))/(LN(2)/25)*Calculateur!AQ26*Calculateur!AS26*VLOOKUP('Données projet'!$B$10,Paramètres!$A$1:$I$89,3,0)*0.475*44/12</f>
        <v>4.8860391056130039</v>
      </c>
      <c r="AW26" s="21">
        <f>EXP(-LN(2)/2)*AW25+(1-EXP(-LN(2)/2))/(LN(2)/2)*AQ26*AT26*VLOOKUP('Données projet'!$B$10,Paramètres!$A$1:$I$89,3,0)*0.475*44/12</f>
        <v>3.0038294336041451</v>
      </c>
      <c r="AX26" s="21">
        <f t="shared" si="6"/>
        <v>11.284007427704591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>
        <f>VLOOKUP(A26,'Données projet'!$A$87:$I$107,2,0)</f>
        <v>165</v>
      </c>
      <c r="BB26" s="12">
        <f>VLOOKUP(A26,'Données projet'!$A$87:$I$107,9,0)</f>
        <v>7.1739130434782608</v>
      </c>
      <c r="BC26" s="12">
        <f t="array" ref="BC26">INDEX(BB:BB,MIN(IF(ISNUMBER(BB26:BB222),ROW(BB26:BB222),"")))</f>
        <v>7.1739130434782608</v>
      </c>
      <c r="BD26" s="12">
        <f>IF('Données projet'!$A$88&gt;35,BD25+BC26-BL25,IF(A26&lt;'Données projet'!$A$88,$BA$205^A26,IF(A26='Données projet'!$A$88,'Données projet'!$B$88,BD25+BC26-BL25)))</f>
        <v>165</v>
      </c>
      <c r="BE26" s="13">
        <f>BD26*VLOOKUP('Données projet'!$B$11,Paramètres!$A$1:$I$89,3,0)*VLOOKUP('Données projet'!$B$11,Paramètres!$A$1:$I$89,5,0)</f>
        <v>77.22</v>
      </c>
      <c r="BF26" s="13">
        <f t="shared" si="37"/>
        <v>21.456066856215884</v>
      </c>
      <c r="BG26" s="20">
        <f t="shared" si="7"/>
        <v>171.86081644124263</v>
      </c>
      <c r="BH26" s="59">
        <f t="shared" si="8"/>
        <v>465.19414977457598</v>
      </c>
      <c r="BI26" s="59">
        <f ca="1">AVERAGE(OFFSET($BH$3,0,0,'Données projet'!$E$11+1,1))-AVERAGE(OFFSET($H$3,0,0,'Données projet'!$E$11+1,1))</f>
        <v>234.83702199169585</v>
      </c>
      <c r="BJ26" s="59">
        <f t="shared" si="38"/>
        <v>248.83008816685089</v>
      </c>
      <c r="BK26" s="15">
        <f>IF(ISNA(VLOOKUP(A26,'Données projet'!$A$87:$I$107,3,0)),0,VLOOKUP(A26,'Données projet'!$A$87:$I$107,3,0))</f>
        <v>1</v>
      </c>
      <c r="BL26" s="15">
        <f>IF(ISNA(VLOOKUP(A26,'Données projet'!$A$87:$I$107,4,0)),0,VLOOKUP(A26,'Données projet'!$A$87:$I$107,4,0))</f>
        <v>55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0.27500000000000002</v>
      </c>
      <c r="BO26" s="16">
        <f>IF(ISNA(VLOOKUP(A26,'Données projet'!$A$87:$I$107,7,0)),0%,VLOOKUP(A26,'Données projet'!$A$87:$I$107,7,0))</f>
        <v>0.5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9.3531141493833747</v>
      </c>
      <c r="BR26" s="21">
        <f>EXP(-LN(2)/2)*BR25+(1-EXP(-LN(2)/2))/(LN(2)/2)*BL26*BO26*VLOOKUP('Données projet'!$B$11,Paramètres!$A$1:$I$89,3,0)*0.475*44/12</f>
        <v>14.571829669165615</v>
      </c>
      <c r="BS26" s="22">
        <f t="shared" si="9"/>
        <v>23.924943818548989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>
        <f>VLOOKUP(A26,'Données projet'!$A$113:$I$133,2,0)</f>
        <v>165</v>
      </c>
      <c r="BW26" s="12">
        <f>VLOOKUP(A26,'Données projet'!$A$113:$I$133,9,0)</f>
        <v>7.1739130434782608</v>
      </c>
      <c r="BX26" s="12">
        <f t="array" ref="BX26">INDEX(BW:BW,MIN(IF(ISNUMBER(BW26:BW222),ROW(BW26:BW222),"")))</f>
        <v>7.1739130434782608</v>
      </c>
      <c r="BY26" s="12">
        <f>IF('Données projet'!$A$114&gt;35,BY25+BX26-CG25,IF(A26&lt;'Données projet'!$A$114,$BV$205^A26,IF(A26='Données projet'!$A$114,'Données projet'!$B$114,BY25+BX26-CG25)))</f>
        <v>165</v>
      </c>
      <c r="BZ26" s="13">
        <f>BY26*VLOOKUP('Données projet'!$B$12,Paramètres!$A$1:$I$89,3,0)*VLOOKUP('Données projet'!$B$12,Paramètres!$A$1:$I$89,5,0)</f>
        <v>72.930000000000007</v>
      </c>
      <c r="CA26" s="13">
        <f t="shared" si="39"/>
        <v>20.39933430140773</v>
      </c>
      <c r="CB26" s="20">
        <f t="shared" si="10"/>
        <v>162.54859057495182</v>
      </c>
      <c r="CC26" s="59">
        <f t="shared" si="11"/>
        <v>455.8819239082851</v>
      </c>
      <c r="CD26" s="59">
        <f ca="1">AVERAGE(OFFSET($CC$3,0,0,'Données projet'!$E$12+1,1))-AVERAGE(OFFSET($H$3,0,0,'Données projet'!$E$12+1,1))</f>
        <v>220.26537310502334</v>
      </c>
      <c r="CE26" s="59">
        <f t="shared" si="40"/>
        <v>233.26853625122016</v>
      </c>
      <c r="CF26" s="15">
        <f>IF(ISNA(VLOOKUP(A26,'Données projet'!$A$113:$I$133,3,0)),0,VLOOKUP(A26,'Données projet'!$A$113:$I$133,3,0))</f>
        <v>1</v>
      </c>
      <c r="CG26" s="15">
        <f>IF(ISNA(VLOOKUP(A26,'Données projet'!$A$113:$I$133,4,0)),0,VLOOKUP(A26,'Données projet'!$A$113:$I$133,4,0))</f>
        <v>55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0.27500000000000002</v>
      </c>
      <c r="CJ26" s="16">
        <f>IF(ISNA(VLOOKUP(A26,'Données projet'!$A$113:$I$133,7,0)),0%,VLOOKUP(A26,'Données projet'!$A$113:$I$133,7,0))</f>
        <v>0.5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8.8334966966398554</v>
      </c>
      <c r="CM26" s="21">
        <f>EXP(-LN(2)/2)*CM25+(1-EXP(-LN(2)/2))/(LN(2)/2)*CG26*CJ26*VLOOKUP('Données projet'!$B$12,Paramètres!$A$1:$I$89,3,0)*0.475*44/12</f>
        <v>13.762283576434195</v>
      </c>
      <c r="CN26" s="22">
        <f t="shared" si="12"/>
        <v>22.595780273074048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227</v>
      </c>
      <c r="L27" s="12">
        <f>VLOOKUP(A27,'Données projet'!$A$35:$I$55,9,0)</f>
        <v>33</v>
      </c>
      <c r="M27" s="12">
        <f t="array" ref="M27">INDEX(L:L,MIN(IF(ISNUMBER(L27:L223),ROW(L27:L223),"")))</f>
        <v>33</v>
      </c>
      <c r="N27" s="13">
        <f>IF('Données projet'!$A$36&gt;35,N26+M27-V26,IF(A27&lt;'Données projet'!$A$36,$K$205^A27,IF(A27='Données projet'!$A$36,'Données projet'!$B$36,N26+M27-V26)))</f>
        <v>227</v>
      </c>
      <c r="O27" s="13">
        <f>N27*VLOOKUP('Données projet'!$B$9,Paramètres!$A$1:$I$89,3,0)*VLOOKUP('Données projet'!$B$9,Paramètres!$A$1:$I$89,5,0)</f>
        <v>106.236</v>
      </c>
      <c r="P27" s="13">
        <f t="shared" si="33"/>
        <v>28.442367793282877</v>
      </c>
      <c r="Q27" s="20">
        <f t="shared" si="2"/>
        <v>234.56482390663436</v>
      </c>
      <c r="R27" s="59">
        <f t="shared" si="0"/>
        <v>527.89815723996765</v>
      </c>
      <c r="S27" s="59">
        <f ca="1">AVERAGE(OFFSET($R$3,0,0,'Données projet'!$E$9+1,1))-AVERAGE(OFFSET($H$3,0,0,'Données projet'!$E$9+1,1))</f>
        <v>263.37813242097957</v>
      </c>
      <c r="T27" s="59">
        <f t="shared" si="34"/>
        <v>314.89350816766904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58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0.27500000000000002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17.169121092760019</v>
      </c>
      <c r="AB27" s="21">
        <f>EXP(-LN(2)/2)*AB26+(1-EXP(-LN(2)/2))/(LN(2)/2)*V27*Y27*VLOOKUP('Données projet'!$B$9,Paramètres!$A$1:$I$89,3,0)*0.475*44/12</f>
        <v>18.545965033483512</v>
      </c>
      <c r="AC27" s="22">
        <f t="shared" si="3"/>
        <v>35.715086126243534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29.8</v>
      </c>
      <c r="AI27" s="13">
        <f>IF('Données projet'!$A$62&gt;35,AI26+AH27-AQ26,IF(A27&lt;'Données projet'!$A$62,$AF$205^A27,IF(A27='Données projet'!$A$62,'Données projet'!$B$62,AI26+AH27-AQ26)))</f>
        <v>268.20000000000005</v>
      </c>
      <c r="AJ27" s="13">
        <f>AI27*VLOOKUP('Données projet'!$B$10,Paramètres!$A$1:$I$89,3,0)*VLOOKUP('Données projet'!$B$10,Paramètres!$A$1:$I$89,5,0)</f>
        <v>108.08460000000002</v>
      </c>
      <c r="AK27" s="13">
        <f t="shared" si="35"/>
        <v>28.879241062164258</v>
      </c>
      <c r="AL27" s="20">
        <f t="shared" si="4"/>
        <v>238.54535651660277</v>
      </c>
      <c r="AM27" s="59">
        <f t="shared" si="5"/>
        <v>531.87868984993611</v>
      </c>
      <c r="AN27" s="59">
        <f ca="1">AVERAGE(OFFSET($AM$3,0,0,'Données projet'!$E$10+1,1))-AVERAGE(OFFSET($H$3,0,0,'Données projet'!$E$10+1,1))</f>
        <v>344.29957955721721</v>
      </c>
      <c r="AO27" s="59">
        <f t="shared" si="36"/>
        <v>297.12790038882594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3.3275818951045091</v>
      </c>
      <c r="AV27" s="21">
        <f>EXP(-LN(2)/25)*AV26+(1-EXP(-LN(2)/25))/(LN(2)/25)*Calculateur!AQ27*Calculateur!AS27*VLOOKUP('Données projet'!$B$10,Paramètres!$A$1:$I$89,3,0)*0.475*44/12</f>
        <v>4.7524301093243873</v>
      </c>
      <c r="AW27" s="21">
        <f>EXP(-LN(2)/2)*AW26+(1-EXP(-LN(2)/2))/(LN(2)/2)*AQ27*AT27*VLOOKUP('Données projet'!$B$10,Paramètres!$A$1:$I$89,3,0)*0.475*44/12</f>
        <v>2.1240281620292372</v>
      </c>
      <c r="AX27" s="21">
        <f t="shared" si="6"/>
        <v>10.204040166458133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31.25</v>
      </c>
      <c r="BD27" s="12">
        <f>IF('Données projet'!$A$88&gt;35,BD26+BC27-BL26,IF(A27&lt;'Données projet'!$A$88,$BA$205^A27,IF(A27='Données projet'!$A$88,'Données projet'!$B$88,BD26+BC27-BL26)))</f>
        <v>141.25</v>
      </c>
      <c r="BE27" s="13">
        <f>BD27*VLOOKUP('Données projet'!$B$11,Paramètres!$A$1:$I$89,3,0)*VLOOKUP('Données projet'!$B$11,Paramètres!$A$1:$I$89,5,0)</f>
        <v>66.105000000000004</v>
      </c>
      <c r="BF27" s="13">
        <f t="shared" si="37"/>
        <v>18.702992547207845</v>
      </c>
      <c r="BG27" s="20">
        <f t="shared" si="7"/>
        <v>147.70725368638702</v>
      </c>
      <c r="BH27" s="59">
        <f t="shared" si="8"/>
        <v>441.04058701972031</v>
      </c>
      <c r="BI27" s="59">
        <f ca="1">AVERAGE(OFFSET($BH$3,0,0,'Données projet'!$E$11+1,1))-AVERAGE(OFFSET($H$3,0,0,'Données projet'!$E$11+1,1))</f>
        <v>234.83702199169585</v>
      </c>
      <c r="BJ27" s="59">
        <f t="shared" si="38"/>
        <v>248.83008816685089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9.0973527511095895</v>
      </c>
      <c r="BR27" s="21">
        <f>EXP(-LN(2)/2)*BR26+(1-EXP(-LN(2)/2))/(LN(2)/2)*BL27*BO27*VLOOKUP('Données projet'!$B$11,Paramètres!$A$1:$I$89,3,0)*0.475*44/12</f>
        <v>10.303839573362332</v>
      </c>
      <c r="BS27" s="22">
        <f t="shared" si="9"/>
        <v>19.401192324471921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31.25</v>
      </c>
      <c r="BY27" s="12">
        <f>IF('Données projet'!$A$114&gt;35,BY26+BX27-CG26,IF(A27&lt;'Données projet'!$A$114,$BV$205^A27,IF(A27='Données projet'!$A$114,'Données projet'!$B$114,BY26+BX27-CG26)))</f>
        <v>141.25</v>
      </c>
      <c r="BZ27" s="13">
        <f>BY27*VLOOKUP('Données projet'!$B$12,Paramètres!$A$1:$I$89,3,0)*VLOOKUP('Données projet'!$B$12,Paramètres!$A$1:$I$89,5,0)</f>
        <v>62.432500000000012</v>
      </c>
      <c r="CA27" s="13">
        <f t="shared" si="39"/>
        <v>17.781851630309419</v>
      </c>
      <c r="CB27" s="20">
        <f t="shared" si="10"/>
        <v>139.70666242278892</v>
      </c>
      <c r="CC27" s="59">
        <f t="shared" si="11"/>
        <v>433.03999575612227</v>
      </c>
      <c r="CD27" s="59">
        <f ca="1">AVERAGE(OFFSET($CC$3,0,0,'Données projet'!$E$12+1,1))-AVERAGE(OFFSET($H$3,0,0,'Données projet'!$E$12+1,1))</f>
        <v>220.26537310502334</v>
      </c>
      <c r="CE27" s="59">
        <f t="shared" si="40"/>
        <v>233.26853625122016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8.5919442649368367</v>
      </c>
      <c r="CM27" s="21">
        <f>EXP(-LN(2)/2)*CM26+(1-EXP(-LN(2)/2))/(LN(2)/2)*CG27*CJ27*VLOOKUP('Données projet'!$B$12,Paramètres!$A$1:$I$89,3,0)*0.475*44/12</f>
        <v>9.7314040415088723</v>
      </c>
      <c r="CN27" s="22">
        <f t="shared" si="12"/>
        <v>18.323348306445709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39.5</v>
      </c>
      <c r="N28" s="13">
        <f>IF('Données projet'!$A$36&gt;35,N27+M28-V27,IF(A28&lt;'Données projet'!$A$36,$K$205^A28,IF(A28='Données projet'!$A$36,'Données projet'!$B$36,N27+M28-V27)))</f>
        <v>208.5</v>
      </c>
      <c r="O28" s="13">
        <f>N28*VLOOKUP('Données projet'!$B$9,Paramètres!$A$1:$I$89,3,0)*VLOOKUP('Données projet'!$B$9,Paramètres!$A$1:$I$89,5,0)</f>
        <v>97.578000000000003</v>
      </c>
      <c r="P28" s="13">
        <f t="shared" si="33"/>
        <v>26.384168667795084</v>
      </c>
      <c r="Q28" s="20">
        <f t="shared" si="2"/>
        <v>215.90077709640977</v>
      </c>
      <c r="R28" s="59">
        <f t="shared" si="0"/>
        <v>509.23411042974305</v>
      </c>
      <c r="S28" s="59">
        <f ca="1">AVERAGE(OFFSET($R$3,0,0,'Données projet'!$E$9+1,1))-AVERAGE(OFFSET($H$3,0,0,'Données projet'!$E$9+1,1))</f>
        <v>263.37813242097957</v>
      </c>
      <c r="T28" s="59">
        <f t="shared" si="34"/>
        <v>314.89350816766904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16.699630573593659</v>
      </c>
      <c r="AB28" s="21">
        <f>EXP(-LN(2)/2)*AB27+(1-EXP(-LN(2)/2))/(LN(2)/2)*V28*Y28*VLOOKUP('Données projet'!$B$9,Paramètres!$A$1:$I$89,3,0)*0.475*44/12</f>
        <v>13.113977638824789</v>
      </c>
      <c r="AC28" s="22">
        <f t="shared" si="3"/>
        <v>29.813608212418448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298</v>
      </c>
      <c r="AG28" s="12">
        <f>VLOOKUP(A28,'Données projet'!$A$61:$I$81,9,0)</f>
        <v>29.8</v>
      </c>
      <c r="AH28" s="12">
        <f t="array" ref="AH28">INDEX(AG:AG,MIN(IF(ISNUMBER(AG28:AG224),ROW(AG28:AG224),"")))</f>
        <v>29.8</v>
      </c>
      <c r="AI28" s="13">
        <f>IF('Données projet'!$A$62&gt;35,AI27+AH28-AQ27,IF(A28&lt;'Données projet'!$A$62,$AF$205^A28,IF(A28='Données projet'!$A$62,'Données projet'!$B$62,AI27+AH28-AQ27)))</f>
        <v>298.00000000000006</v>
      </c>
      <c r="AJ28" s="13">
        <f>AI28*VLOOKUP('Données projet'!$B$10,Paramètres!$A$1:$I$89,3,0)*VLOOKUP('Données projet'!$B$10,Paramètres!$A$1:$I$89,5,0)</f>
        <v>120.09400000000004</v>
      </c>
      <c r="AK28" s="13">
        <f t="shared" si="35"/>
        <v>31.69692225124588</v>
      </c>
      <c r="AL28" s="20">
        <f t="shared" si="4"/>
        <v>264.36918958758662</v>
      </c>
      <c r="AM28" s="59">
        <f t="shared" si="5"/>
        <v>557.70252292091993</v>
      </c>
      <c r="AN28" s="59">
        <f ca="1">AVERAGE(OFFSET($AM$3,0,0,'Données projet'!$E$10+1,1))-AVERAGE(OFFSET($H$3,0,0,'Données projet'!$E$10+1,1))</f>
        <v>344.29957955721721</v>
      </c>
      <c r="AO28" s="59">
        <f t="shared" si="36"/>
        <v>297.12790038882594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77</v>
      </c>
      <c r="AR28" s="16">
        <f>IF(ISNA(VLOOKUP(A28,'Données projet'!$A$61:$I$81,5,0)),0%,VLOOKUP(A28,'Données projet'!$A$61:$I$81,5,0)*VLOOKUP('Données projet'!$B$10,Paramètres!$A$1:$I$89,7,0))</f>
        <v>0.13750000000000001</v>
      </c>
      <c r="AS28" s="16">
        <f>IF(ISNA(VLOOKUP(A28,'Données projet'!$A$61:$I$81,6,0)),0%,VLOOKUP(A28,'Données projet'!$A$61:$I$81,6,0)*VLOOKUP('Données projet'!$B$10,Paramètres!$A$1:$I$89,7,0))</f>
        <v>0.20350000000000001</v>
      </c>
      <c r="AT28" s="16">
        <f>IF(ISNA(VLOOKUP(A28,'Données projet'!$A$61:$I$81,7,0)),0%,VLOOKUP(A28,'Données projet'!$A$61:$I$81,7,0))</f>
        <v>0.38</v>
      </c>
      <c r="AU28" s="21">
        <f>EXP(-LN(2)/35)*AU27+(1-EXP(-LN(2)/35))/(LN(2)/35)*AQ28*AR28*VLOOKUP('Données projet'!$B$10,Paramètres!$A$1:$I$89,3,0)*0.475*44/12</f>
        <v>8.9224655160684065</v>
      </c>
      <c r="AV28" s="21">
        <f>EXP(-LN(2)/25)*AV27+(1-EXP(-LN(2)/25))/(LN(2)/25)*Calculateur!AQ28*Calculateur!AS28*VLOOKUP('Données projet'!$B$10,Paramètres!$A$1:$I$89,3,0)*0.475*44/12</f>
        <v>12.966491714220933</v>
      </c>
      <c r="AW28" s="21">
        <f>EXP(-LN(2)/2)*AW27+(1-EXP(-LN(2)/2))/(LN(2)/2)*AQ28*AT28*VLOOKUP('Données projet'!$B$10,Paramètres!$A$1:$I$89,3,0)*0.475*44/12</f>
        <v>14.852948878128704</v>
      </c>
      <c r="AX28" s="21">
        <f t="shared" si="6"/>
        <v>36.741906108418043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31.25</v>
      </c>
      <c r="BD28" s="12">
        <f>IF('Données projet'!$A$88&gt;35,BD27+BC28-BL27,IF(A28&lt;'Données projet'!$A$88,$BA$205^A28,IF(A28='Données projet'!$A$88,'Données projet'!$B$88,BD27+BC28-BL27)))</f>
        <v>172.5</v>
      </c>
      <c r="BE28" s="13">
        <f>BD28*VLOOKUP('Données projet'!$B$11,Paramètres!$A$1:$I$89,3,0)*VLOOKUP('Données projet'!$B$11,Paramètres!$A$1:$I$89,5,0)</f>
        <v>80.72999999999999</v>
      </c>
      <c r="BF28" s="13">
        <f t="shared" si="37"/>
        <v>22.315578453114171</v>
      </c>
      <c r="BG28" s="20">
        <f t="shared" si="7"/>
        <v>179.47104913917383</v>
      </c>
      <c r="BH28" s="59">
        <f t="shared" si="8"/>
        <v>472.80438247250714</v>
      </c>
      <c r="BI28" s="59">
        <f ca="1">AVERAGE(OFFSET($BH$3,0,0,'Données projet'!$E$11+1,1))-AVERAGE(OFFSET($H$3,0,0,'Données projet'!$E$11+1,1))</f>
        <v>234.83702199169585</v>
      </c>
      <c r="BJ28" s="59">
        <f t="shared" si="38"/>
        <v>248.83008816685089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8.848585161721509</v>
      </c>
      <c r="BR28" s="21">
        <f>EXP(-LN(2)/2)*BR27+(1-EXP(-LN(2)/2))/(LN(2)/2)*BL28*BO28*VLOOKUP('Données projet'!$B$11,Paramètres!$A$1:$I$89,3,0)*0.475*44/12</f>
        <v>7.2859148345828082</v>
      </c>
      <c r="BS28" s="22">
        <f t="shared" si="9"/>
        <v>16.134499996304317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31.25</v>
      </c>
      <c r="BY28" s="12">
        <f>IF('Données projet'!$A$114&gt;35,BY27+BX28-CG27,IF(A28&lt;'Données projet'!$A$114,$BV$205^A28,IF(A28='Données projet'!$A$114,'Données projet'!$B$114,BY27+BX28-CG27)))</f>
        <v>172.5</v>
      </c>
      <c r="BZ28" s="13">
        <f>BY28*VLOOKUP('Données projet'!$B$12,Paramètres!$A$1:$I$89,3,0)*VLOOKUP('Données projet'!$B$12,Paramètres!$A$1:$I$89,5,0)</f>
        <v>76.245000000000005</v>
      </c>
      <c r="CA28" s="13">
        <f t="shared" si="39"/>
        <v>21.21651410041575</v>
      </c>
      <c r="CB28" s="20">
        <f t="shared" si="10"/>
        <v>169.74547039155743</v>
      </c>
      <c r="CC28" s="59">
        <f t="shared" si="11"/>
        <v>463.07880372489075</v>
      </c>
      <c r="CD28" s="59">
        <f ca="1">AVERAGE(OFFSET($CC$3,0,0,'Données projet'!$E$12+1,1))-AVERAGE(OFFSET($H$3,0,0,'Données projet'!$E$12+1,1))</f>
        <v>220.26537310502334</v>
      </c>
      <c r="CE28" s="59">
        <f t="shared" si="40"/>
        <v>233.26853625122016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8.3569970971814271</v>
      </c>
      <c r="CM28" s="21">
        <f>EXP(-LN(2)/2)*CM27+(1-EXP(-LN(2)/2))/(LN(2)/2)*CG28*CJ28*VLOOKUP('Données projet'!$B$12,Paramètres!$A$1:$I$89,3,0)*0.475*44/12</f>
        <v>6.8811417882170991</v>
      </c>
      <c r="CN28" s="22">
        <f t="shared" si="12"/>
        <v>15.238138885398527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39.5</v>
      </c>
      <c r="N29" s="13">
        <f>IF('Données projet'!$A$36&gt;35,N28+M29-V28,IF(A29&lt;'Données projet'!$A$36,$K$205^A29,IF(A29='Données projet'!$A$36,'Données projet'!$B$36,N28+M29-V28)))</f>
        <v>248</v>
      </c>
      <c r="O29" s="13">
        <f>N29*VLOOKUP('Données projet'!$B$9,Paramètres!$A$1:$I$89,3,0)*VLOOKUP('Données projet'!$B$9,Paramètres!$A$1:$I$89,5,0)</f>
        <v>116.06400000000001</v>
      </c>
      <c r="P29" s="13">
        <f t="shared" si="33"/>
        <v>30.755217722036068</v>
      </c>
      <c r="Q29" s="20">
        <f t="shared" si="2"/>
        <v>255.71013753254616</v>
      </c>
      <c r="R29" s="59">
        <f t="shared" si="0"/>
        <v>549.0434708658795</v>
      </c>
      <c r="S29" s="59">
        <f ca="1">AVERAGE(OFFSET($R$3,0,0,'Données projet'!$E$9+1,1))-AVERAGE(OFFSET($H$3,0,0,'Données projet'!$E$9+1,1))</f>
        <v>263.37813242097957</v>
      </c>
      <c r="T29" s="59">
        <f t="shared" si="34"/>
        <v>314.89350816766904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16.242978297363337</v>
      </c>
      <c r="AB29" s="21">
        <f>EXP(-LN(2)/2)*AB28+(1-EXP(-LN(2)/2))/(LN(2)/2)*V29*Y29*VLOOKUP('Données projet'!$B$9,Paramètres!$A$1:$I$89,3,0)*0.475*44/12</f>
        <v>9.2729825167417577</v>
      </c>
      <c r="AC29" s="22">
        <f t="shared" si="3"/>
        <v>25.515960814105092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31.8</v>
      </c>
      <c r="AI29" s="13">
        <f>IF('Données projet'!$A$62&gt;35,AI28+AH29-AQ28,IF(A29&lt;'Données projet'!$A$62,$AF$205^A29,IF(A29='Données projet'!$A$62,'Données projet'!$B$62,AI28+AH29-AQ28)))</f>
        <v>252.80000000000007</v>
      </c>
      <c r="AJ29" s="13">
        <f>AI29*VLOOKUP('Données projet'!$B$10,Paramètres!$A$1:$I$89,3,0)*VLOOKUP('Données projet'!$B$10,Paramètres!$A$1:$I$89,5,0)</f>
        <v>101.87840000000003</v>
      </c>
      <c r="AK29" s="13">
        <f t="shared" si="35"/>
        <v>27.409014608941931</v>
      </c>
      <c r="AL29" s="20">
        <f t="shared" si="4"/>
        <v>225.17558044390725</v>
      </c>
      <c r="AM29" s="59">
        <f t="shared" si="5"/>
        <v>518.50891377724054</v>
      </c>
      <c r="AN29" s="59">
        <f ca="1">AVERAGE(OFFSET($AM$3,0,0,'Données projet'!$E$10+1,1))-AVERAGE(OFFSET($H$3,0,0,'Données projet'!$E$10+1,1))</f>
        <v>344.29957955721721</v>
      </c>
      <c r="AO29" s="59">
        <f t="shared" si="36"/>
        <v>297.12790038882594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8.7475014094649008</v>
      </c>
      <c r="AV29" s="21">
        <f>EXP(-LN(2)/25)*AV28+(1-EXP(-LN(2)/25))/(LN(2)/25)*Calculateur!AQ29*Calculateur!AS29*VLOOKUP('Données projet'!$B$10,Paramètres!$A$1:$I$89,3,0)*0.475*44/12</f>
        <v>12.611922316417397</v>
      </c>
      <c r="AW29" s="21">
        <f>EXP(-LN(2)/2)*AW28+(1-EXP(-LN(2)/2))/(LN(2)/2)*AQ29*AT29*VLOOKUP('Données projet'!$B$10,Paramètres!$A$1:$I$89,3,0)*0.475*44/12</f>
        <v>10.502620872341931</v>
      </c>
      <c r="AX29" s="21">
        <f t="shared" si="6"/>
        <v>31.86204459822423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31.25</v>
      </c>
      <c r="BD29" s="12">
        <f>IF('Données projet'!$A$88&gt;35,BD28+BC29-BL28,IF(A29&lt;'Données projet'!$A$88,$BA$205^A29,IF(A29='Données projet'!$A$88,'Données projet'!$B$88,BD28+BC29-BL28)))</f>
        <v>203.75</v>
      </c>
      <c r="BE29" s="13">
        <f>BD29*VLOOKUP('Données projet'!$B$11,Paramètres!$A$1:$I$89,3,0)*VLOOKUP('Données projet'!$B$11,Paramètres!$A$1:$I$89,5,0)</f>
        <v>95.35499999999999</v>
      </c>
      <c r="BF29" s="13">
        <f t="shared" si="37"/>
        <v>25.852345740177842</v>
      </c>
      <c r="BG29" s="20">
        <f t="shared" si="7"/>
        <v>211.1027938308097</v>
      </c>
      <c r="BH29" s="59">
        <f t="shared" si="8"/>
        <v>504.43612716414304</v>
      </c>
      <c r="BI29" s="59">
        <f ca="1">AVERAGE(OFFSET($BH$3,0,0,'Données projet'!$E$11+1,1))-AVERAGE(OFFSET($H$3,0,0,'Données projet'!$E$11+1,1))</f>
        <v>234.83702199169585</v>
      </c>
      <c r="BJ29" s="59">
        <f t="shared" si="38"/>
        <v>248.83008816685089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8.6066201351473648</v>
      </c>
      <c r="BR29" s="21">
        <f>EXP(-LN(2)/2)*BR28+(1-EXP(-LN(2)/2))/(LN(2)/2)*BL29*BO29*VLOOKUP('Données projet'!$B$11,Paramètres!$A$1:$I$89,3,0)*0.475*44/12</f>
        <v>5.1519197866811668</v>
      </c>
      <c r="BS29" s="22">
        <f t="shared" si="9"/>
        <v>13.758539921828532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31.25</v>
      </c>
      <c r="BY29" s="12">
        <f>IF('Données projet'!$A$114&gt;35,BY28+BX29-CG28,IF(A29&lt;'Données projet'!$A$114,$BV$205^A29,IF(A29='Données projet'!$A$114,'Données projet'!$B$114,BY28+BX29-CG28)))</f>
        <v>203.75</v>
      </c>
      <c r="BZ29" s="13">
        <f>BY29*VLOOKUP('Données projet'!$B$12,Paramètres!$A$1:$I$89,3,0)*VLOOKUP('Données projet'!$B$12,Paramètres!$A$1:$I$89,5,0)</f>
        <v>90.057500000000005</v>
      </c>
      <c r="CA29" s="13">
        <f t="shared" si="39"/>
        <v>24.579092093790774</v>
      </c>
      <c r="CB29" s="20">
        <f t="shared" si="10"/>
        <v>199.65873123001893</v>
      </c>
      <c r="CC29" s="59">
        <f t="shared" si="11"/>
        <v>492.99206456335224</v>
      </c>
      <c r="CD29" s="59">
        <f ca="1">AVERAGE(OFFSET($CC$3,0,0,'Données projet'!$E$12+1,1))-AVERAGE(OFFSET($H$3,0,0,'Données projet'!$E$12+1,1))</f>
        <v>220.26537310502334</v>
      </c>
      <c r="CE29" s="59">
        <f t="shared" si="40"/>
        <v>233.26853625122016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8.1284745720836238</v>
      </c>
      <c r="CM29" s="21">
        <f>EXP(-LN(2)/2)*CM28+(1-EXP(-LN(2)/2))/(LN(2)/2)*CG29*CJ29*VLOOKUP('Données projet'!$B$12,Paramètres!$A$1:$I$89,3,0)*0.475*44/12</f>
        <v>4.865702020754437</v>
      </c>
      <c r="CN29" s="22">
        <f t="shared" si="12"/>
        <v>12.994176592838061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39.5</v>
      </c>
      <c r="N30" s="13">
        <f>IF('Données projet'!$A$36&gt;35,N29+M30-V29,IF(A30&lt;'Données projet'!$A$36,$K$205^A30,IF(A30='Données projet'!$A$36,'Données projet'!$B$36,N29+M30-V29)))</f>
        <v>287.5</v>
      </c>
      <c r="O30" s="13">
        <f>N30*VLOOKUP('Données projet'!$B$9,Paramètres!$A$1:$I$89,3,0)*VLOOKUP('Données projet'!$B$9,Paramètres!$A$1:$I$89,5,0)</f>
        <v>134.55000000000001</v>
      </c>
      <c r="P30" s="13">
        <f t="shared" si="33"/>
        <v>35.045616486142094</v>
      </c>
      <c r="Q30" s="20">
        <f t="shared" si="2"/>
        <v>295.37903204669743</v>
      </c>
      <c r="R30" s="59">
        <f t="shared" si="0"/>
        <v>588.71236538003075</v>
      </c>
      <c r="S30" s="59">
        <f ca="1">AVERAGE(OFFSET($R$3,0,0,'Données projet'!$E$9+1,1))-AVERAGE(OFFSET($H$3,0,0,'Données projet'!$E$9+1,1))</f>
        <v>263.37813242097957</v>
      </c>
      <c r="T30" s="59">
        <f t="shared" si="34"/>
        <v>314.89350816766904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15.798813201640831</v>
      </c>
      <c r="AB30" s="21">
        <f>EXP(-LN(2)/2)*AB29+(1-EXP(-LN(2)/2))/(LN(2)/2)*V30*Y30*VLOOKUP('Données projet'!$B$9,Paramètres!$A$1:$I$89,3,0)*0.475*44/12</f>
        <v>6.5569888194123953</v>
      </c>
      <c r="AC30" s="22">
        <f t="shared" si="3"/>
        <v>22.355802021053226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31.8</v>
      </c>
      <c r="AI30" s="13">
        <f>IF('Données projet'!$A$62&gt;35,AI29+AH30-AQ29,IF(A30&lt;'Données projet'!$A$62,$AF$205^A30,IF(A30='Données projet'!$A$62,'Données projet'!$B$62,AI29+AH30-AQ29)))</f>
        <v>284.60000000000008</v>
      </c>
      <c r="AJ30" s="13">
        <f>AI30*VLOOKUP('Données projet'!$B$10,Paramètres!$A$1:$I$89,3,0)*VLOOKUP('Données projet'!$B$10,Paramètres!$A$1:$I$89,5,0)</f>
        <v>114.69380000000004</v>
      </c>
      <c r="AK30" s="13">
        <f t="shared" si="35"/>
        <v>30.434176681294787</v>
      </c>
      <c r="AL30" s="20">
        <f t="shared" si="4"/>
        <v>252.76455938658845</v>
      </c>
      <c r="AM30" s="59">
        <f t="shared" si="5"/>
        <v>546.09789271992179</v>
      </c>
      <c r="AN30" s="59">
        <f ca="1">AVERAGE(OFFSET($AM$3,0,0,'Données projet'!$E$10+1,1))-AVERAGE(OFFSET($H$3,0,0,'Données projet'!$E$10+1,1))</f>
        <v>344.29957955721721</v>
      </c>
      <c r="AO30" s="59">
        <f t="shared" si="36"/>
        <v>297.12790038882594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8.5759682422743229</v>
      </c>
      <c r="AV30" s="21">
        <f>EXP(-LN(2)/25)*AV29+(1-EXP(-LN(2)/25))/(LN(2)/25)*Calculateur!AQ30*Calculateur!AS30*VLOOKUP('Données projet'!$B$10,Paramètres!$A$1:$I$89,3,0)*0.475*44/12</f>
        <v>12.267048637442795</v>
      </c>
      <c r="AW30" s="21">
        <f>EXP(-LN(2)/2)*AW29+(1-EXP(-LN(2)/2))/(LN(2)/2)*AQ30*AT30*VLOOKUP('Données projet'!$B$10,Paramètres!$A$1:$I$89,3,0)*0.475*44/12</f>
        <v>7.4264744390643527</v>
      </c>
      <c r="AX30" s="21">
        <f t="shared" si="6"/>
        <v>28.269491318781473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>
        <f>VLOOKUP(A30,'Données projet'!$A$87:$I$107,2,0)</f>
        <v>235</v>
      </c>
      <c r="BB30" s="12">
        <f>VLOOKUP(A30,'Données projet'!$A$87:$I$107,9,0)</f>
        <v>31.25</v>
      </c>
      <c r="BC30" s="12">
        <f t="array" ref="BC30">INDEX(BB:BB,MIN(IF(ISNUMBER(BB30:BB226),ROW(BB30:BB226),"")))</f>
        <v>31.25</v>
      </c>
      <c r="BD30" s="12">
        <f>IF('Données projet'!$A$88&gt;35,BD29+BC30-BL29,IF(A30&lt;'Données projet'!$A$88,$BA$205^A30,IF(A30='Données projet'!$A$88,'Données projet'!$B$88,BD29+BC30-BL29)))</f>
        <v>235</v>
      </c>
      <c r="BE30" s="13">
        <f>BD30*VLOOKUP('Données projet'!$B$11,Paramètres!$A$1:$I$89,3,0)*VLOOKUP('Données projet'!$B$11,Paramètres!$A$1:$I$89,5,0)</f>
        <v>109.97999999999999</v>
      </c>
      <c r="BF30" s="13">
        <f t="shared" si="37"/>
        <v>29.326272366698234</v>
      </c>
      <c r="BG30" s="20">
        <f t="shared" si="7"/>
        <v>242.62509103866606</v>
      </c>
      <c r="BH30" s="59">
        <f t="shared" si="8"/>
        <v>535.9584243719994</v>
      </c>
      <c r="BI30" s="59">
        <f ca="1">AVERAGE(OFFSET($BH$3,0,0,'Données projet'!$E$11+1,1))-AVERAGE(OFFSET($H$3,0,0,'Données projet'!$E$11+1,1))</f>
        <v>234.83702199169585</v>
      </c>
      <c r="BJ30" s="59">
        <f t="shared" si="38"/>
        <v>248.83008816685089</v>
      </c>
      <c r="BK30" s="15">
        <f>IF(ISNA(VLOOKUP(A30,'Données projet'!$A$87:$I$107,3,0)),0,VLOOKUP(A30,'Données projet'!$A$87:$I$107,3,0))</f>
        <v>2</v>
      </c>
      <c r="BL30" s="15">
        <f>IF(ISNA(VLOOKUP(A30,'Données projet'!$A$87:$I$107,4,0)),0,VLOOKUP(A30,'Données projet'!$A$87:$I$107,4,0))</f>
        <v>64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0.27500000000000002</v>
      </c>
      <c r="BO30" s="16">
        <f>IF(ISNA(VLOOKUP(A30,'Données projet'!$A$87:$I$107,7,0)),0%,VLOOKUP(A30,'Données projet'!$A$87:$I$107,7,0))</f>
        <v>0.5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19.254895392413566</v>
      </c>
      <c r="BR30" s="21">
        <f>EXP(-LN(2)/2)*BR29+(1-EXP(-LN(2)/2))/(LN(2)/2)*BL30*BO30*VLOOKUP('Données projet'!$B$11,Paramètres!$A$1:$I$89,3,0)*0.475*44/12</f>
        <v>20.599268305047758</v>
      </c>
      <c r="BS30" s="22">
        <f t="shared" si="9"/>
        <v>39.854163697461324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>
        <f>VLOOKUP(A30,'Données projet'!$A$113:$I$133,2,0)</f>
        <v>235</v>
      </c>
      <c r="BW30" s="12">
        <f>VLOOKUP(A30,'Données projet'!$A$113:$I$133,9,0)</f>
        <v>31.25</v>
      </c>
      <c r="BX30" s="12">
        <f t="array" ref="BX30">INDEX(BW:BW,MIN(IF(ISNUMBER(BW30:BW226),ROW(BW30:BW226),"")))</f>
        <v>31.25</v>
      </c>
      <c r="BY30" s="12">
        <f>IF('Données projet'!$A$114&gt;35,BY29+BX30-CG29,IF(A30&lt;'Données projet'!$A$114,$BV$205^A30,IF(A30='Données projet'!$A$114,'Données projet'!$B$114,BY29+BX30-CG29)))</f>
        <v>235</v>
      </c>
      <c r="BZ30" s="13">
        <f>BY30*VLOOKUP('Données projet'!$B$12,Paramètres!$A$1:$I$89,3,0)*VLOOKUP('Données projet'!$B$12,Paramètres!$A$1:$I$89,5,0)</f>
        <v>103.87</v>
      </c>
      <c r="CA30" s="13">
        <f t="shared" si="39"/>
        <v>27.881924391426956</v>
      </c>
      <c r="CB30" s="20">
        <f t="shared" si="10"/>
        <v>229.46793498173531</v>
      </c>
      <c r="CC30" s="59">
        <f t="shared" si="11"/>
        <v>522.80126831506868</v>
      </c>
      <c r="CD30" s="59">
        <f ca="1">AVERAGE(OFFSET($CC$3,0,0,'Données projet'!$E$12+1,1))-AVERAGE(OFFSET($H$3,0,0,'Données projet'!$E$12+1,1))</f>
        <v>220.26537310502334</v>
      </c>
      <c r="CE30" s="59">
        <f t="shared" si="40"/>
        <v>233.26853625122016</v>
      </c>
      <c r="CF30" s="15">
        <f>IF(ISNA(VLOOKUP(A30,'Données projet'!$A$113:$I$133,3,0)),0,VLOOKUP(A30,'Données projet'!$A$113:$I$133,3,0))</f>
        <v>2</v>
      </c>
      <c r="CG30" s="15">
        <f>IF(ISNA(VLOOKUP(A30,'Données projet'!$A$113:$I$133,4,0)),0,VLOOKUP(A30,'Données projet'!$A$113:$I$133,4,0))</f>
        <v>64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0.27500000000000002</v>
      </c>
      <c r="CJ30" s="16">
        <f>IF(ISNA(VLOOKUP(A30,'Données projet'!$A$113:$I$133,7,0)),0%,VLOOKUP(A30,'Données projet'!$A$113:$I$133,7,0))</f>
        <v>0.5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18.185178981723929</v>
      </c>
      <c r="CM30" s="21">
        <f>EXP(-LN(2)/2)*CM29+(1-EXP(-LN(2)/2))/(LN(2)/2)*CG30*CJ30*VLOOKUP('Données projet'!$B$12,Paramètres!$A$1:$I$89,3,0)*0.475*44/12</f>
        <v>19.454864510322885</v>
      </c>
      <c r="CN30" s="22">
        <f t="shared" si="12"/>
        <v>37.640043492046814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327</v>
      </c>
      <c r="L31" s="12">
        <f>VLOOKUP(A31,'Données projet'!$A$35:$I$55,9,0)</f>
        <v>39.5</v>
      </c>
      <c r="M31" s="12">
        <f t="array" ref="M31">INDEX(L:L,MIN(IF(ISNUMBER(L31:L227),ROW(L31:L227),"")))</f>
        <v>39.5</v>
      </c>
      <c r="N31" s="13">
        <f>IF('Données projet'!$A$36&gt;35,N30+M31-V30,IF(A31&lt;'Données projet'!$A$36,$K$205^A31,IF(A31='Données projet'!$A$36,'Données projet'!$B$36,N30+M31-V30)))</f>
        <v>327</v>
      </c>
      <c r="O31" s="13">
        <f>N31*VLOOKUP('Données projet'!$B$9,Paramètres!$A$1:$I$89,3,0)*VLOOKUP('Données projet'!$B$9,Paramètres!$A$1:$I$89,5,0)</f>
        <v>153.036</v>
      </c>
      <c r="P31" s="13">
        <f t="shared" si="33"/>
        <v>39.26772084237529</v>
      </c>
      <c r="Q31" s="20">
        <f t="shared" si="2"/>
        <v>334.92898046713697</v>
      </c>
      <c r="R31" s="59">
        <f t="shared" si="0"/>
        <v>628.26231380047034</v>
      </c>
      <c r="S31" s="59">
        <f ca="1">AVERAGE(OFFSET($R$3,0,0,'Données projet'!$E$9+1,1))-AVERAGE(OFFSET($H$3,0,0,'Données projet'!$E$9+1,1))</f>
        <v>263.37813242097957</v>
      </c>
      <c r="T31" s="59">
        <f t="shared" si="34"/>
        <v>314.89350816766904</v>
      </c>
      <c r="U31" s="15">
        <f>IF(ISNA(VLOOKUP(A31,'Données projet'!$A$35:$I$55,3,0)),0,VLOOKUP(A31,'Données projet'!$A$35:$I$55,3,0))</f>
        <v>3</v>
      </c>
      <c r="V31" s="15">
        <f>IF(ISNA(VLOOKUP(A31,'Données projet'!$A$35:$I$55,4,0)),0,VLOOKUP(A31,'Données projet'!$A$35:$I$55,4,0))</f>
        <v>66</v>
      </c>
      <c r="W31" s="16">
        <f>IF(ISNA(VLOOKUP(A31,'Données projet'!$A$35:$I$55,5,0)),0%,VLOOKUP(A31,'Données projet'!$A$35:$I$55,5,0)*VLOOKUP('Données projet'!$B$9,Paramètres!$A$1:$I$89,7,0))</f>
        <v>0.1925</v>
      </c>
      <c r="X31" s="16">
        <f>IF(ISNA(VLOOKUP(A31,'Données projet'!$A$35:$I$55,6,0)),0%,VLOOKUP(A31,'Données projet'!$A$35:$I$55,6,0)*VLOOKUP('Données projet'!$B$9,Paramètres!$A$1:$I$89,7,0))</f>
        <v>8.2500000000000004E-2</v>
      </c>
      <c r="Y31" s="16">
        <f>IF(ISNA(VLOOKUP(A31,'Données projet'!$A$35:$I$55,7,0)),0%,VLOOKUP(A31,'Données projet'!$A$35:$I$55,7,0))</f>
        <v>0.15</v>
      </c>
      <c r="Z31" s="21">
        <f>EXP(-LN(2)/35)*Z30+(1-EXP(-LN(2)/35))/(LN(2)/35)*V31*W31*VLOOKUP('Données projet'!$B$9,Paramètres!$A$1:$I$89,3,0)*0.475*44/12</f>
        <v>7.8876726581761787</v>
      </c>
      <c r="AA31" s="21">
        <f>EXP(-LN(2)/25)*AA30+(1-EXP(-LN(2)/25))/(LN(2)/25)*Calculateur!V31*Calculateur!X31*VLOOKUP('Données projet'!$B$9,Paramètres!$A$1:$I$89,3,0)*0.475*44/12</f>
        <v>18.733914917596501</v>
      </c>
      <c r="AB31" s="21">
        <f>EXP(-LN(2)/2)*AB30+(1-EXP(-LN(2)/2))/(LN(2)/2)*V31*Y31*VLOOKUP('Données projet'!$B$9,Paramètres!$A$1:$I$89,3,0)*0.475*44/12</f>
        <v>9.882349939270501</v>
      </c>
      <c r="AC31" s="22">
        <f t="shared" si="3"/>
        <v>36.503937515043177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31.8</v>
      </c>
      <c r="AI31" s="13">
        <f>IF('Données projet'!$A$62&gt;35,AI30+AH31-AQ30,IF(A31&lt;'Données projet'!$A$62,$AF$205^A31,IF(A31='Données projet'!$A$62,'Données projet'!$B$62,AI30+AH31-AQ30)))</f>
        <v>316.40000000000009</v>
      </c>
      <c r="AJ31" s="13">
        <f>AI31*VLOOKUP('Données projet'!$B$10,Paramètres!$A$1:$I$89,3,0)*VLOOKUP('Données projet'!$B$10,Paramètres!$A$1:$I$89,5,0)</f>
        <v>127.50920000000005</v>
      </c>
      <c r="AK31" s="13">
        <f t="shared" si="35"/>
        <v>33.420162157432394</v>
      </c>
      <c r="AL31" s="20">
        <f t="shared" si="4"/>
        <v>280.28530575752819</v>
      </c>
      <c r="AM31" s="59">
        <f t="shared" si="5"/>
        <v>573.61863909086151</v>
      </c>
      <c r="AN31" s="59">
        <f ca="1">AVERAGE(OFFSET($AM$3,0,0,'Données projet'!$E$10+1,1))-AVERAGE(OFFSET($H$3,0,0,'Données projet'!$E$10+1,1))</f>
        <v>344.29957955721721</v>
      </c>
      <c r="AO31" s="59">
        <f t="shared" si="36"/>
        <v>297.12790038882594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8.4077987358674502</v>
      </c>
      <c r="AV31" s="21">
        <f>EXP(-LN(2)/25)*AV30+(1-EXP(-LN(2)/25))/(LN(2)/25)*Calculateur!AQ31*Calculateur!AS31*VLOOKUP('Données projet'!$B$10,Paramètres!$A$1:$I$89,3,0)*0.475*44/12</f>
        <v>11.93160554735587</v>
      </c>
      <c r="AW31" s="21">
        <f>EXP(-LN(2)/2)*AW30+(1-EXP(-LN(2)/2))/(LN(2)/2)*AQ31*AT31*VLOOKUP('Données projet'!$B$10,Paramètres!$A$1:$I$89,3,0)*0.475*44/12</f>
        <v>5.2513104361709662</v>
      </c>
      <c r="AX31" s="21">
        <f t="shared" si="6"/>
        <v>25.590714719394285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36</v>
      </c>
      <c r="BD31" s="12">
        <f>IF('Données projet'!$A$88&gt;35,BD30+BC31-BL30,IF(A31&lt;'Données projet'!$A$88,$BA$205^A31,IF(A31='Données projet'!$A$88,'Données projet'!$B$88,BD30+BC31-BL30)))</f>
        <v>207</v>
      </c>
      <c r="BE31" s="13">
        <f>BD31*VLOOKUP('Données projet'!$B$11,Paramètres!$A$1:$I$89,3,0)*VLOOKUP('Données projet'!$B$11,Paramètres!$A$1:$I$89,5,0)</f>
        <v>96.876000000000005</v>
      </c>
      <c r="BF31" s="13">
        <f t="shared" si="37"/>
        <v>26.21637845945024</v>
      </c>
      <c r="BG31" s="20">
        <f t="shared" si="7"/>
        <v>214.38589248354251</v>
      </c>
      <c r="BH31" s="59">
        <f t="shared" si="8"/>
        <v>507.71922581687579</v>
      </c>
      <c r="BI31" s="59">
        <f ca="1">AVERAGE(OFFSET($BH$3,0,0,'Données projet'!$E$11+1,1))-AVERAGE(OFFSET($H$3,0,0,'Données projet'!$E$11+1,1))</f>
        <v>234.83702199169585</v>
      </c>
      <c r="BJ31" s="59">
        <f t="shared" si="38"/>
        <v>248.83008816685089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18.728369265337076</v>
      </c>
      <c r="BR31" s="21">
        <f>EXP(-LN(2)/2)*BR30+(1-EXP(-LN(2)/2))/(LN(2)/2)*BL31*BO31*VLOOKUP('Données projet'!$B$11,Paramètres!$A$1:$I$89,3,0)*0.475*44/12</f>
        <v>14.56588230598039</v>
      </c>
      <c r="BS31" s="22">
        <f t="shared" si="9"/>
        <v>33.294251571317467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36</v>
      </c>
      <c r="BY31" s="12">
        <f>IF('Données projet'!$A$114&gt;35,BY30+BX31-CG30,IF(A31&lt;'Données projet'!$A$114,$BV$205^A31,IF(A31='Données projet'!$A$114,'Données projet'!$B$114,BY30+BX31-CG30)))</f>
        <v>207</v>
      </c>
      <c r="BZ31" s="13">
        <f>BY31*VLOOKUP('Données projet'!$B$12,Paramètres!$A$1:$I$89,3,0)*VLOOKUP('Données projet'!$B$12,Paramètres!$A$1:$I$89,5,0)</f>
        <v>91.494000000000014</v>
      </c>
      <c r="CA31" s="13">
        <f t="shared" si="39"/>
        <v>24.925195840896542</v>
      </c>
      <c r="CB31" s="20">
        <f t="shared" si="10"/>
        <v>202.76343275622813</v>
      </c>
      <c r="CC31" s="59">
        <f t="shared" si="11"/>
        <v>496.09676608956147</v>
      </c>
      <c r="CD31" s="59">
        <f ca="1">AVERAGE(OFFSET($CC$3,0,0,'Données projet'!$E$12+1,1))-AVERAGE(OFFSET($H$3,0,0,'Données projet'!$E$12+1,1))</f>
        <v>220.26537310502334</v>
      </c>
      <c r="CE31" s="59">
        <f t="shared" si="40"/>
        <v>233.26853625122016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17.68790430615169</v>
      </c>
      <c r="CM31" s="21">
        <f>EXP(-LN(2)/2)*CM30+(1-EXP(-LN(2)/2))/(LN(2)/2)*CG31*CJ31*VLOOKUP('Données projet'!$B$12,Paramètres!$A$1:$I$89,3,0)*0.475*44/12</f>
        <v>13.756666622314814</v>
      </c>
      <c r="CN31" s="22">
        <f t="shared" si="12"/>
        <v>31.444570928466504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42</v>
      </c>
      <c r="N32" s="13">
        <f>IF('Données projet'!$A$36&gt;35,N31+M32-V31,IF(A32&lt;'Données projet'!$A$36,$K$205^A32,IF(A32='Données projet'!$A$36,'Données projet'!$B$36,N31+M32-V31)))</f>
        <v>303</v>
      </c>
      <c r="O32" s="13">
        <f>N32*VLOOKUP('Données projet'!$B$9,Paramètres!$A$1:$I$89,3,0)*VLOOKUP('Données projet'!$B$9,Paramètres!$A$1:$I$89,5,0)</f>
        <v>141.804</v>
      </c>
      <c r="P32" s="13">
        <f t="shared" si="33"/>
        <v>36.709968106496248</v>
      </c>
      <c r="Q32" s="20">
        <f t="shared" si="2"/>
        <v>310.91182778548091</v>
      </c>
      <c r="R32" s="59">
        <f t="shared" si="0"/>
        <v>604.24516111881417</v>
      </c>
      <c r="S32" s="59">
        <f ca="1">AVERAGE(OFFSET($R$3,0,0,'Données projet'!$E$9+1,1))-AVERAGE(OFFSET($H$3,0,0,'Données projet'!$E$9+1,1))</f>
        <v>263.37813242097957</v>
      </c>
      <c r="T32" s="59">
        <f t="shared" si="34"/>
        <v>314.89350816766904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7.7330002083546177</v>
      </c>
      <c r="AA32" s="21">
        <f>EXP(-LN(2)/25)*AA31+(1-EXP(-LN(2)/25))/(LN(2)/25)*Calculateur!V32*Calculateur!X32*VLOOKUP('Données projet'!$B$9,Paramètres!$A$1:$I$89,3,0)*0.475*44/12</f>
        <v>18.221635029001057</v>
      </c>
      <c r="AB32" s="21">
        <f>EXP(-LN(2)/2)*AB31+(1-EXP(-LN(2)/2))/(LN(2)/2)*V32*Y32*VLOOKUP('Données projet'!$B$9,Paramètres!$A$1:$I$89,3,0)*0.475*44/12</f>
        <v>6.9878766561166374</v>
      </c>
      <c r="AC32" s="22">
        <f t="shared" si="3"/>
        <v>32.942511893472314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31.8</v>
      </c>
      <c r="AI32" s="13">
        <f>IF('Données projet'!$A$62&gt;35,AI31+AH32-AQ31,IF(A32&lt;'Données projet'!$A$62,$AF$205^A32,IF(A32='Données projet'!$A$62,'Données projet'!$B$62,AI31+AH32-AQ31)))</f>
        <v>348.2000000000001</v>
      </c>
      <c r="AJ32" s="13">
        <f>AI32*VLOOKUP('Données projet'!$B$10,Paramètres!$A$1:$I$89,3,0)*VLOOKUP('Données projet'!$B$10,Paramètres!$A$1:$I$89,5,0)</f>
        <v>140.32460000000006</v>
      </c>
      <c r="AK32" s="13">
        <f t="shared" si="35"/>
        <v>36.37135677109444</v>
      </c>
      <c r="AL32" s="20">
        <f t="shared" si="4"/>
        <v>307.74545804298958</v>
      </c>
      <c r="AM32" s="59">
        <f t="shared" si="5"/>
        <v>601.0787913763229</v>
      </c>
      <c r="AN32" s="59">
        <f ca="1">AVERAGE(OFFSET($AM$3,0,0,'Données projet'!$E$10+1,1))-AVERAGE(OFFSET($H$3,0,0,'Données projet'!$E$10+1,1))</f>
        <v>344.29957955721721</v>
      </c>
      <c r="AO32" s="59">
        <f t="shared" si="36"/>
        <v>297.12790038882594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8.2429269309079451</v>
      </c>
      <c r="AV32" s="21">
        <f>EXP(-LN(2)/25)*AV31+(1-EXP(-LN(2)/25))/(LN(2)/25)*Calculateur!AQ32*Calculateur!AS32*VLOOKUP('Données projet'!$B$10,Paramètres!$A$1:$I$89,3,0)*0.475*44/12</f>
        <v>11.605335166207558</v>
      </c>
      <c r="AW32" s="21">
        <f>EXP(-LN(2)/2)*AW31+(1-EXP(-LN(2)/2))/(LN(2)/2)*AQ32*AT32*VLOOKUP('Données projet'!$B$10,Paramètres!$A$1:$I$89,3,0)*0.475*44/12</f>
        <v>3.7132372195321772</v>
      </c>
      <c r="AX32" s="21">
        <f t="shared" si="6"/>
        <v>23.56149931664768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36</v>
      </c>
      <c r="BD32" s="12">
        <f>IF('Données projet'!$A$88&gt;35,BD31+BC32-BL31,IF(A32&lt;'Données projet'!$A$88,$BA$205^A32,IF(A32='Données projet'!$A$88,'Données projet'!$B$88,BD31+BC32-BL31)))</f>
        <v>243</v>
      </c>
      <c r="BE32" s="13">
        <f>BD32*VLOOKUP('Données projet'!$B$11,Paramètres!$A$1:$I$89,3,0)*VLOOKUP('Données projet'!$B$11,Paramètres!$A$1:$I$89,5,0)</f>
        <v>113.72399999999999</v>
      </c>
      <c r="BF32" s="13">
        <f t="shared" si="37"/>
        <v>30.206680638130489</v>
      </c>
      <c r="BG32" s="20">
        <f t="shared" si="7"/>
        <v>250.67926877807722</v>
      </c>
      <c r="BH32" s="59">
        <f t="shared" si="8"/>
        <v>544.0126021114105</v>
      </c>
      <c r="BI32" s="59">
        <f ca="1">AVERAGE(OFFSET($BH$3,0,0,'Données projet'!$E$11+1,1))-AVERAGE(OFFSET($H$3,0,0,'Données projet'!$E$11+1,1))</f>
        <v>234.83702199169585</v>
      </c>
      <c r="BJ32" s="59">
        <f t="shared" si="38"/>
        <v>248.83008816685089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18.216241022894298</v>
      </c>
      <c r="BR32" s="21">
        <f>EXP(-LN(2)/2)*BR31+(1-EXP(-LN(2)/2))/(LN(2)/2)*BL32*BO32*VLOOKUP('Données projet'!$B$11,Paramètres!$A$1:$I$89,3,0)*0.475*44/12</f>
        <v>10.299634152523881</v>
      </c>
      <c r="BS32" s="22">
        <f t="shared" si="9"/>
        <v>28.515875175418181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36</v>
      </c>
      <c r="BY32" s="12">
        <f>IF('Données projet'!$A$114&gt;35,BY31+BX32-CG31,IF(A32&lt;'Données projet'!$A$114,$BV$205^A32,IF(A32='Données projet'!$A$114,'Données projet'!$B$114,BY31+BX32-CG31)))</f>
        <v>243</v>
      </c>
      <c r="BZ32" s="13">
        <f>BY32*VLOOKUP('Données projet'!$B$12,Paramètres!$A$1:$I$89,3,0)*VLOOKUP('Données projet'!$B$12,Paramètres!$A$1:$I$89,5,0)</f>
        <v>107.40600000000001</v>
      </c>
      <c r="CA32" s="13">
        <f t="shared" si="39"/>
        <v>28.718971683040337</v>
      </c>
      <c r="CB32" s="20">
        <f t="shared" si="10"/>
        <v>237.08432568129524</v>
      </c>
      <c r="CC32" s="59">
        <f t="shared" si="11"/>
        <v>530.4176590146285</v>
      </c>
      <c r="CD32" s="59">
        <f ca="1">AVERAGE(OFFSET($CC$3,0,0,'Données projet'!$E$12+1,1))-AVERAGE(OFFSET($H$3,0,0,'Données projet'!$E$12+1,1))</f>
        <v>220.26537310502334</v>
      </c>
      <c r="CE32" s="59">
        <f t="shared" si="40"/>
        <v>233.26853625122016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17.20422763273351</v>
      </c>
      <c r="CM32" s="21">
        <f>EXP(-LN(2)/2)*CM31+(1-EXP(-LN(2)/2))/(LN(2)/2)*CG32*CJ32*VLOOKUP('Données projet'!$B$12,Paramètres!$A$1:$I$89,3,0)*0.475*44/12</f>
        <v>9.7274322551614443</v>
      </c>
      <c r="CN32" s="22">
        <f t="shared" si="12"/>
        <v>26.931659887894952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42</v>
      </c>
      <c r="N33" s="13">
        <f>IF('Données projet'!$A$36&gt;35,N32+M33-V32,IF(A33&lt;'Données projet'!$A$36,$K$205^A33,IF(A33='Données projet'!$A$36,'Données projet'!$B$36,N32+M33-V32)))</f>
        <v>345</v>
      </c>
      <c r="O33" s="13">
        <f>N33*VLOOKUP('Données projet'!$B$9,Paramètres!$A$1:$I$89,3,0)*VLOOKUP('Données projet'!$B$9,Paramètres!$A$1:$I$89,5,0)</f>
        <v>161.45999999999998</v>
      </c>
      <c r="P33" s="13">
        <f t="shared" si="33"/>
        <v>41.171648186302534</v>
      </c>
      <c r="Q33" s="20">
        <f t="shared" si="2"/>
        <v>352.9167872578102</v>
      </c>
      <c r="R33" s="59">
        <f t="shared" si="0"/>
        <v>646.25012059114351</v>
      </c>
      <c r="S33" s="59">
        <f ca="1">AVERAGE(OFFSET($R$3,0,0,'Données projet'!$E$9+1,1))-AVERAGE(OFFSET($H$3,0,0,'Données projet'!$E$9+1,1))</f>
        <v>263.37813242097957</v>
      </c>
      <c r="T33" s="59">
        <f t="shared" si="34"/>
        <v>314.89350816766904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7.5813607909331786</v>
      </c>
      <c r="AA33" s="21">
        <f>EXP(-LN(2)/25)*AA32+(1-EXP(-LN(2)/25))/(LN(2)/25)*Calculateur!V33*Calculateur!X33*VLOOKUP('Données projet'!$B$9,Paramètres!$A$1:$I$89,3,0)*0.475*44/12</f>
        <v>17.723363460898884</v>
      </c>
      <c r="AB33" s="21">
        <f>EXP(-LN(2)/2)*AB32+(1-EXP(-LN(2)/2))/(LN(2)/2)*V33*Y33*VLOOKUP('Données projet'!$B$9,Paramètres!$A$1:$I$89,3,0)*0.475*44/12</f>
        <v>4.9411749696352505</v>
      </c>
      <c r="AC33" s="22">
        <f t="shared" si="3"/>
        <v>30.245899221467312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380</v>
      </c>
      <c r="AG33" s="12">
        <f>VLOOKUP(A33,'Données projet'!$A$61:$I$81,9,0)</f>
        <v>31.8</v>
      </c>
      <c r="AH33" s="12">
        <f t="array" ref="AH33">INDEX(AG:AG,MIN(IF(ISNUMBER(AG33:AG229),ROW(AG33:AG229),"")))</f>
        <v>31.8</v>
      </c>
      <c r="AI33" s="13">
        <f>IF('Données projet'!$A$62&gt;35,AI32+AH33-AQ32,IF(A33&lt;'Données projet'!$A$62,$AF$205^A33,IF(A33='Données projet'!$A$62,'Données projet'!$B$62,AI32+AH33-AQ32)))</f>
        <v>380.00000000000011</v>
      </c>
      <c r="AJ33" s="13">
        <f>AI33*VLOOKUP('Données projet'!$B$10,Paramètres!$A$1:$I$89,3,0)*VLOOKUP('Données projet'!$B$10,Paramètres!$A$1:$I$89,5,0)</f>
        <v>153.14000000000004</v>
      </c>
      <c r="AK33" s="13">
        <f t="shared" si="35"/>
        <v>39.291299222373439</v>
      </c>
      <c r="AL33" s="20">
        <f t="shared" si="4"/>
        <v>335.15117947896709</v>
      </c>
      <c r="AM33" s="59">
        <f t="shared" si="5"/>
        <v>628.48451281230041</v>
      </c>
      <c r="AN33" s="59">
        <f ca="1">AVERAGE(OFFSET($AM$3,0,0,'Données projet'!$E$10+1,1))-AVERAGE(OFFSET($H$3,0,0,'Données projet'!$E$10+1,1))</f>
        <v>344.29957955721721</v>
      </c>
      <c r="AO33" s="59">
        <f t="shared" si="36"/>
        <v>297.12790038882594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77</v>
      </c>
      <c r="AR33" s="16">
        <f>IF(ISNA(VLOOKUP(A33,'Données projet'!$A$61:$I$81,5,0)),0%,VLOOKUP(A33,'Données projet'!$A$61:$I$81,5,0)*VLOOKUP('Données projet'!$B$10,Paramètres!$A$1:$I$89,7,0))</f>
        <v>0.13750000000000001</v>
      </c>
      <c r="AS33" s="16">
        <f>IF(ISNA(VLOOKUP(A33,'Données projet'!$A$61:$I$81,6,0)),0%,VLOOKUP(A33,'Données projet'!$A$61:$I$81,6,0)*VLOOKUP('Données projet'!$B$10,Paramètres!$A$1:$I$89,7,0))</f>
        <v>0.20350000000000001</v>
      </c>
      <c r="AT33" s="16">
        <f>IF(ISNA(VLOOKUP(A33,'Données projet'!$A$61:$I$81,7,0)),0%,VLOOKUP(A33,'Données projet'!$A$61:$I$81,7,0))</f>
        <v>0.38</v>
      </c>
      <c r="AU33" s="21">
        <f>EXP(-LN(2)/35)*AU32+(1-EXP(-LN(2)/35))/(LN(2)/35)*AQ33*AR33*VLOOKUP('Données projet'!$B$10,Paramètres!$A$1:$I$89,3,0)*0.475*44/12</f>
        <v>13.741423633784176</v>
      </c>
      <c r="AV33" s="21">
        <f>EXP(-LN(2)/25)*AV32+(1-EXP(-LN(2)/25))/(LN(2)/25)*Calculateur!AQ33*Calculateur!AS33*VLOOKUP('Données projet'!$B$10,Paramètres!$A$1:$I$89,3,0)*0.475*44/12</f>
        <v>19.632003721945019</v>
      </c>
      <c r="AW33" s="21">
        <f>EXP(-LN(2)/2)*AW32+(1-EXP(-LN(2)/2))/(LN(2)/2)*AQ33*AT33*VLOOKUP('Données projet'!$B$10,Paramètres!$A$1:$I$89,3,0)*0.475*44/12</f>
        <v>15.976689379412115</v>
      </c>
      <c r="AX33" s="21">
        <f t="shared" si="6"/>
        <v>49.350116735141306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36</v>
      </c>
      <c r="BD33" s="12">
        <f>IF('Données projet'!$A$88&gt;35,BD32+BC33-BL32,IF(A33&lt;'Données projet'!$A$88,$BA$205^A33,IF(A33='Données projet'!$A$88,'Données projet'!$B$88,BD32+BC33-BL32)))</f>
        <v>279</v>
      </c>
      <c r="BE33" s="13">
        <f>BD33*VLOOKUP('Données projet'!$B$11,Paramètres!$A$1:$I$89,3,0)*VLOOKUP('Données projet'!$B$11,Paramètres!$A$1:$I$89,5,0)</f>
        <v>130.572</v>
      </c>
      <c r="BF33" s="13">
        <f t="shared" si="37"/>
        <v>34.128497946598308</v>
      </c>
      <c r="BG33" s="20">
        <f t="shared" si="7"/>
        <v>286.85336725699204</v>
      </c>
      <c r="BH33" s="59">
        <f t="shared" si="8"/>
        <v>580.18670059032536</v>
      </c>
      <c r="BI33" s="59">
        <f ca="1">AVERAGE(OFFSET($BH$3,0,0,'Données projet'!$E$11+1,1))-AVERAGE(OFFSET($H$3,0,0,'Données projet'!$E$11+1,1))</f>
        <v>234.83702199169585</v>
      </c>
      <c r="BJ33" s="59">
        <f t="shared" si="38"/>
        <v>248.83008816685089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17.718116954172771</v>
      </c>
      <c r="BR33" s="21">
        <f>EXP(-LN(2)/2)*BR32+(1-EXP(-LN(2)/2))/(LN(2)/2)*BL33*BO33*VLOOKUP('Données projet'!$B$11,Paramètres!$A$1:$I$89,3,0)*0.475*44/12</f>
        <v>7.2829411529901957</v>
      </c>
      <c r="BS33" s="22">
        <f t="shared" si="9"/>
        <v>25.001058107162969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36</v>
      </c>
      <c r="BY33" s="12">
        <f>IF('Données projet'!$A$114&gt;35,BY32+BX33-CG32,IF(A33&lt;'Données projet'!$A$114,$BV$205^A33,IF(A33='Données projet'!$A$114,'Données projet'!$B$114,BY32+BX33-CG32)))</f>
        <v>279</v>
      </c>
      <c r="BZ33" s="13">
        <f>BY33*VLOOKUP('Données projet'!$B$12,Paramètres!$A$1:$I$89,3,0)*VLOOKUP('Données projet'!$B$12,Paramètres!$A$1:$I$89,5,0)</f>
        <v>123.31800000000003</v>
      </c>
      <c r="CA33" s="13">
        <f t="shared" si="39"/>
        <v>32.44763560269552</v>
      </c>
      <c r="CB33" s="20">
        <f t="shared" si="10"/>
        <v>271.29181534136137</v>
      </c>
      <c r="CC33" s="59">
        <f t="shared" si="11"/>
        <v>564.62514867469463</v>
      </c>
      <c r="CD33" s="59">
        <f ca="1">AVERAGE(OFFSET($CC$3,0,0,'Données projet'!$E$12+1,1))-AVERAGE(OFFSET($H$3,0,0,'Données projet'!$E$12+1,1))</f>
        <v>220.26537310502334</v>
      </c>
      <c r="CE33" s="59">
        <f t="shared" si="40"/>
        <v>233.26853625122016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16.733777123385401</v>
      </c>
      <c r="CM33" s="21">
        <f>EXP(-LN(2)/2)*CM32+(1-EXP(-LN(2)/2))/(LN(2)/2)*CG33*CJ33*VLOOKUP('Données projet'!$B$12,Paramètres!$A$1:$I$89,3,0)*0.475*44/12</f>
        <v>6.8783333111574088</v>
      </c>
      <c r="CN33" s="22">
        <f t="shared" si="12"/>
        <v>23.61211043454281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42</v>
      </c>
      <c r="N34" s="13">
        <f>IF('Données projet'!$A$36&gt;35,N33+M34-V33,IF(A34&lt;'Données projet'!$A$36,$K$205^A34,IF(A34='Données projet'!$A$36,'Données projet'!$B$36,N33+M34-V33)))</f>
        <v>387</v>
      </c>
      <c r="O34" s="13">
        <f>N34*VLOOKUP('Données projet'!$B$9,Paramètres!$A$1:$I$89,3,0)*VLOOKUP('Données projet'!$B$9,Paramètres!$A$1:$I$89,5,0)</f>
        <v>181.11599999999999</v>
      </c>
      <c r="P34" s="13">
        <f t="shared" si="33"/>
        <v>45.570386218758216</v>
      </c>
      <c r="Q34" s="20">
        <f t="shared" si="2"/>
        <v>394.81212266433721</v>
      </c>
      <c r="R34" s="59">
        <f t="shared" si="0"/>
        <v>688.14545599767052</v>
      </c>
      <c r="S34" s="59">
        <f ca="1">AVERAGE(OFFSET($R$3,0,0,'Données projet'!$E$9+1,1))-AVERAGE(OFFSET($H$3,0,0,'Données projet'!$E$9+1,1))</f>
        <v>263.37813242097957</v>
      </c>
      <c r="T34" s="59">
        <f t="shared" si="34"/>
        <v>314.89350816766904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7.4326949299964626</v>
      </c>
      <c r="AA34" s="21">
        <f>EXP(-LN(2)/25)*AA33+(1-EXP(-LN(2)/25))/(LN(2)/25)*Calculateur!V34*Calculateur!X34*VLOOKUP('Données projet'!$B$9,Paramètres!$A$1:$I$89,3,0)*0.475*44/12</f>
        <v>17.238717155029427</v>
      </c>
      <c r="AB34" s="21">
        <f>EXP(-LN(2)/2)*AB33+(1-EXP(-LN(2)/2))/(LN(2)/2)*V34*Y34*VLOOKUP('Données projet'!$B$9,Paramètres!$A$1:$I$89,3,0)*0.475*44/12</f>
        <v>3.4939383280583187</v>
      </c>
      <c r="AC34" s="22">
        <f t="shared" si="3"/>
        <v>28.165350413084209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31.4</v>
      </c>
      <c r="AI34" s="13">
        <f>IF('Données projet'!$A$62&gt;35,AI33+AH34-AQ33,IF(A34&lt;'Données projet'!$A$62,$AF$205^A34,IF(A34='Données projet'!$A$62,'Données projet'!$B$62,AI33+AH34-AQ33)))</f>
        <v>334.40000000000009</v>
      </c>
      <c r="AJ34" s="13">
        <f>AI34*VLOOKUP('Données projet'!$B$10,Paramètres!$A$1:$I$89,3,0)*VLOOKUP('Données projet'!$B$10,Paramètres!$A$1:$I$89,5,0)</f>
        <v>134.76320000000004</v>
      </c>
      <c r="AK34" s="13">
        <f t="shared" si="35"/>
        <v>35.094679348372154</v>
      </c>
      <c r="AL34" s="20">
        <f t="shared" si="4"/>
        <v>295.83580653174823</v>
      </c>
      <c r="AM34" s="59">
        <f t="shared" si="5"/>
        <v>589.16913986508155</v>
      </c>
      <c r="AN34" s="59">
        <f ca="1">AVERAGE(OFFSET($AM$3,0,0,'Données projet'!$E$10+1,1))-AVERAGE(OFFSET($H$3,0,0,'Données projet'!$E$10+1,1))</f>
        <v>344.29957955721721</v>
      </c>
      <c r="AO34" s="59">
        <f t="shared" si="36"/>
        <v>297.12790038882594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13.471962697766486</v>
      </c>
      <c r="AV34" s="21">
        <f>EXP(-LN(2)/25)*AV33+(1-EXP(-LN(2)/25))/(LN(2)/25)*Calculateur!AQ34*Calculateur!AS34*VLOOKUP('Données projet'!$B$10,Paramètres!$A$1:$I$89,3,0)*0.475*44/12</f>
        <v>19.095165547766225</v>
      </c>
      <c r="AW34" s="21">
        <f>EXP(-LN(2)/2)*AW33+(1-EXP(-LN(2)/2))/(LN(2)/2)*AQ34*AT34*VLOOKUP('Données projet'!$B$10,Paramètres!$A$1:$I$89,3,0)*0.475*44/12</f>
        <v>11.297225401093401</v>
      </c>
      <c r="AX34" s="21">
        <f t="shared" si="6"/>
        <v>43.864353646626114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>
        <f>VLOOKUP(A34,'Données projet'!$A$87:$I$107,2,0)</f>
        <v>315</v>
      </c>
      <c r="BB34" s="12">
        <f>VLOOKUP(A34,'Données projet'!$A$87:$I$107,9,0)</f>
        <v>36</v>
      </c>
      <c r="BC34" s="12">
        <f t="array" ref="BC34">INDEX(BB:BB,MIN(IF(ISNUMBER(BB34:BB230),ROW(BB34:BB230),"")))</f>
        <v>36</v>
      </c>
      <c r="BD34" s="12">
        <f>IF('Données projet'!$A$88&gt;35,BD33+BC34-BL33,IF(A34&lt;'Données projet'!$A$88,$BA$205^A34,IF(A34='Données projet'!$A$88,'Données projet'!$B$88,BD33+BC34-BL33)))</f>
        <v>315</v>
      </c>
      <c r="BE34" s="13">
        <f>BD34*VLOOKUP('Données projet'!$B$11,Paramètres!$A$1:$I$89,3,0)*VLOOKUP('Données projet'!$B$11,Paramètres!$A$1:$I$89,5,0)</f>
        <v>147.41999999999999</v>
      </c>
      <c r="BF34" s="13">
        <f t="shared" si="37"/>
        <v>37.991680647570291</v>
      </c>
      <c r="BG34" s="20">
        <f t="shared" si="7"/>
        <v>322.92534379451826</v>
      </c>
      <c r="BH34" s="59">
        <f t="shared" si="8"/>
        <v>616.25867712785157</v>
      </c>
      <c r="BI34" s="59">
        <f ca="1">AVERAGE(OFFSET($BH$3,0,0,'Données projet'!$E$11+1,1))-AVERAGE(OFFSET($H$3,0,0,'Données projet'!$E$11+1,1))</f>
        <v>234.83702199169585</v>
      </c>
      <c r="BJ34" s="59">
        <f t="shared" si="38"/>
        <v>248.83008816685089</v>
      </c>
      <c r="BK34" s="15">
        <f>IF(ISNA(VLOOKUP(A34,'Données projet'!$A$87:$I$107,3,0)),0,VLOOKUP(A34,'Données projet'!$A$87:$I$107,3,0))</f>
        <v>3</v>
      </c>
      <c r="BL34" s="15">
        <f>IF(ISNA(VLOOKUP(A34,'Données projet'!$A$87:$I$107,4,0)),0,VLOOKUP(A34,'Données projet'!$A$87:$I$107,4,0))</f>
        <v>57</v>
      </c>
      <c r="BM34" s="16">
        <f>IF(ISNA(VLOOKUP(A34,'Données projet'!$A$87:$I$107,5,0)),0%,VLOOKUP(A34,'Données projet'!$A$87:$I$107,5,0)*VLOOKUP('Données projet'!$B$11,Paramètres!$A$1:$I$89,7,0))</f>
        <v>0.1925</v>
      </c>
      <c r="BN34" s="16">
        <f>IF(ISNA(VLOOKUP(A34,'Données projet'!$A$87:$I$107,6,0)),0%,VLOOKUP(A34,'Données projet'!$A$87:$I$107,6,0)*VLOOKUP('Données projet'!$B$11,Paramètres!$A$1:$I$89,7,0))</f>
        <v>8.2500000000000004E-2</v>
      </c>
      <c r="BO34" s="16">
        <f>IF(ISNA(VLOOKUP(A34,'Données projet'!$A$87:$I$107,7,0)),0%,VLOOKUP(A34,'Données projet'!$A$87:$I$107,7,0))</f>
        <v>0.15</v>
      </c>
      <c r="BP34" s="21">
        <f>EXP(-LN(2)/35)*BP33+(1-EXP(-LN(2)/35))/(LN(2)/35)*BL34*BM34*VLOOKUP('Données projet'!$B$11,Paramètres!$A$1:$I$89,3,0)*0.475*44/12</f>
        <v>6.8120809320612459</v>
      </c>
      <c r="BQ34" s="21">
        <f>EXP(-LN(2)/25)*BQ33+(1-EXP(-LN(2)/25))/(LN(2)/25)*Calculateur!BL34*Calculateur!BN34*VLOOKUP('Données projet'!$B$11,Paramètres!$A$1:$I$89,3,0)*0.475*44/12</f>
        <v>20.141582331659382</v>
      </c>
      <c r="BR34" s="21">
        <f>EXP(-LN(2)/2)*BR33+(1-EXP(-LN(2)/2))/(LN(2)/2)*BL34*BO34*VLOOKUP('Données projet'!$B$11,Paramètres!$A$1:$I$89,3,0)*0.475*44/12</f>
        <v>9.6803313915843408</v>
      </c>
      <c r="BS34" s="22">
        <f t="shared" si="9"/>
        <v>36.633994655304967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315</v>
      </c>
      <c r="BW34" s="12">
        <f>VLOOKUP(A34,'Données projet'!$A$113:$I$133,9,0)</f>
        <v>36</v>
      </c>
      <c r="BX34" s="12">
        <f t="array" ref="BX34">INDEX(BW:BW,MIN(IF(ISNUMBER(BW34:BW230),ROW(BW34:BW230),"")))</f>
        <v>36</v>
      </c>
      <c r="BY34" s="12">
        <f>IF('Données projet'!$A$114&gt;35,BY33+BX34-CG33,IF(A34&lt;'Données projet'!$A$114,$BV$205^A34,IF(A34='Données projet'!$A$114,'Données projet'!$B$114,BY33+BX34-CG33)))</f>
        <v>315</v>
      </c>
      <c r="BZ34" s="13">
        <f>BY34*VLOOKUP('Données projet'!$B$12,Paramètres!$A$1:$I$89,3,0)*VLOOKUP('Données projet'!$B$12,Paramètres!$A$1:$I$89,5,0)</f>
        <v>139.23000000000002</v>
      </c>
      <c r="CA34" s="13">
        <f t="shared" si="39"/>
        <v>36.120552727378737</v>
      </c>
      <c r="CB34" s="20">
        <f t="shared" si="10"/>
        <v>305.40221266685131</v>
      </c>
      <c r="CC34" s="59">
        <f t="shared" si="11"/>
        <v>598.73554600018463</v>
      </c>
      <c r="CD34" s="59">
        <f ca="1">AVERAGE(OFFSET($CC$3,0,0,'Données projet'!$E$12+1,1))-AVERAGE(OFFSET($H$3,0,0,'Données projet'!$E$12+1,1))</f>
        <v>220.26537310502334</v>
      </c>
      <c r="CE34" s="59">
        <f t="shared" si="40"/>
        <v>233.26853625122016</v>
      </c>
      <c r="CF34" s="15">
        <f>IF(ISNA(VLOOKUP(A34,'Données projet'!$A$113:$I$133,3,0)),0,VLOOKUP(A34,'Données projet'!$A$113:$I$133,3,0))</f>
        <v>3</v>
      </c>
      <c r="CG34" s="15">
        <f>IF(ISNA(VLOOKUP(A34,'Données projet'!$A$113:$I$133,4,0)),0,VLOOKUP(A34,'Données projet'!$A$113:$I$133,4,0))</f>
        <v>57</v>
      </c>
      <c r="CH34" s="16">
        <f>IF(ISNA(VLOOKUP(A34,'Données projet'!$A$113:$I$133,5,0)),0%,VLOOKUP(A34,'Données projet'!$A$113:$I$133,5,0)*VLOOKUP('Données projet'!$B$12,Paramètres!$A$1:$I$89,7,0))</f>
        <v>0.1925</v>
      </c>
      <c r="CI34" s="16">
        <f>IF(ISNA(VLOOKUP(A34,'Données projet'!$A$113:$I$133,6,0)),0%,VLOOKUP(A34,'Données projet'!$A$113:$I$133,6,0)*VLOOKUP('Données projet'!$B$12,Paramètres!$A$1:$I$89,7,0))</f>
        <v>8.2500000000000004E-2</v>
      </c>
      <c r="CJ34" s="16">
        <f>IF(ISNA(VLOOKUP(A34,'Données projet'!$A$113:$I$133,7,0)),0%,VLOOKUP(A34,'Données projet'!$A$113:$I$133,7,0))</f>
        <v>0.15</v>
      </c>
      <c r="CK34" s="21">
        <f>EXP(-LN(2)/35)*CK33+(1-EXP(-LN(2)/35))/(LN(2)/35)*CG34*CH34*VLOOKUP('Données projet'!$B$12,Paramètres!$A$1:$I$89,3,0)*0.475*44/12</f>
        <v>6.4336319913911781</v>
      </c>
      <c r="CL34" s="21">
        <f>EXP(-LN(2)/25)*CL33+(1-EXP(-LN(2)/25))/(LN(2)/25)*Calculateur!CG34*Calculateur!CI34*VLOOKUP('Données projet'!$B$12,Paramètres!$A$1:$I$89,3,0)*0.475*44/12</f>
        <v>19.022605535456091</v>
      </c>
      <c r="CM34" s="21">
        <f>EXP(-LN(2)/2)*CM33+(1-EXP(-LN(2)/2))/(LN(2)/2)*CG34*CJ34*VLOOKUP('Données projet'!$B$12,Paramètres!$A$1:$I$89,3,0)*0.475*44/12</f>
        <v>9.1425352031629892</v>
      </c>
      <c r="CN34" s="22">
        <f t="shared" si="12"/>
        <v>34.598772730010253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429</v>
      </c>
      <c r="L35" s="12">
        <f>VLOOKUP(A35,'Données projet'!$A$35:$I$55,9,0)</f>
        <v>42</v>
      </c>
      <c r="M35" s="12">
        <f t="array" ref="M35">INDEX(L:L,MIN(IF(ISNUMBER(L35:L231),ROW(L35:L231),"")))</f>
        <v>42</v>
      </c>
      <c r="N35" s="13">
        <f>IF('Données projet'!$A$36&gt;35,N34+M35-V34,IF(A35&lt;'Données projet'!$A$36,$K$205^A35,IF(A35='Données projet'!$A$36,'Données projet'!$B$36,N34+M35-V34)))</f>
        <v>429</v>
      </c>
      <c r="O35" s="13">
        <f>N35*VLOOKUP('Données projet'!$B$9,Paramètres!$A$1:$I$89,3,0)*VLOOKUP('Données projet'!$B$9,Paramètres!$A$1:$I$89,5,0)</f>
        <v>200.77199999999999</v>
      </c>
      <c r="P35" s="13">
        <f t="shared" si="33"/>
        <v>49.913791898945412</v>
      </c>
      <c r="Q35" s="20">
        <f t="shared" ref="Q35:Q66" si="53">(O35+P35)*0.475*44/12</f>
        <v>436.61108755732994</v>
      </c>
      <c r="R35" s="59">
        <f t="shared" si="0"/>
        <v>729.9444208906632</v>
      </c>
      <c r="S35" s="59">
        <f ca="1">AVERAGE(OFFSET($R$3,0,0,'Données projet'!$E$9+1,1))-AVERAGE(OFFSET($H$3,0,0,'Données projet'!$E$9+1,1))</f>
        <v>263.37813242097957</v>
      </c>
      <c r="T35" s="59">
        <f t="shared" si="34"/>
        <v>314.89350816766904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72</v>
      </c>
      <c r="W35" s="16">
        <f>IF(ISNA(VLOOKUP(A35,'Données projet'!$A$35:$I$55,5,0)),0%,VLOOKUP(A35,'Données projet'!$A$35:$I$55,5,0)*VLOOKUP('Données projet'!$B$9,Paramètres!$A$1:$I$89,7,0))</f>
        <v>0.1925</v>
      </c>
      <c r="X35" s="16">
        <f>IF(ISNA(VLOOKUP(A35,'Données projet'!$A$35:$I$55,6,0)),0%,VLOOKUP(A35,'Données projet'!$A$35:$I$55,6,0)*VLOOKUP('Données projet'!$B$9,Paramètres!$A$1:$I$89,7,0))</f>
        <v>8.2500000000000004E-2</v>
      </c>
      <c r="Y35" s="16">
        <f>IF(ISNA(VLOOKUP(A35,'Données projet'!$A$35:$I$55,7,0)),0%,VLOOKUP(A35,'Données projet'!$A$35:$I$55,7,0))</f>
        <v>0.15</v>
      </c>
      <c r="Z35" s="21">
        <f>EXP(-LN(2)/35)*Z34+(1-EXP(-LN(2)/35))/(LN(2)/35)*V35*W35*VLOOKUP('Données projet'!$B$9,Paramètres!$A$1:$I$89,3,0)*0.475*44/12</f>
        <v>15.891678124834961</v>
      </c>
      <c r="AA35" s="21">
        <f>EXP(-LN(2)/25)*AA34+(1-EXP(-LN(2)/25))/(LN(2)/25)*Calculateur!V35*Calculateur!X35*VLOOKUP('Données projet'!$B$9,Paramètres!$A$1:$I$89,3,0)*0.475*44/12</f>
        <v>20.44054653927461</v>
      </c>
      <c r="AB35" s="21">
        <f>EXP(-LN(2)/2)*AB34+(1-EXP(-LN(2)/2))/(LN(2)/2)*V35*Y35*VLOOKUP('Données projet'!$B$9,Paramètres!$A$1:$I$89,3,0)*0.475*44/12</f>
        <v>8.1933424094353917</v>
      </c>
      <c r="AC35" s="22">
        <f t="shared" si="3"/>
        <v>44.525567073544963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31.4</v>
      </c>
      <c r="AI35" s="13">
        <f>IF('Données projet'!$A$62&gt;35,AI34+AH35-AQ34,IF(A35&lt;'Données projet'!$A$62,$AF$205^A35,IF(A35='Données projet'!$A$62,'Données projet'!$B$62,AI34+AH35-AQ34)))</f>
        <v>365.80000000000007</v>
      </c>
      <c r="AJ35" s="13">
        <f>AI35*VLOOKUP('Données projet'!$B$10,Paramètres!$A$1:$I$89,3,0)*VLOOKUP('Données projet'!$B$10,Paramètres!$A$1:$I$89,5,0)</f>
        <v>147.41740000000004</v>
      </c>
      <c r="AK35" s="13">
        <f t="shared" si="35"/>
        <v>37.991088593187975</v>
      </c>
      <c r="AL35" s="20">
        <f t="shared" si="4"/>
        <v>322.91978429980242</v>
      </c>
      <c r="AM35" s="59">
        <f t="shared" si="5"/>
        <v>616.25311763313573</v>
      </c>
      <c r="AN35" s="59">
        <f ca="1">AVERAGE(OFFSET($AM$3,0,0,'Données projet'!$E$10+1,1))-AVERAGE(OFFSET($H$3,0,0,'Données projet'!$E$10+1,1))</f>
        <v>344.29957955721721</v>
      </c>
      <c r="AO35" s="59">
        <f t="shared" si="36"/>
        <v>297.12790038882594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13.207785726349162</v>
      </c>
      <c r="AV35" s="21">
        <f>EXP(-LN(2)/25)*AV34+(1-EXP(-LN(2)/25))/(LN(2)/25)*Calculateur!AQ35*Calculateur!AS35*VLOOKUP('Données projet'!$B$10,Paramètres!$A$1:$I$89,3,0)*0.475*44/12</f>
        <v>18.573007241691442</v>
      </c>
      <c r="AW35" s="21">
        <f>EXP(-LN(2)/2)*AW34+(1-EXP(-LN(2)/2))/(LN(2)/2)*AQ35*AT35*VLOOKUP('Données projet'!$B$10,Paramètres!$A$1:$I$89,3,0)*0.475*44/12</f>
        <v>7.988344689706059</v>
      </c>
      <c r="AX35" s="21">
        <f t="shared" si="6"/>
        <v>39.769137657746661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37.5</v>
      </c>
      <c r="BD35" s="12">
        <f>IF('Données projet'!$A$88&gt;35,BD34+BC35-BL34,IF(A35&lt;'Données projet'!$A$88,$BA$205^A35,IF(A35='Données projet'!$A$88,'Données projet'!$B$88,BD34+BC35-BL34)))</f>
        <v>295.5</v>
      </c>
      <c r="BE35" s="13">
        <f>BD35*VLOOKUP('Données projet'!$B$11,Paramètres!$A$1:$I$89,3,0)*VLOOKUP('Données projet'!$B$11,Paramètres!$A$1:$I$89,5,0)</f>
        <v>138.29400000000001</v>
      </c>
      <c r="BF35" s="13">
        <f t="shared" si="37"/>
        <v>35.905906413030237</v>
      </c>
      <c r="BG35" s="20">
        <f t="shared" si="7"/>
        <v>303.39817033602765</v>
      </c>
      <c r="BH35" s="59">
        <f t="shared" si="8"/>
        <v>596.73150366936102</v>
      </c>
      <c r="BI35" s="59">
        <f ca="1">AVERAGE(OFFSET($BH$3,0,0,'Données projet'!$E$11+1,1))-AVERAGE(OFFSET($H$3,0,0,'Données projet'!$E$11+1,1))</f>
        <v>234.83702199169585</v>
      </c>
      <c r="BJ35" s="59">
        <f t="shared" si="38"/>
        <v>248.83008816685089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6.6785001799426249</v>
      </c>
      <c r="BQ35" s="21">
        <f>EXP(-LN(2)/25)*BQ34+(1-EXP(-LN(2)/25))/(LN(2)/25)*Calculateur!BL35*Calculateur!BN35*VLOOKUP('Données projet'!$B$11,Paramètres!$A$1:$I$89,3,0)*0.475*44/12</f>
        <v>19.590809703600375</v>
      </c>
      <c r="BR35" s="21">
        <f>EXP(-LN(2)/2)*BR34+(1-EXP(-LN(2)/2))/(LN(2)/2)*BL35*BO35*VLOOKUP('Données projet'!$B$11,Paramètres!$A$1:$I$89,3,0)*0.475*44/12</f>
        <v>6.8450279711222963</v>
      </c>
      <c r="BS35" s="22">
        <f t="shared" si="9"/>
        <v>33.114337854665294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37.5</v>
      </c>
      <c r="BY35" s="12">
        <f>IF('Données projet'!$A$114&gt;35,BY34+BX35-CG34,IF(A35&lt;'Données projet'!$A$114,$BV$205^A35,IF(A35='Données projet'!$A$114,'Données projet'!$B$114,BY34+BX35-CG34)))</f>
        <v>295.5</v>
      </c>
      <c r="BZ35" s="13">
        <f>BY35*VLOOKUP('Données projet'!$B$12,Paramètres!$A$1:$I$89,3,0)*VLOOKUP('Données projet'!$B$12,Paramètres!$A$1:$I$89,5,0)</f>
        <v>130.61100000000002</v>
      </c>
      <c r="CA35" s="13">
        <f t="shared" si="39"/>
        <v>34.137504940812065</v>
      </c>
      <c r="CB35" s="20">
        <f t="shared" si="10"/>
        <v>286.93697943858103</v>
      </c>
      <c r="CC35" s="59">
        <f t="shared" si="11"/>
        <v>580.2703127719144</v>
      </c>
      <c r="CD35" s="59">
        <f ca="1">AVERAGE(OFFSET($CC$3,0,0,'Données projet'!$E$12+1,1))-AVERAGE(OFFSET($H$3,0,0,'Données projet'!$E$12+1,1))</f>
        <v>220.26537310502334</v>
      </c>
      <c r="CE35" s="59">
        <f t="shared" si="40"/>
        <v>233.26853625122016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6.3074723921680365</v>
      </c>
      <c r="CL35" s="21">
        <f>EXP(-LN(2)/25)*CL34+(1-EXP(-LN(2)/25))/(LN(2)/25)*Calculateur!CG35*Calculateur!CI35*VLOOKUP('Données projet'!$B$12,Paramètres!$A$1:$I$89,3,0)*0.475*44/12</f>
        <v>18.502431386733697</v>
      </c>
      <c r="CM35" s="21">
        <f>EXP(-LN(2)/2)*CM34+(1-EXP(-LN(2)/2))/(LN(2)/2)*CG35*CJ35*VLOOKUP('Données projet'!$B$12,Paramètres!$A$1:$I$89,3,0)*0.475*44/12</f>
        <v>6.4647486393932798</v>
      </c>
      <c r="CN35" s="22">
        <f t="shared" si="12"/>
        <v>31.274652418295013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40.5</v>
      </c>
      <c r="N36" s="13">
        <f>IF('Données projet'!$A$36&gt;35,N35+M36-V35,IF(A36&lt;'Données projet'!$A$36,$K$205^A36,IF(A36='Données projet'!$A$36,'Données projet'!$B$36,N35+M36-V35)))</f>
        <v>397.5</v>
      </c>
      <c r="O36" s="13">
        <f>N36*VLOOKUP('Données projet'!$B$9,Paramètres!$A$1:$I$89,3,0)*VLOOKUP('Données projet'!$B$9,Paramètres!$A$1:$I$89,5,0)</f>
        <v>186.03</v>
      </c>
      <c r="P36" s="13">
        <f t="shared" si="33"/>
        <v>46.661166464968041</v>
      </c>
      <c r="Q36" s="20">
        <f t="shared" si="53"/>
        <v>405.27044825981937</v>
      </c>
      <c r="R36" s="59">
        <f t="shared" si="0"/>
        <v>698.60378159315269</v>
      </c>
      <c r="S36" s="59">
        <f ca="1">AVERAGE(OFFSET($R$3,0,0,'Données projet'!$E$9+1,1))-AVERAGE(OFFSET($H$3,0,0,'Données projet'!$E$9+1,1))</f>
        <v>263.37813242097957</v>
      </c>
      <c r="T36" s="59">
        <f t="shared" si="34"/>
        <v>314.89350816766904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15.580052009773503</v>
      </c>
      <c r="AA36" s="21">
        <f>EXP(-LN(2)/25)*AA35+(1-EXP(-LN(2)/25))/(LN(2)/25)*Calculateur!V36*Calculateur!X36*VLOOKUP('Données projet'!$B$9,Paramètres!$A$1:$I$89,3,0)*0.475*44/12</f>
        <v>19.881598719236521</v>
      </c>
      <c r="AB36" s="21">
        <f>EXP(-LN(2)/2)*AB35+(1-EXP(-LN(2)/2))/(LN(2)/2)*V36*Y36*VLOOKUP('Données projet'!$B$9,Paramètres!$A$1:$I$89,3,0)*0.475*44/12</f>
        <v>5.7935679782950924</v>
      </c>
      <c r="AC36" s="22">
        <f t="shared" si="3"/>
        <v>41.255218707305119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31.4</v>
      </c>
      <c r="AI36" s="13">
        <f>IF('Données projet'!$A$62&gt;35,AI35+AH36-AQ35,IF(A36&lt;'Données projet'!$A$62,$AF$205^A36,IF(A36='Données projet'!$A$62,'Données projet'!$B$62,AI35+AH36-AQ35)))</f>
        <v>397.20000000000005</v>
      </c>
      <c r="AJ36" s="13">
        <f>AI36*VLOOKUP('Données projet'!$B$10,Paramètres!$A$1:$I$89,3,0)*VLOOKUP('Données projet'!$B$10,Paramètres!$A$1:$I$89,5,0)</f>
        <v>160.07160000000002</v>
      </c>
      <c r="AK36" s="13">
        <f t="shared" si="35"/>
        <v>40.858664566017623</v>
      </c>
      <c r="AL36" s="20">
        <f t="shared" si="4"/>
        <v>349.95354411914735</v>
      </c>
      <c r="AM36" s="59">
        <f t="shared" si="5"/>
        <v>643.28687745248067</v>
      </c>
      <c r="AN36" s="59">
        <f ca="1">AVERAGE(OFFSET($AM$3,0,0,'Données projet'!$E$10+1,1))-AVERAGE(OFFSET($H$3,0,0,'Données projet'!$E$10+1,1))</f>
        <v>344.29957955721721</v>
      </c>
      <c r="AO36" s="59">
        <f t="shared" si="36"/>
        <v>297.12790038882594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12.948789104209288</v>
      </c>
      <c r="AV36" s="21">
        <f>EXP(-LN(2)/25)*AV35+(1-EXP(-LN(2)/25))/(LN(2)/25)*Calculateur!AQ36*Calculateur!AS36*VLOOKUP('Données projet'!$B$10,Paramètres!$A$1:$I$89,3,0)*0.475*44/12</f>
        <v>18.065127381955389</v>
      </c>
      <c r="AW36" s="21">
        <f>EXP(-LN(2)/2)*AW35+(1-EXP(-LN(2)/2))/(LN(2)/2)*AQ36*AT36*VLOOKUP('Données projet'!$B$10,Paramètres!$A$1:$I$89,3,0)*0.475*44/12</f>
        <v>5.6486127005467015</v>
      </c>
      <c r="AX36" s="21">
        <f t="shared" si="6"/>
        <v>36.662529186711375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37.5</v>
      </c>
      <c r="BD36" s="12">
        <f>IF('Données projet'!$A$88&gt;35,BD35+BC36-BL35,IF(A36&lt;'Données projet'!$A$88,$BA$205^A36,IF(A36='Données projet'!$A$88,'Données projet'!$B$88,BD35+BC36-BL35)))</f>
        <v>333</v>
      </c>
      <c r="BE36" s="13">
        <f>BD36*VLOOKUP('Données projet'!$B$11,Paramètres!$A$1:$I$89,3,0)*VLOOKUP('Données projet'!$B$11,Paramètres!$A$1:$I$89,5,0)</f>
        <v>155.84399999999999</v>
      </c>
      <c r="BF36" s="13">
        <f t="shared" si="37"/>
        <v>39.903687010744221</v>
      </c>
      <c r="BG36" s="20">
        <f t="shared" si="7"/>
        <v>340.92722154371285</v>
      </c>
      <c r="BH36" s="59">
        <f t="shared" si="8"/>
        <v>634.26055487704616</v>
      </c>
      <c r="BI36" s="59">
        <f ca="1">AVERAGE(OFFSET($BH$3,0,0,'Données projet'!$E$11+1,1))-AVERAGE(OFFSET($H$3,0,0,'Données projet'!$E$11+1,1))</f>
        <v>234.83702199169585</v>
      </c>
      <c r="BJ36" s="59">
        <f t="shared" si="38"/>
        <v>248.83008816685089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6.5475388648968371</v>
      </c>
      <c r="BQ36" s="21">
        <f>EXP(-LN(2)/25)*BQ35+(1-EXP(-LN(2)/25))/(LN(2)/25)*Calculateur!BL36*Calculateur!BN36*VLOOKUP('Données projet'!$B$11,Paramètres!$A$1:$I$89,3,0)*0.475*44/12</f>
        <v>19.055097982019515</v>
      </c>
      <c r="BR36" s="21">
        <f>EXP(-LN(2)/2)*BR35+(1-EXP(-LN(2)/2))/(LN(2)/2)*BL36*BO36*VLOOKUP('Données projet'!$B$11,Paramètres!$A$1:$I$89,3,0)*0.475*44/12</f>
        <v>4.8401656957921713</v>
      </c>
      <c r="BS36" s="22">
        <f t="shared" si="9"/>
        <v>30.44280254270852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37.5</v>
      </c>
      <c r="BY36" s="12">
        <f>IF('Données projet'!$A$114&gt;35,BY35+BX36-CG35,IF(A36&lt;'Données projet'!$A$114,$BV$205^A36,IF(A36='Données projet'!$A$114,'Données projet'!$B$114,BY35+BX36-CG35)))</f>
        <v>333</v>
      </c>
      <c r="BZ36" s="13">
        <f>BY36*VLOOKUP('Données projet'!$B$12,Paramètres!$A$1:$I$89,3,0)*VLOOKUP('Données projet'!$B$12,Paramètres!$A$1:$I$89,5,0)</f>
        <v>147.18600000000004</v>
      </c>
      <c r="CA36" s="13">
        <f t="shared" si="39"/>
        <v>37.938390882441361</v>
      </c>
      <c r="CB36" s="20">
        <f t="shared" si="10"/>
        <v>322.42498078691875</v>
      </c>
      <c r="CC36" s="59">
        <f t="shared" si="11"/>
        <v>615.75831412025207</v>
      </c>
      <c r="CD36" s="59">
        <f ca="1">AVERAGE(OFFSET($CC$3,0,0,'Données projet'!$E$12+1,1))-AVERAGE(OFFSET($H$3,0,0,'Données projet'!$E$12+1,1))</f>
        <v>220.26537310502334</v>
      </c>
      <c r="CE36" s="59">
        <f t="shared" si="40"/>
        <v>233.26853625122016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6.1837867057359031</v>
      </c>
      <c r="CL36" s="21">
        <f>EXP(-LN(2)/25)*CL35+(1-EXP(-LN(2)/25))/(LN(2)/25)*Calculateur!CG36*Calculateur!CI36*VLOOKUP('Données projet'!$B$12,Paramètres!$A$1:$I$89,3,0)*0.475*44/12</f>
        <v>17.996481427462886</v>
      </c>
      <c r="CM36" s="21">
        <f>EXP(-LN(2)/2)*CM35+(1-EXP(-LN(2)/2))/(LN(2)/2)*CG36*CJ36*VLOOKUP('Données projet'!$B$12,Paramètres!$A$1:$I$89,3,0)*0.475*44/12</f>
        <v>4.5712676015814955</v>
      </c>
      <c r="CN36" s="22">
        <f t="shared" si="12"/>
        <v>28.751535734780283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40.5</v>
      </c>
      <c r="N37" s="13">
        <f>IF('Données projet'!$A$36&gt;35,N36+M37-V36,IF(A37&lt;'Données projet'!$A$36,$K$205^A37,IF(A37='Données projet'!$A$36,'Données projet'!$B$36,N36+M37-V36)))</f>
        <v>438</v>
      </c>
      <c r="O37" s="13">
        <f>N37*VLOOKUP('Données projet'!$B$9,Paramètres!$A$1:$I$89,3,0)*VLOOKUP('Données projet'!$B$9,Paramètres!$A$1:$I$89,5,0)</f>
        <v>204.98400000000001</v>
      </c>
      <c r="P37" s="13">
        <f t="shared" si="33"/>
        <v>50.837926006791818</v>
      </c>
      <c r="Q37" s="20">
        <f t="shared" si="53"/>
        <v>445.55652112849572</v>
      </c>
      <c r="R37" s="59">
        <f t="shared" si="0"/>
        <v>738.88985446182903</v>
      </c>
      <c r="S37" s="59">
        <f ca="1">AVERAGE(OFFSET($R$3,0,0,'Données projet'!$E$9+1,1))-AVERAGE(OFFSET($H$3,0,0,'Données projet'!$E$9+1,1))</f>
        <v>263.37813242097957</v>
      </c>
      <c r="T37" s="59">
        <f t="shared" si="34"/>
        <v>314.89350816766904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15.274536692755238</v>
      </c>
      <c r="AA37" s="21">
        <f>EXP(-LN(2)/25)*AA36+(1-EXP(-LN(2)/25))/(LN(2)/25)*Calculateur!V37*Calculateur!X37*VLOOKUP('Données projet'!$B$9,Paramètres!$A$1:$I$89,3,0)*0.475*44/12</f>
        <v>19.337935356731162</v>
      </c>
      <c r="AB37" s="21">
        <f>EXP(-LN(2)/2)*AB36+(1-EXP(-LN(2)/2))/(LN(2)/2)*V37*Y37*VLOOKUP('Données projet'!$B$9,Paramètres!$A$1:$I$89,3,0)*0.475*44/12</f>
        <v>4.0966712047176967</v>
      </c>
      <c r="AC37" s="22">
        <f t="shared" si="3"/>
        <v>38.709143254204093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31.4</v>
      </c>
      <c r="AI37" s="13">
        <f>IF('Données projet'!$A$62&gt;35,AI36+AH37-AQ36,IF(A37&lt;'Données projet'!$A$62,$AF$205^A37,IF(A37='Données projet'!$A$62,'Données projet'!$B$62,AI36+AH37-AQ36)))</f>
        <v>428.6</v>
      </c>
      <c r="AJ37" s="13">
        <f>AI37*VLOOKUP('Données projet'!$B$10,Paramètres!$A$1:$I$89,3,0)*VLOOKUP('Données projet'!$B$10,Paramètres!$A$1:$I$89,5,0)</f>
        <v>172.72580000000002</v>
      </c>
      <c r="AK37" s="13">
        <f t="shared" si="35"/>
        <v>43.699945781426592</v>
      </c>
      <c r="AL37" s="20">
        <f t="shared" si="4"/>
        <v>376.9415072359846</v>
      </c>
      <c r="AM37" s="59">
        <f t="shared" si="5"/>
        <v>670.27484056931792</v>
      </c>
      <c r="AN37" s="59">
        <f ca="1">AVERAGE(OFFSET($AM$3,0,0,'Données projet'!$E$10+1,1))-AVERAGE(OFFSET($H$3,0,0,'Données projet'!$E$10+1,1))</f>
        <v>344.29957955721721</v>
      </c>
      <c r="AO37" s="59">
        <f t="shared" si="36"/>
        <v>297.12790038882594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12.694871247857236</v>
      </c>
      <c r="AV37" s="21">
        <f>EXP(-LN(2)/25)*AV36+(1-EXP(-LN(2)/25))/(LN(2)/25)*Calculateur!AQ37*Calculateur!AS37*VLOOKUP('Données projet'!$B$10,Paramètres!$A$1:$I$89,3,0)*0.475*44/12</f>
        <v>17.571135523692057</v>
      </c>
      <c r="AW37" s="21">
        <f>EXP(-LN(2)/2)*AW36+(1-EXP(-LN(2)/2))/(LN(2)/2)*AQ37*AT37*VLOOKUP('Données projet'!$B$10,Paramètres!$A$1:$I$89,3,0)*0.475*44/12</f>
        <v>3.99417234485303</v>
      </c>
      <c r="AX37" s="21">
        <f t="shared" si="6"/>
        <v>34.26017911640232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37.5</v>
      </c>
      <c r="BD37" s="12">
        <f>IF('Données projet'!$A$88&gt;35,BD36+BC37-BL36,IF(A37&lt;'Données projet'!$A$88,$BA$205^A37,IF(A37='Données projet'!$A$88,'Données projet'!$B$88,BD36+BC37-BL36)))</f>
        <v>370.5</v>
      </c>
      <c r="BE37" s="13">
        <f>BD37*VLOOKUP('Données projet'!$B$11,Paramètres!$A$1:$I$89,3,0)*VLOOKUP('Données projet'!$B$11,Paramètres!$A$1:$I$89,5,0)</f>
        <v>173.39400000000001</v>
      </c>
      <c r="BF37" s="13">
        <f t="shared" si="37"/>
        <v>43.849289930196633</v>
      </c>
      <c r="BG37" s="20">
        <f t="shared" si="7"/>
        <v>378.36539662842574</v>
      </c>
      <c r="BH37" s="59">
        <f t="shared" si="8"/>
        <v>671.698729961759</v>
      </c>
      <c r="BI37" s="59">
        <f ca="1">AVERAGE(OFFSET($BH$3,0,0,'Données projet'!$E$11+1,1))-AVERAGE(OFFSET($H$3,0,0,'Données projet'!$E$11+1,1))</f>
        <v>234.83702199169585</v>
      </c>
      <c r="BJ37" s="59">
        <f t="shared" si="38"/>
        <v>248.83008816685089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6.419145621360582</v>
      </c>
      <c r="BQ37" s="21">
        <f>EXP(-LN(2)/25)*BQ36+(1-EXP(-LN(2)/25))/(LN(2)/25)*Calculateur!BL37*Calculateur!BN37*VLOOKUP('Données projet'!$B$11,Paramètres!$A$1:$I$89,3,0)*0.475*44/12</f>
        <v>18.534035325637138</v>
      </c>
      <c r="BR37" s="21">
        <f>EXP(-LN(2)/2)*BR36+(1-EXP(-LN(2)/2))/(LN(2)/2)*BL37*BO37*VLOOKUP('Données projet'!$B$11,Paramètres!$A$1:$I$89,3,0)*0.475*44/12</f>
        <v>3.4225139855611486</v>
      </c>
      <c r="BS37" s="22">
        <f t="shared" si="9"/>
        <v>28.375694932558869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37.5</v>
      </c>
      <c r="BY37" s="12">
        <f>IF('Données projet'!$A$114&gt;35,BY36+BX37-CG36,IF(A37&lt;'Données projet'!$A$114,$BV$205^A37,IF(A37='Données projet'!$A$114,'Données projet'!$B$114,BY36+BX37-CG36)))</f>
        <v>370.5</v>
      </c>
      <c r="BZ37" s="13">
        <f>BY37*VLOOKUP('Données projet'!$B$12,Paramètres!$A$1:$I$89,3,0)*VLOOKUP('Données projet'!$B$12,Paramètres!$A$1:$I$89,5,0)</f>
        <v>163.76100000000002</v>
      </c>
      <c r="CA37" s="13">
        <f t="shared" si="39"/>
        <v>41.689668948169547</v>
      </c>
      <c r="CB37" s="20">
        <f t="shared" si="10"/>
        <v>357.82658175139539</v>
      </c>
      <c r="CC37" s="59">
        <f t="shared" si="11"/>
        <v>651.15991508472871</v>
      </c>
      <c r="CD37" s="59">
        <f ca="1">AVERAGE(OFFSET($CC$3,0,0,'Données projet'!$E$12+1,1))-AVERAGE(OFFSET($H$3,0,0,'Données projet'!$E$12+1,1))</f>
        <v>220.26537310502334</v>
      </c>
      <c r="CE37" s="59">
        <f t="shared" si="40"/>
        <v>233.26853625122016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6.0625264201738842</v>
      </c>
      <c r="CL37" s="21">
        <f>EXP(-LN(2)/25)*CL36+(1-EXP(-LN(2)/25))/(LN(2)/25)*Calculateur!CG37*Calculateur!CI37*VLOOKUP('Données projet'!$B$12,Paramètres!$A$1:$I$89,3,0)*0.475*44/12</f>
        <v>17.504366696435085</v>
      </c>
      <c r="CM37" s="21">
        <f>EXP(-LN(2)/2)*CM36+(1-EXP(-LN(2)/2))/(LN(2)/2)*CG37*CJ37*VLOOKUP('Données projet'!$B$12,Paramètres!$A$1:$I$89,3,0)*0.475*44/12</f>
        <v>3.2323743196966408</v>
      </c>
      <c r="CN37" s="22">
        <f t="shared" si="12"/>
        <v>26.799267436305612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40.5</v>
      </c>
      <c r="N38" s="13">
        <f>IF('Données projet'!$A$36&gt;35,N37+M38-V37,IF(A38&lt;'Données projet'!$A$36,$K$205^A38,IF(A38='Données projet'!$A$36,'Données projet'!$B$36,N37+M38-V37)))</f>
        <v>478.5</v>
      </c>
      <c r="O38" s="13">
        <f>N38*VLOOKUP('Données projet'!$B$9,Paramètres!$A$1:$I$89,3,0)*VLOOKUP('Données projet'!$B$9,Paramètres!$A$1:$I$89,5,0)</f>
        <v>223.93799999999999</v>
      </c>
      <c r="P38" s="13">
        <f t="shared" si="33"/>
        <v>54.969904783066404</v>
      </c>
      <c r="Q38" s="20">
        <f t="shared" si="53"/>
        <v>485.76460083050716</v>
      </c>
      <c r="R38" s="59">
        <f t="shared" si="0"/>
        <v>779.09793416384048</v>
      </c>
      <c r="S38" s="59">
        <f ca="1">AVERAGE(OFFSET($R$3,0,0,'Données projet'!$E$9+1,1))-AVERAGE(OFFSET($H$3,0,0,'Données projet'!$E$9+1,1))</f>
        <v>263.37813242097957</v>
      </c>
      <c r="T38" s="59">
        <f t="shared" si="34"/>
        <v>314.89350816766904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14.975012344757758</v>
      </c>
      <c r="AA38" s="21">
        <f>EXP(-LN(2)/25)*AA37+(1-EXP(-LN(2)/25))/(LN(2)/25)*Calculateur!V38*Calculateur!X38*VLOOKUP('Données projet'!$B$9,Paramètres!$A$1:$I$89,3,0)*0.475*44/12</f>
        <v>18.809138497463525</v>
      </c>
      <c r="AB38" s="21">
        <f>EXP(-LN(2)/2)*AB37+(1-EXP(-LN(2)/2))/(LN(2)/2)*V38*Y38*VLOOKUP('Données projet'!$B$9,Paramètres!$A$1:$I$89,3,0)*0.475*44/12</f>
        <v>2.8967839891475466</v>
      </c>
      <c r="AC38" s="22">
        <f t="shared" si="3"/>
        <v>36.680934831368823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460</v>
      </c>
      <c r="AG38" s="12">
        <f>VLOOKUP(A38,'Données projet'!$A$61:$I$81,9,0)</f>
        <v>31.4</v>
      </c>
      <c r="AH38" s="12">
        <f t="array" ref="AH38">INDEX(AG:AG,MIN(IF(ISNUMBER(AG38:AG234),ROW(AG38:AG234),"")))</f>
        <v>31.4</v>
      </c>
      <c r="AI38" s="13">
        <f>IF('Données projet'!$A$62&gt;35,AI37+AH38-AQ37,IF(A38&lt;'Données projet'!$A$62,$AF$205^A38,IF(A38='Données projet'!$A$62,'Données projet'!$B$62,AI37+AH38-AQ37)))</f>
        <v>460</v>
      </c>
      <c r="AJ38" s="13">
        <f>AI38*VLOOKUP('Données projet'!$B$10,Paramètres!$A$1:$I$89,3,0)*VLOOKUP('Données projet'!$B$10,Paramètres!$A$1:$I$89,5,0)</f>
        <v>185.38</v>
      </c>
      <c r="AK38" s="13">
        <f t="shared" si="35"/>
        <v>46.517077709312211</v>
      </c>
      <c r="AL38" s="20">
        <f t="shared" si="4"/>
        <v>403.88741034371878</v>
      </c>
      <c r="AM38" s="59">
        <f t="shared" si="5"/>
        <v>697.22074367705204</v>
      </c>
      <c r="AN38" s="59">
        <f ca="1">AVERAGE(OFFSET($AM$3,0,0,'Données projet'!$E$10+1,1))-AVERAGE(OFFSET($H$3,0,0,'Données projet'!$E$10+1,1))</f>
        <v>344.29957955721721</v>
      </c>
      <c r="AO38" s="59">
        <f t="shared" si="36"/>
        <v>297.12790038882594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77</v>
      </c>
      <c r="AR38" s="16">
        <f>IF(ISNA(VLOOKUP(A38,'Données projet'!$A$61:$I$81,5,0)),0%,VLOOKUP(A38,'Données projet'!$A$61:$I$81,5,0)*VLOOKUP('Données projet'!$B$10,Paramètres!$A$1:$I$89,7,0))</f>
        <v>0.13750000000000001</v>
      </c>
      <c r="AS38" s="16">
        <f>IF(ISNA(VLOOKUP(A38,'Données projet'!$A$61:$I$81,6,0)),0%,VLOOKUP(A38,'Données projet'!$A$61:$I$81,6,0)*VLOOKUP('Données projet'!$B$10,Paramètres!$A$1:$I$89,7,0))</f>
        <v>0.20350000000000001</v>
      </c>
      <c r="AT38" s="16">
        <f>IF(ISNA(VLOOKUP(A38,'Données projet'!$A$61:$I$81,7,0)),0%,VLOOKUP(A38,'Données projet'!$A$61:$I$81,7,0))</f>
        <v>0.38</v>
      </c>
      <c r="AU38" s="21">
        <f>EXP(-LN(2)/35)*AU37+(1-EXP(-LN(2)/35))/(LN(2)/35)*AQ38*AR38*VLOOKUP('Données projet'!$B$10,Paramètres!$A$1:$I$89,3,0)*0.475*44/12</f>
        <v>18.106068038095998</v>
      </c>
      <c r="AV38" s="21">
        <f>EXP(-LN(2)/25)*AV37+(1-EXP(-LN(2)/25))/(LN(2)/25)*Calculateur!AQ38*Calculateur!AS38*VLOOKUP('Données projet'!$B$10,Paramètres!$A$1:$I$89,3,0)*0.475*44/12</f>
        <v>25.434668954926298</v>
      </c>
      <c r="AW38" s="21">
        <f>EXP(-LN(2)/2)*AW37+(1-EXP(-LN(2)/2))/(LN(2)/2)*AQ38*AT38*VLOOKUP('Données projet'!$B$10,Paramètres!$A$1:$I$89,3,0)*0.475*44/12</f>
        <v>16.17534051159998</v>
      </c>
      <c r="AX38" s="21">
        <f t="shared" si="6"/>
        <v>59.716077504622277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408</v>
      </c>
      <c r="BB38" s="12">
        <f>VLOOKUP(A38,'Données projet'!$A$87:$I$107,9,0)</f>
        <v>37.5</v>
      </c>
      <c r="BC38" s="12">
        <f t="array" ref="BC38">INDEX(BB:BB,MIN(IF(ISNUMBER(BB38:BB234),ROW(BB38:BB234),"")))</f>
        <v>37.5</v>
      </c>
      <c r="BD38" s="12">
        <f>IF('Données projet'!$A$88&gt;35,BD37+BC38-BL37,IF(A38&lt;'Données projet'!$A$88,$BA$205^A38,IF(A38='Données projet'!$A$88,'Données projet'!$B$88,BD37+BC38-BL37)))</f>
        <v>408</v>
      </c>
      <c r="BE38" s="13">
        <f>BD38*VLOOKUP('Données projet'!$B$11,Paramètres!$A$1:$I$89,3,0)*VLOOKUP('Données projet'!$B$11,Paramètres!$A$1:$I$89,5,0)</f>
        <v>190.94399999999999</v>
      </c>
      <c r="BF38" s="13">
        <f t="shared" si="37"/>
        <v>47.748597609826597</v>
      </c>
      <c r="BG38" s="20">
        <f t="shared" si="7"/>
        <v>415.72294083711455</v>
      </c>
      <c r="BH38" s="59">
        <f t="shared" si="8"/>
        <v>709.05627417044786</v>
      </c>
      <c r="BI38" s="59">
        <f ca="1">AVERAGE(OFFSET($BH$3,0,0,'Données projet'!$E$11+1,1))-AVERAGE(OFFSET($H$3,0,0,'Données projet'!$E$11+1,1))</f>
        <v>234.83702199169585</v>
      </c>
      <c r="BJ38" s="59">
        <f t="shared" si="38"/>
        <v>248.83008816685089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64</v>
      </c>
      <c r="BM38" s="16">
        <f>IF(ISNA(VLOOKUP(A38,'Données projet'!$A$87:$I$107,5,0)),0%,VLOOKUP(A38,'Données projet'!$A$87:$I$107,5,0)*VLOOKUP('Données projet'!$B$11,Paramètres!$A$1:$I$89,7,0))</f>
        <v>0.1925</v>
      </c>
      <c r="BN38" s="16">
        <f>IF(ISNA(VLOOKUP(A38,'Données projet'!$A$87:$I$107,6,0)),0%,VLOOKUP(A38,'Données projet'!$A$87:$I$107,6,0)*VLOOKUP('Données projet'!$B$11,Paramètres!$A$1:$I$89,7,0))</f>
        <v>8.2500000000000004E-2</v>
      </c>
      <c r="BO38" s="16">
        <f>IF(ISNA(VLOOKUP(A38,'Données projet'!$A$87:$I$107,7,0)),0%,VLOOKUP(A38,'Données projet'!$A$87:$I$107,7,0))</f>
        <v>0.15</v>
      </c>
      <c r="BP38" s="21">
        <f>EXP(-LN(2)/35)*BP37+(1-EXP(-LN(2)/35))/(LN(2)/35)*BL38*BM38*VLOOKUP('Données projet'!$B$11,Paramètres!$A$1:$I$89,3,0)*0.475*44/12</f>
        <v>13.94192236561301</v>
      </c>
      <c r="BQ38" s="21">
        <f>EXP(-LN(2)/25)*BQ37+(1-EXP(-LN(2)/25))/(LN(2)/25)*Calculateur!BL38*Calculateur!BN38*VLOOKUP('Données projet'!$B$11,Paramètres!$A$1:$I$89,3,0)*0.475*44/12</f>
        <v>21.292308276234319</v>
      </c>
      <c r="BR38" s="21">
        <f>EXP(-LN(2)/2)*BR37+(1-EXP(-LN(2)/2))/(LN(2)/2)*BL38*BO38*VLOOKUP('Données projet'!$B$11,Paramètres!$A$1:$I$89,3,0)*0.475*44/12</f>
        <v>7.50697611422299</v>
      </c>
      <c r="BS38" s="22">
        <f t="shared" si="9"/>
        <v>42.741206756070326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408</v>
      </c>
      <c r="BW38" s="12">
        <f>VLOOKUP(A38,'Données projet'!$A$113:$I$133,9,0)</f>
        <v>37.5</v>
      </c>
      <c r="BX38" s="12">
        <f t="array" ref="BX38">INDEX(BW:BW,MIN(IF(ISNUMBER(BW38:BW234),ROW(BW38:BW234),"")))</f>
        <v>37.5</v>
      </c>
      <c r="BY38" s="12">
        <f>IF('Données projet'!$A$114&gt;35,BY37+BX38-CG37,IF(A38&lt;'Données projet'!$A$114,$BV$205^A38,IF(A38='Données projet'!$A$114,'Données projet'!$B$114,BY37+BX38-CG37)))</f>
        <v>408</v>
      </c>
      <c r="BZ38" s="13">
        <f>BY38*VLOOKUP('Données projet'!$B$12,Paramètres!$A$1:$I$89,3,0)*VLOOKUP('Données projet'!$B$12,Paramètres!$A$1:$I$89,5,0)</f>
        <v>180.33600000000001</v>
      </c>
      <c r="CA38" s="13">
        <f t="shared" si="39"/>
        <v>45.396931860513298</v>
      </c>
      <c r="CB38" s="20">
        <f t="shared" si="10"/>
        <v>393.15152299039397</v>
      </c>
      <c r="CC38" s="59">
        <f t="shared" si="11"/>
        <v>686.48485632372729</v>
      </c>
      <c r="CD38" s="59">
        <f ca="1">AVERAGE(OFFSET($CC$3,0,0,'Données projet'!$E$12+1,1))-AVERAGE(OFFSET($H$3,0,0,'Données projet'!$E$12+1,1))</f>
        <v>220.26537310502334</v>
      </c>
      <c r="CE38" s="59">
        <f t="shared" si="40"/>
        <v>233.26853625122016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64</v>
      </c>
      <c r="CH38" s="16">
        <f>IF(ISNA(VLOOKUP(A38,'Données projet'!$A$113:$I$133,5,0)),0%,VLOOKUP(A38,'Données projet'!$A$113:$I$133,5,0)*VLOOKUP('Données projet'!$B$12,Paramètres!$A$1:$I$89,7,0))</f>
        <v>0.1925</v>
      </c>
      <c r="CI38" s="16">
        <f>IF(ISNA(VLOOKUP(A38,'Données projet'!$A$113:$I$133,6,0)),0%,VLOOKUP(A38,'Données projet'!$A$113:$I$133,6,0)*VLOOKUP('Données projet'!$B$12,Paramètres!$A$1:$I$89,7,0))</f>
        <v>8.2500000000000004E-2</v>
      </c>
      <c r="CJ38" s="16">
        <f>IF(ISNA(VLOOKUP(A38,'Données projet'!$A$113:$I$133,7,0)),0%,VLOOKUP(A38,'Données projet'!$A$113:$I$133,7,0))</f>
        <v>0.15</v>
      </c>
      <c r="CK38" s="21">
        <f>EXP(-LN(2)/35)*CK37+(1-EXP(-LN(2)/35))/(LN(2)/35)*CG38*CH38*VLOOKUP('Données projet'!$B$12,Paramètres!$A$1:$I$89,3,0)*0.475*44/12</f>
        <v>13.167371123078954</v>
      </c>
      <c r="CL38" s="21">
        <f>EXP(-LN(2)/25)*CL37+(1-EXP(-LN(2)/25))/(LN(2)/25)*Calculateur!CG38*Calculateur!CI38*VLOOKUP('Données projet'!$B$12,Paramètres!$A$1:$I$89,3,0)*0.475*44/12</f>
        <v>20.109402260887979</v>
      </c>
      <c r="CM38" s="21">
        <f>EXP(-LN(2)/2)*CM37+(1-EXP(-LN(2)/2))/(LN(2)/2)*CG38*CJ38*VLOOKUP('Données projet'!$B$12,Paramètres!$A$1:$I$89,3,0)*0.475*44/12</f>
        <v>7.0899218856550474</v>
      </c>
      <c r="CN38" s="22">
        <f t="shared" si="12"/>
        <v>40.366695269621978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519</v>
      </c>
      <c r="L39" s="12">
        <f>VLOOKUP(A39,'Données projet'!$A$35:$I$55,9,0)</f>
        <v>40.5</v>
      </c>
      <c r="M39" s="12">
        <f t="array" ref="M39">INDEX(L:L,MIN(IF(ISNUMBER(L39:L235),ROW(L39:L235),"")))</f>
        <v>40.5</v>
      </c>
      <c r="N39" s="13">
        <f>IF('Données projet'!$A$36&gt;35,N38+M39-V38,IF(A39&lt;'Données projet'!$A$36,$K$205^A39,IF(A39='Données projet'!$A$36,'Données projet'!$B$36,N38+M39-V38)))</f>
        <v>519</v>
      </c>
      <c r="O39" s="13">
        <f>N39*VLOOKUP('Données projet'!$B$9,Paramètres!$A$1:$I$89,3,0)*VLOOKUP('Données projet'!$B$9,Paramètres!$A$1:$I$89,5,0)</f>
        <v>242.89200000000002</v>
      </c>
      <c r="P39" s="13">
        <f t="shared" si="33"/>
        <v>59.061323940051253</v>
      </c>
      <c r="Q39" s="20">
        <f t="shared" si="53"/>
        <v>525.90203919558928</v>
      </c>
      <c r="R39" s="59">
        <f t="shared" si="0"/>
        <v>819.23537252892265</v>
      </c>
      <c r="S39" s="59">
        <f ca="1">AVERAGE(OFFSET($R$3,0,0,'Données projet'!$E$9+1,1))-AVERAGE(OFFSET($H$3,0,0,'Données projet'!$E$9+1,1))</f>
        <v>263.37813242097957</v>
      </c>
      <c r="T39" s="59">
        <f t="shared" si="34"/>
        <v>314.89350816766904</v>
      </c>
      <c r="U39" s="15">
        <f>IF(ISNA(VLOOKUP(A39,'Données projet'!$A$35:$I$55,3,0)),0,VLOOKUP(A39,'Données projet'!$A$35:$I$55,3,0))</f>
        <v>5</v>
      </c>
      <c r="V39" s="15">
        <f>IF(ISNA(VLOOKUP(A39,'Données projet'!$A$35:$I$55,4,0)),0,VLOOKUP(A39,'Données projet'!$A$35:$I$55,4,0))</f>
        <v>59</v>
      </c>
      <c r="W39" s="16">
        <f>IF(ISNA(VLOOKUP(A39,'Données projet'!$A$35:$I$55,5,0)),0%,VLOOKUP(A39,'Données projet'!$A$35:$I$55,5,0)*VLOOKUP('Données projet'!$B$9,Paramètres!$A$1:$I$89,7,0))</f>
        <v>0.1925</v>
      </c>
      <c r="X39" s="16">
        <f>IF(ISNA(VLOOKUP(A39,'Données projet'!$A$35:$I$55,6,0)),0%,VLOOKUP(A39,'Données projet'!$A$35:$I$55,6,0)*VLOOKUP('Données projet'!$B$9,Paramètres!$A$1:$I$89,7,0))</f>
        <v>8.2500000000000004E-2</v>
      </c>
      <c r="Y39" s="16">
        <f>IF(ISNA(VLOOKUP(A39,'Données projet'!$A$35:$I$55,7,0)),0%,VLOOKUP(A39,'Données projet'!$A$35:$I$55,7,0))</f>
        <v>0.15</v>
      </c>
      <c r="Z39" s="21">
        <f>EXP(-LN(2)/35)*Z38+(1-EXP(-LN(2)/35))/(LN(2)/35)*V39*W39*VLOOKUP('Données projet'!$B$9,Paramètres!$A$1:$I$89,3,0)*0.475*44/12</f>
        <v>21.732462802175039</v>
      </c>
      <c r="AA39" s="21">
        <f>EXP(-LN(2)/25)*AA38+(1-EXP(-LN(2)/25))/(LN(2)/25)*Calculateur!V39*Calculateur!X39*VLOOKUP('Données projet'!$B$9,Paramètres!$A$1:$I$89,3,0)*0.475*44/12</f>
        <v>21.304803806013247</v>
      </c>
      <c r="AB39" s="21">
        <f>EXP(-LN(2)/2)*AB38+(1-EXP(-LN(2)/2))/(LN(2)/2)*V39*Y39*VLOOKUP('Données projet'!$B$9,Paramètres!$A$1:$I$89,3,0)*0.475*44/12</f>
        <v>6.7378153322539651</v>
      </c>
      <c r="AC39" s="22">
        <f t="shared" si="3"/>
        <v>49.775081940442256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30</v>
      </c>
      <c r="AI39" s="13">
        <f>IF('Données projet'!$A$62&gt;35,AI38+AH39-AQ38,IF(A39&lt;'Données projet'!$A$62,$AF$205^A39,IF(A39='Données projet'!$A$62,'Données projet'!$B$62,AI38+AH39-AQ38)))</f>
        <v>413</v>
      </c>
      <c r="AJ39" s="13">
        <f>AI39*VLOOKUP('Données projet'!$B$10,Paramètres!$A$1:$I$89,3,0)*VLOOKUP('Données projet'!$B$10,Paramètres!$A$1:$I$89,5,0)</f>
        <v>166.43900000000002</v>
      </c>
      <c r="AK39" s="13">
        <f t="shared" si="35"/>
        <v>42.291498077190113</v>
      </c>
      <c r="AL39" s="20">
        <f t="shared" si="4"/>
        <v>363.53895081777279</v>
      </c>
      <c r="AM39" s="59">
        <f t="shared" si="5"/>
        <v>656.8722841511061</v>
      </c>
      <c r="AN39" s="59">
        <f ca="1">AVERAGE(OFFSET($AM$3,0,0,'Données projet'!$E$10+1,1))-AVERAGE(OFFSET($H$3,0,0,'Données projet'!$E$10+1,1))</f>
        <v>344.29957955721721</v>
      </c>
      <c r="AO39" s="59">
        <f t="shared" si="36"/>
        <v>297.12790038882594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17.751019087479971</v>
      </c>
      <c r="AV39" s="21">
        <f>EXP(-LN(2)/25)*AV38+(1-EXP(-LN(2)/25))/(LN(2)/25)*Calculateur!AQ39*Calculateur!AS39*VLOOKUP('Données projet'!$B$10,Paramètres!$A$1:$I$89,3,0)*0.475*44/12</f>
        <v>24.739156594802729</v>
      </c>
      <c r="AW39" s="21">
        <f>EXP(-LN(2)/2)*AW38+(1-EXP(-LN(2)/2))/(LN(2)/2)*AQ39*AT39*VLOOKUP('Données projet'!$B$10,Paramètres!$A$1:$I$89,3,0)*0.475*44/12</f>
        <v>11.437692963753825</v>
      </c>
      <c r="AX39" s="21">
        <f t="shared" si="6"/>
        <v>53.927868646036522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35.75</v>
      </c>
      <c r="BD39" s="12">
        <f>IF('Données projet'!$A$88&gt;35,BD38+BC39-BL38,IF(A39&lt;'Données projet'!$A$88,$BA$205^A39,IF(A39='Données projet'!$A$88,'Données projet'!$B$88,BD38+BC39-BL38)))</f>
        <v>379.75</v>
      </c>
      <c r="BE39" s="13">
        <f>BD39*VLOOKUP('Données projet'!$B$11,Paramètres!$A$1:$I$89,3,0)*VLOOKUP('Données projet'!$B$11,Paramètres!$A$1:$I$89,5,0)</f>
        <v>177.72300000000001</v>
      </c>
      <c r="BF39" s="13">
        <f t="shared" si="37"/>
        <v>44.815220883057329</v>
      </c>
      <c r="BG39" s="20">
        <f t="shared" si="7"/>
        <v>387.58740137132486</v>
      </c>
      <c r="BH39" s="59">
        <f t="shared" si="8"/>
        <v>680.92073470465812</v>
      </c>
      <c r="BI39" s="59">
        <f ca="1">AVERAGE(OFFSET($BH$3,0,0,'Données projet'!$E$11+1,1))-AVERAGE(OFFSET($H$3,0,0,'Données projet'!$E$11+1,1))</f>
        <v>234.83702199169585</v>
      </c>
      <c r="BJ39" s="59">
        <f t="shared" si="38"/>
        <v>248.83008816685089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13.668529771756308</v>
      </c>
      <c r="BQ39" s="21">
        <f>EXP(-LN(2)/25)*BQ38+(1-EXP(-LN(2)/25))/(LN(2)/25)*Calculateur!BL39*Calculateur!BN39*VLOOKUP('Données projet'!$B$11,Paramètres!$A$1:$I$89,3,0)*0.475*44/12</f>
        <v>20.710068986706865</v>
      </c>
      <c r="BR39" s="21">
        <f>EXP(-LN(2)/2)*BR38+(1-EXP(-LN(2)/2))/(LN(2)/2)*BL39*BO39*VLOOKUP('Données projet'!$B$11,Paramètres!$A$1:$I$89,3,0)*0.475*44/12</f>
        <v>5.3082337165725146</v>
      </c>
      <c r="BS39" s="22">
        <f t="shared" si="9"/>
        <v>39.686832475035686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35.75</v>
      </c>
      <c r="BY39" s="12">
        <f>IF('Données projet'!$A$114&gt;35,BY38+BX39-CG38,IF(A39&lt;'Données projet'!$A$114,$BV$205^A39,IF(A39='Données projet'!$A$114,'Données projet'!$B$114,BY38+BX39-CG38)))</f>
        <v>379.75</v>
      </c>
      <c r="BZ39" s="13">
        <f>BY39*VLOOKUP('Données projet'!$B$12,Paramètres!$A$1:$I$89,3,0)*VLOOKUP('Données projet'!$B$12,Paramètres!$A$1:$I$89,5,0)</f>
        <v>167.84950000000001</v>
      </c>
      <c r="CA39" s="13">
        <f t="shared" si="39"/>
        <v>42.608026844401316</v>
      </c>
      <c r="CB39" s="20">
        <f t="shared" si="10"/>
        <v>366.54685925399895</v>
      </c>
      <c r="CC39" s="59">
        <f t="shared" si="11"/>
        <v>659.8801925873322</v>
      </c>
      <c r="CD39" s="59">
        <f ca="1">AVERAGE(OFFSET($CC$3,0,0,'Données projet'!$E$12+1,1))-AVERAGE(OFFSET($H$3,0,0,'Données projet'!$E$12+1,1))</f>
        <v>220.26537310502334</v>
      </c>
      <c r="CE39" s="59">
        <f t="shared" si="40"/>
        <v>233.26853625122016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12.909167006658736</v>
      </c>
      <c r="CL39" s="21">
        <f>EXP(-LN(2)/25)*CL38+(1-EXP(-LN(2)/25))/(LN(2)/25)*Calculateur!CG39*Calculateur!CI39*VLOOKUP('Données projet'!$B$12,Paramètres!$A$1:$I$89,3,0)*0.475*44/12</f>
        <v>19.559509598556492</v>
      </c>
      <c r="CM39" s="21">
        <f>EXP(-LN(2)/2)*CM38+(1-EXP(-LN(2)/2))/(LN(2)/2)*CG39*CJ39*VLOOKUP('Données projet'!$B$12,Paramètres!$A$1:$I$89,3,0)*0.475*44/12</f>
        <v>5.0133318434295981</v>
      </c>
      <c r="CN39" s="22">
        <f t="shared" si="12"/>
        <v>37.482008448644827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36.75</v>
      </c>
      <c r="N40" s="13">
        <f>IF('Données projet'!$A$36&gt;35,N39+M40-V39,IF(A40&lt;'Données projet'!$A$36,$K$205^A40,IF(A40='Données projet'!$A$36,'Données projet'!$B$36,N39+M40-V39)))</f>
        <v>496.75</v>
      </c>
      <c r="O40" s="13">
        <f>N40*VLOOKUP('Données projet'!$B$9,Paramètres!$A$1:$I$89,3,0)*VLOOKUP('Données projet'!$B$9,Paramètres!$A$1:$I$89,5,0)</f>
        <v>232.47899999999998</v>
      </c>
      <c r="P40" s="13">
        <f t="shared" si="33"/>
        <v>56.818364390033999</v>
      </c>
      <c r="Q40" s="20">
        <f t="shared" si="53"/>
        <v>503.85957631264245</v>
      </c>
      <c r="R40" s="59">
        <f t="shared" si="0"/>
        <v>797.19290964597576</v>
      </c>
      <c r="S40" s="59">
        <f ca="1">AVERAGE(OFFSET($R$3,0,0,'Données projet'!$E$9+1,1))-AVERAGE(OFFSET($H$3,0,0,'Données projet'!$E$9+1,1))</f>
        <v>263.37813242097957</v>
      </c>
      <c r="T40" s="59">
        <f t="shared" si="34"/>
        <v>314.89350816766904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21.306302462117824</v>
      </c>
      <c r="AA40" s="21">
        <f>EXP(-LN(2)/25)*AA39+(1-EXP(-LN(2)/25))/(LN(2)/25)*Calculateur!V40*Calculateur!X40*VLOOKUP('Données projet'!$B$9,Paramètres!$A$1:$I$89,3,0)*0.475*44/12</f>
        <v>20.722222825566874</v>
      </c>
      <c r="AB40" s="21">
        <f>EXP(-LN(2)/2)*AB39+(1-EXP(-LN(2)/2))/(LN(2)/2)*V40*Y40*VLOOKUP('Données projet'!$B$9,Paramètres!$A$1:$I$89,3,0)*0.475*44/12</f>
        <v>4.7643549118194697</v>
      </c>
      <c r="AC40" s="22">
        <f t="shared" si="3"/>
        <v>46.792880199504168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30</v>
      </c>
      <c r="AI40" s="13">
        <f>IF('Données projet'!$A$62&gt;35,AI39+AH40-AQ39,IF(A40&lt;'Données projet'!$A$62,$AF$205^A40,IF(A40='Données projet'!$A$62,'Données projet'!$B$62,AI39+AH40-AQ39)))</f>
        <v>443</v>
      </c>
      <c r="AJ40" s="13">
        <f>AI40*VLOOKUP('Données projet'!$B$10,Paramètres!$A$1:$I$89,3,0)*VLOOKUP('Données projet'!$B$10,Paramètres!$A$1:$I$89,5,0)</f>
        <v>178.52900000000002</v>
      </c>
      <c r="AK40" s="13">
        <f t="shared" si="35"/>
        <v>44.994759635257196</v>
      </c>
      <c r="AL40" s="20">
        <f t="shared" si="4"/>
        <v>389.30388136473965</v>
      </c>
      <c r="AM40" s="59">
        <f t="shared" si="5"/>
        <v>682.63721469807297</v>
      </c>
      <c r="AN40" s="59">
        <f ca="1">AVERAGE(OFFSET($AM$3,0,0,'Données projet'!$E$10+1,1))-AVERAGE(OFFSET($H$3,0,0,'Données projet'!$E$10+1,1))</f>
        <v>344.29957955721721</v>
      </c>
      <c r="AO40" s="59">
        <f t="shared" si="36"/>
        <v>297.12790038882594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17.40293243022705</v>
      </c>
      <c r="AV40" s="21">
        <f>EXP(-LN(2)/25)*AV39+(1-EXP(-LN(2)/25))/(LN(2)/25)*Calculateur!AQ40*Calculateur!AS40*VLOOKUP('Données projet'!$B$10,Paramètres!$A$1:$I$89,3,0)*0.475*44/12</f>
        <v>24.062663056742146</v>
      </c>
      <c r="AW40" s="21">
        <f>EXP(-LN(2)/2)*AW39+(1-EXP(-LN(2)/2))/(LN(2)/2)*AQ40*AT40*VLOOKUP('Données projet'!$B$10,Paramètres!$A$1:$I$89,3,0)*0.475*44/12</f>
        <v>8.0876702557999902</v>
      </c>
      <c r="AX40" s="21">
        <f t="shared" si="6"/>
        <v>49.553265742769184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35.75</v>
      </c>
      <c r="BD40" s="12">
        <f>IF('Données projet'!$A$88&gt;35,BD39+BC40-BL39,IF(A40&lt;'Données projet'!$A$88,$BA$205^A40,IF(A40='Données projet'!$A$88,'Données projet'!$B$88,BD39+BC40-BL39)))</f>
        <v>415.5</v>
      </c>
      <c r="BE40" s="13">
        <f>BD40*VLOOKUP('Données projet'!$B$11,Paramètres!$A$1:$I$89,3,0)*VLOOKUP('Données projet'!$B$11,Paramètres!$A$1:$I$89,5,0)</f>
        <v>194.45399999999998</v>
      </c>
      <c r="BF40" s="13">
        <f t="shared" si="37"/>
        <v>48.52333711074219</v>
      </c>
      <c r="BG40" s="20">
        <f t="shared" si="7"/>
        <v>423.18552880120927</v>
      </c>
      <c r="BH40" s="59">
        <f t="shared" si="8"/>
        <v>716.51886213454259</v>
      </c>
      <c r="BI40" s="59">
        <f ca="1">AVERAGE(OFFSET($BH$3,0,0,'Données projet'!$E$11+1,1))-AVERAGE(OFFSET($H$3,0,0,'Données projet'!$E$11+1,1))</f>
        <v>234.83702199169585</v>
      </c>
      <c r="BJ40" s="59">
        <f t="shared" si="38"/>
        <v>248.83008816685089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13.400498239912119</v>
      </c>
      <c r="BQ40" s="21">
        <f>EXP(-LN(2)/25)*BQ39+(1-EXP(-LN(2)/25))/(LN(2)/25)*Calculateur!BL40*Calculateur!BN40*VLOOKUP('Données projet'!$B$11,Paramètres!$A$1:$I$89,3,0)*0.475*44/12</f>
        <v>20.143751061170171</v>
      </c>
      <c r="BR40" s="21">
        <f>EXP(-LN(2)/2)*BR39+(1-EXP(-LN(2)/2))/(LN(2)/2)*BL40*BO40*VLOOKUP('Données projet'!$B$11,Paramètres!$A$1:$I$89,3,0)*0.475*44/12</f>
        <v>3.7534880571114955</v>
      </c>
      <c r="BS40" s="22">
        <f t="shared" si="9"/>
        <v>37.297737358193785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35.75</v>
      </c>
      <c r="BY40" s="12">
        <f>IF('Données projet'!$A$114&gt;35,BY39+BX40-CG39,IF(A40&lt;'Données projet'!$A$114,$BV$205^A40,IF(A40='Données projet'!$A$114,'Données projet'!$B$114,BY39+BX40-CG39)))</f>
        <v>415.5</v>
      </c>
      <c r="BZ40" s="13">
        <f>BY40*VLOOKUP('Données projet'!$B$12,Paramètres!$A$1:$I$89,3,0)*VLOOKUP('Données projet'!$B$12,Paramètres!$A$1:$I$89,5,0)</f>
        <v>183.65100000000001</v>
      </c>
      <c r="CA40" s="13">
        <f t="shared" si="39"/>
        <v>46.133514673271662</v>
      </c>
      <c r="CB40" s="20">
        <f t="shared" si="10"/>
        <v>400.20802972261481</v>
      </c>
      <c r="CC40" s="59">
        <f t="shared" si="11"/>
        <v>693.54136305594807</v>
      </c>
      <c r="CD40" s="59">
        <f ca="1">AVERAGE(OFFSET($CC$3,0,0,'Données projet'!$E$12+1,1))-AVERAGE(OFFSET($H$3,0,0,'Données projet'!$E$12+1,1))</f>
        <v>220.26537310502334</v>
      </c>
      <c r="CE40" s="59">
        <f t="shared" si="40"/>
        <v>233.26853625122016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12.656026115472557</v>
      </c>
      <c r="CL40" s="21">
        <f>EXP(-LN(2)/25)*CL39+(1-EXP(-LN(2)/25))/(LN(2)/25)*Calculateur!CG40*Calculateur!CI40*VLOOKUP('Données projet'!$B$12,Paramètres!$A$1:$I$89,3,0)*0.475*44/12</f>
        <v>19.024653779994058</v>
      </c>
      <c r="CM40" s="21">
        <f>EXP(-LN(2)/2)*CM39+(1-EXP(-LN(2)/2))/(LN(2)/2)*CG40*CJ40*VLOOKUP('Données projet'!$B$12,Paramètres!$A$1:$I$89,3,0)*0.475*44/12</f>
        <v>3.5449609428275242</v>
      </c>
      <c r="CN40" s="22">
        <f t="shared" si="12"/>
        <v>35.22564083829414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36.75</v>
      </c>
      <c r="N41" s="13">
        <f>IF('Données projet'!$A$36&gt;35,N40+M41-V40,IF(A41&lt;'Données projet'!$A$36,$K$205^A41,IF(A41='Données projet'!$A$36,'Données projet'!$B$36,N40+M41-V40)))</f>
        <v>533.5</v>
      </c>
      <c r="O41" s="13">
        <f>N41*VLOOKUP('Données projet'!$B$9,Paramètres!$A$1:$I$89,3,0)*VLOOKUP('Données projet'!$B$9,Paramètres!$A$1:$I$89,5,0)</f>
        <v>249.678</v>
      </c>
      <c r="P41" s="13">
        <f t="shared" si="33"/>
        <v>60.516984227464135</v>
      </c>
      <c r="Q41" s="20">
        <f t="shared" si="53"/>
        <v>540.25626419616674</v>
      </c>
      <c r="R41" s="59">
        <f t="shared" si="0"/>
        <v>833.5895975295</v>
      </c>
      <c r="S41" s="59">
        <f ca="1">AVERAGE(OFFSET($R$3,0,0,'Données projet'!$E$9+1,1))-AVERAGE(OFFSET($H$3,0,0,'Données projet'!$E$9+1,1))</f>
        <v>263.37813242097957</v>
      </c>
      <c r="T41" s="59">
        <f t="shared" si="34"/>
        <v>314.89350816766904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20.88849886639699</v>
      </c>
      <c r="AA41" s="21">
        <f>EXP(-LN(2)/25)*AA40+(1-EXP(-LN(2)/25))/(LN(2)/25)*Calculateur!V41*Calculateur!X41*VLOOKUP('Données projet'!$B$9,Paramètres!$A$1:$I$89,3,0)*0.475*44/12</f>
        <v>20.155572552667412</v>
      </c>
      <c r="AB41" s="21">
        <f>EXP(-LN(2)/2)*AB40+(1-EXP(-LN(2)/2))/(LN(2)/2)*V41*Y41*VLOOKUP('Données projet'!$B$9,Paramètres!$A$1:$I$89,3,0)*0.475*44/12</f>
        <v>3.368907666126983</v>
      </c>
      <c r="AC41" s="22">
        <f t="shared" si="3"/>
        <v>44.412979085191381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30</v>
      </c>
      <c r="AI41" s="13">
        <f>IF('Données projet'!$A$62&gt;35,AI40+AH41-AQ40,IF(A41&lt;'Données projet'!$A$62,$AF$205^A41,IF(A41='Données projet'!$A$62,'Données projet'!$B$62,AI40+AH41-AQ40)))</f>
        <v>473</v>
      </c>
      <c r="AJ41" s="13">
        <f>AI41*VLOOKUP('Données projet'!$B$10,Paramètres!$A$1:$I$89,3,0)*VLOOKUP('Données projet'!$B$10,Paramètres!$A$1:$I$89,5,0)</f>
        <v>190.619</v>
      </c>
      <c r="AK41" s="13">
        <f t="shared" si="35"/>
        <v>47.676779045481844</v>
      </c>
      <c r="AL41" s="20">
        <f t="shared" si="4"/>
        <v>415.03181517088086</v>
      </c>
      <c r="AM41" s="59">
        <f t="shared" si="5"/>
        <v>708.36514850421418</v>
      </c>
      <c r="AN41" s="59">
        <f ca="1">AVERAGE(OFFSET($AM$3,0,0,'Données projet'!$E$10+1,1))-AVERAGE(OFFSET($H$3,0,0,'Données projet'!$E$10+1,1))</f>
        <v>344.29957955721721</v>
      </c>
      <c r="AO41" s="59">
        <f t="shared" si="36"/>
        <v>297.12790038882594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17.061671540010963</v>
      </c>
      <c r="AV41" s="21">
        <f>EXP(-LN(2)/25)*AV40+(1-EXP(-LN(2)/25))/(LN(2)/25)*Calculateur!AQ41*Calculateur!AS41*VLOOKUP('Données projet'!$B$10,Paramètres!$A$1:$I$89,3,0)*0.475*44/12</f>
        <v>23.404668270055076</v>
      </c>
      <c r="AW41" s="21">
        <f>EXP(-LN(2)/2)*AW40+(1-EXP(-LN(2)/2))/(LN(2)/2)*AQ41*AT41*VLOOKUP('Données projet'!$B$10,Paramètres!$A$1:$I$89,3,0)*0.475*44/12</f>
        <v>5.7188464818769127</v>
      </c>
      <c r="AX41" s="21">
        <f t="shared" si="6"/>
        <v>46.185186291942955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35.75</v>
      </c>
      <c r="BD41" s="12">
        <f>IF('Données projet'!$A$88&gt;35,BD40+BC41-BL40,IF(A41&lt;'Données projet'!$A$88,$BA$205^A41,IF(A41='Données projet'!$A$88,'Données projet'!$B$88,BD40+BC41-BL40)))</f>
        <v>451.25</v>
      </c>
      <c r="BE41" s="13">
        <f>BD41*VLOOKUP('Données projet'!$B$11,Paramètres!$A$1:$I$89,3,0)*VLOOKUP('Données projet'!$B$11,Paramètres!$A$1:$I$89,5,0)</f>
        <v>211.185</v>
      </c>
      <c r="BF41" s="13">
        <f t="shared" si="37"/>
        <v>52.194453146878672</v>
      </c>
      <c r="BG41" s="20">
        <f t="shared" si="7"/>
        <v>458.71921423081375</v>
      </c>
      <c r="BH41" s="59">
        <f t="shared" si="8"/>
        <v>752.05254756414706</v>
      </c>
      <c r="BI41" s="59">
        <f ca="1">AVERAGE(OFFSET($BH$3,0,0,'Données projet'!$E$11+1,1))-AVERAGE(OFFSET($H$3,0,0,'Données projet'!$E$11+1,1))</f>
        <v>234.83702199169585</v>
      </c>
      <c r="BJ41" s="59">
        <f t="shared" si="38"/>
        <v>248.83008816685089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13.137722642924302</v>
      </c>
      <c r="BQ41" s="21">
        <f>EXP(-LN(2)/25)*BQ40+(1-EXP(-LN(2)/25))/(LN(2)/25)*Calculateur!BL41*Calculateur!BN41*VLOOKUP('Données projet'!$B$11,Paramètres!$A$1:$I$89,3,0)*0.475*44/12</f>
        <v>19.592919129088642</v>
      </c>
      <c r="BR41" s="21">
        <f>EXP(-LN(2)/2)*BR40+(1-EXP(-LN(2)/2))/(LN(2)/2)*BL41*BO41*VLOOKUP('Données projet'!$B$11,Paramètres!$A$1:$I$89,3,0)*0.475*44/12</f>
        <v>2.6541168582862578</v>
      </c>
      <c r="BS41" s="22">
        <f t="shared" si="9"/>
        <v>35.384758630299203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35.75</v>
      </c>
      <c r="BY41" s="12">
        <f>IF('Données projet'!$A$114&gt;35,BY40+BX41-CG40,IF(A41&lt;'Données projet'!$A$114,$BV$205^A41,IF(A41='Données projet'!$A$114,'Données projet'!$B$114,BY40+BX41-CG40)))</f>
        <v>451.25</v>
      </c>
      <c r="BZ41" s="13">
        <f>BY41*VLOOKUP('Données projet'!$B$12,Paramètres!$A$1:$I$89,3,0)*VLOOKUP('Données projet'!$B$12,Paramètres!$A$1:$I$89,5,0)</f>
        <v>199.45250000000001</v>
      </c>
      <c r="CA41" s="13">
        <f t="shared" si="39"/>
        <v>49.623824606693248</v>
      </c>
      <c r="CB41" s="20">
        <f t="shared" si="10"/>
        <v>433.80793202332416</v>
      </c>
      <c r="CC41" s="59">
        <f t="shared" si="11"/>
        <v>727.14126535665741</v>
      </c>
      <c r="CD41" s="59">
        <f ca="1">AVERAGE(OFFSET($CC$3,0,0,'Données projet'!$E$12+1,1))-AVERAGE(OFFSET($H$3,0,0,'Données projet'!$E$12+1,1))</f>
        <v>220.26537310502334</v>
      </c>
      <c r="CE41" s="59">
        <f t="shared" si="40"/>
        <v>233.26853625122016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12.407849162761842</v>
      </c>
      <c r="CL41" s="21">
        <f>EXP(-LN(2)/25)*CL40+(1-EXP(-LN(2)/25))/(LN(2)/25)*Calculateur!CG41*Calculateur!CI41*VLOOKUP('Données projet'!$B$12,Paramètres!$A$1:$I$89,3,0)*0.475*44/12</f>
        <v>18.504423621917059</v>
      </c>
      <c r="CM41" s="21">
        <f>EXP(-LN(2)/2)*CM40+(1-EXP(-LN(2)/2))/(LN(2)/2)*CG41*CJ41*VLOOKUP('Données projet'!$B$12,Paramètres!$A$1:$I$89,3,0)*0.475*44/12</f>
        <v>2.5066659217147995</v>
      </c>
      <c r="CN41" s="22">
        <f t="shared" si="12"/>
        <v>33.418938706393703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36.75</v>
      </c>
      <c r="N42" s="13">
        <f>IF('Données projet'!$A$36&gt;35,N41+M42-V41,IF(A42&lt;'Données projet'!$A$36,$K$205^A42,IF(A42='Données projet'!$A$36,'Données projet'!$B$36,N41+M42-V41)))</f>
        <v>570.25</v>
      </c>
      <c r="O42" s="13">
        <f>N42*VLOOKUP('Données projet'!$B$9,Paramètres!$A$1:$I$89,3,0)*VLOOKUP('Données projet'!$B$9,Paramètres!$A$1:$I$89,5,0)</f>
        <v>266.87700000000001</v>
      </c>
      <c r="P42" s="13">
        <f t="shared" si="33"/>
        <v>64.186041766452092</v>
      </c>
      <c r="Q42" s="20">
        <f t="shared" si="53"/>
        <v>576.601464409904</v>
      </c>
      <c r="R42" s="59">
        <f t="shared" si="0"/>
        <v>869.93479774323737</v>
      </c>
      <c r="S42" s="59">
        <f ca="1">AVERAGE(OFFSET($R$3,0,0,'Données projet'!$E$9+1,1))-AVERAGE(OFFSET($H$3,0,0,'Données projet'!$E$9+1,1))</f>
        <v>263.37813242097957</v>
      </c>
      <c r="T42" s="59">
        <f t="shared" si="34"/>
        <v>314.89350816766904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20.47888814435321</v>
      </c>
      <c r="AA42" s="21">
        <f>EXP(-LN(2)/25)*AA41+(1-EXP(-LN(2)/25))/(LN(2)/25)*Calculateur!V42*Calculateur!X42*VLOOKUP('Données projet'!$B$9,Paramètres!$A$1:$I$89,3,0)*0.475*44/12</f>
        <v>19.604417361279229</v>
      </c>
      <c r="AB42" s="21">
        <f>EXP(-LN(2)/2)*AB41+(1-EXP(-LN(2)/2))/(LN(2)/2)*V42*Y42*VLOOKUP('Données projet'!$B$9,Paramètres!$A$1:$I$89,3,0)*0.475*44/12</f>
        <v>2.3821774559097353</v>
      </c>
      <c r="AC42" s="22">
        <f t="shared" si="3"/>
        <v>42.465482961542172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30</v>
      </c>
      <c r="AI42" s="13">
        <f>IF('Données projet'!$A$62&gt;35,AI41+AH42-AQ41,IF(A42&lt;'Données projet'!$A$62,$AF$205^A42,IF(A42='Données projet'!$A$62,'Données projet'!$B$62,AI41+AH42-AQ41)))</f>
        <v>503</v>
      </c>
      <c r="AJ42" s="13">
        <f>AI42*VLOOKUP('Données projet'!$B$10,Paramètres!$A$1:$I$89,3,0)*VLOOKUP('Données projet'!$B$10,Paramètres!$A$1:$I$89,5,0)</f>
        <v>202.709</v>
      </c>
      <c r="AK42" s="13">
        <f t="shared" si="35"/>
        <v>50.339056950370065</v>
      </c>
      <c r="AL42" s="20">
        <f t="shared" si="4"/>
        <v>440.72536585522784</v>
      </c>
      <c r="AM42" s="59">
        <f t="shared" si="5"/>
        <v>734.05869918856115</v>
      </c>
      <c r="AN42" s="59">
        <f ca="1">AVERAGE(OFFSET($AM$3,0,0,'Données projet'!$E$10+1,1))-AVERAGE(OFFSET($H$3,0,0,'Données projet'!$E$10+1,1))</f>
        <v>344.29957955721721</v>
      </c>
      <c r="AO42" s="59">
        <f t="shared" si="36"/>
        <v>297.12790038882594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16.727102567703422</v>
      </c>
      <c r="AV42" s="21">
        <f>EXP(-LN(2)/25)*AV41+(1-EXP(-LN(2)/25))/(LN(2)/25)*Calculateur!AQ42*Calculateur!AS42*VLOOKUP('Données projet'!$B$10,Paramètres!$A$1:$I$89,3,0)*0.475*44/12</f>
        <v>22.764666385412408</v>
      </c>
      <c r="AW42" s="21">
        <f>EXP(-LN(2)/2)*AW41+(1-EXP(-LN(2)/2))/(LN(2)/2)*AQ42*AT42*VLOOKUP('Données projet'!$B$10,Paramètres!$A$1:$I$89,3,0)*0.475*44/12</f>
        <v>4.0438351278999951</v>
      </c>
      <c r="AX42" s="21">
        <f t="shared" si="6"/>
        <v>43.535604081015826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>
        <f>VLOOKUP(A42,'Données projet'!$A$87:$I$107,2,0)</f>
        <v>487</v>
      </c>
      <c r="BB42" s="12">
        <f>VLOOKUP(A42,'Données projet'!$A$87:$I$107,9,0)</f>
        <v>35.75</v>
      </c>
      <c r="BC42" s="12">
        <f t="array" ref="BC42">INDEX(BB:BB,MIN(IF(ISNUMBER(BB42:BB238),ROW(BB42:BB238),"")))</f>
        <v>35.75</v>
      </c>
      <c r="BD42" s="12">
        <f>IF('Données projet'!$A$88&gt;35,BD41+BC42-BL41,IF(A42&lt;'Données projet'!$A$88,$BA$205^A42,IF(A42='Données projet'!$A$88,'Données projet'!$B$88,BD41+BC42-BL41)))</f>
        <v>487</v>
      </c>
      <c r="BE42" s="13">
        <f>BD42*VLOOKUP('Données projet'!$B$11,Paramètres!$A$1:$I$89,3,0)*VLOOKUP('Données projet'!$B$11,Paramètres!$A$1:$I$89,5,0)</f>
        <v>227.916</v>
      </c>
      <c r="BF42" s="13">
        <f t="shared" si="37"/>
        <v>55.831833576509503</v>
      </c>
      <c r="BG42" s="20">
        <f t="shared" si="7"/>
        <v>494.19414347908742</v>
      </c>
      <c r="BH42" s="59">
        <f t="shared" si="8"/>
        <v>787.52747681242067</v>
      </c>
      <c r="BI42" s="59">
        <f ca="1">AVERAGE(OFFSET($BH$3,0,0,'Données projet'!$E$11+1,1))-AVERAGE(OFFSET($H$3,0,0,'Données projet'!$E$11+1,1))</f>
        <v>234.83702199169585</v>
      </c>
      <c r="BJ42" s="59">
        <f t="shared" si="38"/>
        <v>248.83008816685089</v>
      </c>
      <c r="BK42" s="15">
        <f>IF(ISNA(VLOOKUP(A42,'Données projet'!$A$87:$I$107,3,0)),0,VLOOKUP(A42,'Données projet'!$A$87:$I$107,3,0))</f>
        <v>5</v>
      </c>
      <c r="BL42" s="15">
        <f>IF(ISNA(VLOOKUP(A42,'Données projet'!$A$87:$I$107,4,0)),0,VLOOKUP(A42,'Données projet'!$A$87:$I$107,4,0))</f>
        <v>50</v>
      </c>
      <c r="BM42" s="16">
        <f>IF(ISNA(VLOOKUP(A42,'Données projet'!$A$87:$I$107,5,0)),0%,VLOOKUP(A42,'Données projet'!$A$87:$I$107,5,0)*VLOOKUP('Données projet'!$B$11,Paramètres!$A$1:$I$89,7,0))</f>
        <v>0.1925</v>
      </c>
      <c r="BN42" s="16">
        <f>IF(ISNA(VLOOKUP(A42,'Données projet'!$A$87:$I$107,6,0)),0%,VLOOKUP(A42,'Données projet'!$A$87:$I$107,6,0)*VLOOKUP('Données projet'!$B$11,Paramètres!$A$1:$I$89,7,0))</f>
        <v>8.2500000000000004E-2</v>
      </c>
      <c r="BO42" s="16">
        <f>IF(ISNA(VLOOKUP(A42,'Données projet'!$A$87:$I$107,7,0)),0%,VLOOKUP(A42,'Données projet'!$A$87:$I$107,7,0))</f>
        <v>0.15</v>
      </c>
      <c r="BP42" s="21">
        <f>EXP(-LN(2)/35)*BP41+(1-EXP(-LN(2)/35))/(LN(2)/35)*BL42*BM42*VLOOKUP('Données projet'!$B$11,Paramètres!$A$1:$I$89,3,0)*0.475*44/12</f>
        <v>18.855609504643539</v>
      </c>
      <c r="BQ42" s="21">
        <f>EXP(-LN(2)/25)*BQ41+(1-EXP(-LN(2)/25))/(LN(2)/25)*Calculateur!BL42*Calculateur!BN42*VLOOKUP('Données projet'!$B$11,Paramètres!$A$1:$I$89,3,0)*0.475*44/12</f>
        <v>21.607999038625067</v>
      </c>
      <c r="BR42" s="21">
        <f>EXP(-LN(2)/2)*BR41+(1-EXP(-LN(2)/2))/(LN(2)/2)*BL42*BO42*VLOOKUP('Données projet'!$B$11,Paramètres!$A$1:$I$89,3,0)*0.475*44/12</f>
        <v>5.8508793928736429</v>
      </c>
      <c r="BS42" s="22">
        <f t="shared" si="9"/>
        <v>46.31448793614225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>
        <f>VLOOKUP(A42,'Données projet'!$A$113:$I$133,2,0)</f>
        <v>487</v>
      </c>
      <c r="BW42" s="12">
        <f>VLOOKUP(A42,'Données projet'!$A$113:$I$133,9,0)</f>
        <v>35.75</v>
      </c>
      <c r="BX42" s="12">
        <f t="array" ref="BX42">INDEX(BW:BW,MIN(IF(ISNUMBER(BW42:BW238),ROW(BW42:BW238),"")))</f>
        <v>35.75</v>
      </c>
      <c r="BY42" s="12">
        <f>IF('Données projet'!$A$114&gt;35,BY41+BX42-CG41,IF(A42&lt;'Données projet'!$A$114,$BV$205^A42,IF(A42='Données projet'!$A$114,'Données projet'!$B$114,BY41+BX42-CG41)))</f>
        <v>487</v>
      </c>
      <c r="BZ42" s="13">
        <f>BY42*VLOOKUP('Données projet'!$B$12,Paramètres!$A$1:$I$89,3,0)*VLOOKUP('Données projet'!$B$12,Paramètres!$A$1:$I$89,5,0)</f>
        <v>215.25400000000002</v>
      </c>
      <c r="CA42" s="13">
        <f t="shared" si="39"/>
        <v>53.082060445660225</v>
      </c>
      <c r="CB42" s="20">
        <f t="shared" si="10"/>
        <v>467.3519719428582</v>
      </c>
      <c r="CC42" s="59">
        <f t="shared" si="11"/>
        <v>760.68530527619146</v>
      </c>
      <c r="CD42" s="59">
        <f ca="1">AVERAGE(OFFSET($CC$3,0,0,'Données projet'!$E$12+1,1))-AVERAGE(OFFSET($H$3,0,0,'Données projet'!$E$12+1,1))</f>
        <v>220.26537310502334</v>
      </c>
      <c r="CE42" s="59">
        <f t="shared" si="40"/>
        <v>233.26853625122016</v>
      </c>
      <c r="CF42" s="15">
        <f>IF(ISNA(VLOOKUP(A42,'Données projet'!$A$113:$I$133,3,0)),0,VLOOKUP(A42,'Données projet'!$A$113:$I$133,3,0))</f>
        <v>5</v>
      </c>
      <c r="CG42" s="15">
        <f>IF(ISNA(VLOOKUP(A42,'Données projet'!$A$113:$I$133,4,0)),0,VLOOKUP(A42,'Données projet'!$A$113:$I$133,4,0))</f>
        <v>50</v>
      </c>
      <c r="CH42" s="16">
        <f>IF(ISNA(VLOOKUP(A42,'Données projet'!$A$113:$I$133,5,0)),0%,VLOOKUP(A42,'Données projet'!$A$113:$I$133,5,0)*VLOOKUP('Données projet'!$B$12,Paramètres!$A$1:$I$89,7,0))</f>
        <v>0.1925</v>
      </c>
      <c r="CI42" s="16">
        <f>IF(ISNA(VLOOKUP(A42,'Données projet'!$A$113:$I$133,6,0)),0%,VLOOKUP(A42,'Données projet'!$A$113:$I$133,6,0)*VLOOKUP('Données projet'!$B$12,Paramètres!$A$1:$I$89,7,0))</f>
        <v>8.2500000000000004E-2</v>
      </c>
      <c r="CJ42" s="16">
        <f>IF(ISNA(VLOOKUP(A42,'Données projet'!$A$113:$I$133,7,0)),0%,VLOOKUP(A42,'Données projet'!$A$113:$I$133,7,0))</f>
        <v>0.15</v>
      </c>
      <c r="CK42" s="21">
        <f>EXP(-LN(2)/35)*CK41+(1-EXP(-LN(2)/35))/(LN(2)/35)*CG42*CH42*VLOOKUP('Données projet'!$B$12,Paramètres!$A$1:$I$89,3,0)*0.475*44/12</f>
        <v>17.808075643274456</v>
      </c>
      <c r="CL42" s="21">
        <f>EXP(-LN(2)/25)*CL41+(1-EXP(-LN(2)/25))/(LN(2)/25)*Calculateur!CG42*Calculateur!CI42*VLOOKUP('Données projet'!$B$12,Paramètres!$A$1:$I$89,3,0)*0.475*44/12</f>
        <v>20.407554647590352</v>
      </c>
      <c r="CM42" s="21">
        <f>EXP(-LN(2)/2)*CM41+(1-EXP(-LN(2)/2))/(LN(2)/2)*CG42*CJ42*VLOOKUP('Données projet'!$B$12,Paramètres!$A$1:$I$89,3,0)*0.475*44/12</f>
        <v>5.525830537713996</v>
      </c>
      <c r="CN42" s="22">
        <f t="shared" si="12"/>
        <v>43.741460828578802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607</v>
      </c>
      <c r="L43" s="12">
        <f>VLOOKUP(A43,'Données projet'!$A$35:$I$55,9,0)</f>
        <v>36.75</v>
      </c>
      <c r="M43" s="12">
        <f t="array" ref="M43">INDEX(L:L,MIN(IF(ISNUMBER(L43:L239),ROW(L43:L239),"")))</f>
        <v>36.75</v>
      </c>
      <c r="N43" s="13">
        <f>IF('Données projet'!$A$36&gt;35,N42+M43-V42,IF(A43&lt;'Données projet'!$A$36,$K$205^A43,IF(A43='Données projet'!$A$36,'Données projet'!$B$36,N42+M43-V42)))</f>
        <v>607</v>
      </c>
      <c r="O43" s="13">
        <f>N43*VLOOKUP('Données projet'!$B$9,Paramètres!$A$1:$I$89,3,0)*VLOOKUP('Données projet'!$B$9,Paramètres!$A$1:$I$89,5,0)</f>
        <v>284.07599999999996</v>
      </c>
      <c r="P43" s="13">
        <f t="shared" si="33"/>
        <v>67.827658995553833</v>
      </c>
      <c r="Q43" s="20">
        <f t="shared" si="53"/>
        <v>612.89887275058948</v>
      </c>
      <c r="R43" s="59">
        <f t="shared" si="0"/>
        <v>906.23220608392285</v>
      </c>
      <c r="S43" s="59">
        <f ca="1">AVERAGE(OFFSET($R$3,0,0,'Données projet'!$E$9+1,1))-AVERAGE(OFFSET($H$3,0,0,'Données projet'!$E$9+1,1))</f>
        <v>263.37813242097957</v>
      </c>
      <c r="T43" s="59">
        <f t="shared" si="34"/>
        <v>314.89350816766904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55</v>
      </c>
      <c r="W43" s="16">
        <f>IF(ISNA(VLOOKUP(A43,'Données projet'!$A$35:$I$55,5,0)),0%,VLOOKUP(A43,'Données projet'!$A$35:$I$55,5,0)*VLOOKUP('Données projet'!$B$9,Paramètres!$A$1:$I$89,7,0))</f>
        <v>0.1925</v>
      </c>
      <c r="X43" s="16">
        <f>IF(ISNA(VLOOKUP(A43,'Données projet'!$A$35:$I$55,6,0)),0%,VLOOKUP(A43,'Données projet'!$A$35:$I$55,6,0)*VLOOKUP('Données projet'!$B$9,Paramètres!$A$1:$I$89,7,0))</f>
        <v>8.2500000000000004E-2</v>
      </c>
      <c r="Y43" s="16">
        <f>IF(ISNA(VLOOKUP(A43,'Données projet'!$A$35:$I$55,7,0)),0%,VLOOKUP(A43,'Données projet'!$A$35:$I$55,7,0))</f>
        <v>0.15</v>
      </c>
      <c r="Z43" s="21">
        <f>EXP(-LN(2)/35)*Z42+(1-EXP(-LN(2)/35))/(LN(2)/35)*V43*W43*VLOOKUP('Données projet'!$B$9,Paramètres!$A$1:$I$89,3,0)*0.475*44/12</f>
        <v>26.650370187210989</v>
      </c>
      <c r="AA43" s="21">
        <f>EXP(-LN(2)/25)*AA42+(1-EXP(-LN(2)/25))/(LN(2)/25)*Calculateur!V43*Calculateur!X43*VLOOKUP('Données projet'!$B$9,Paramètres!$A$1:$I$89,3,0)*0.475*44/12</f>
        <v>21.874267782398558</v>
      </c>
      <c r="AB43" s="21">
        <f>EXP(-LN(2)/2)*AB42+(1-EXP(-LN(2)/2))/(LN(2)/2)*V43*Y43*VLOOKUP('Données projet'!$B$9,Paramètres!$A$1:$I$89,3,0)*0.475*44/12</f>
        <v>6.0560027338131759</v>
      </c>
      <c r="AC43" s="22">
        <f t="shared" si="3"/>
        <v>54.580640703422716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533</v>
      </c>
      <c r="AG43" s="12">
        <f>VLOOKUP(A43,'Données projet'!$A$61:$I$81,9,0)</f>
        <v>30</v>
      </c>
      <c r="AH43" s="12">
        <f t="array" ref="AH43">INDEX(AG:AG,MIN(IF(ISNUMBER(AG43:AG239),ROW(AG43:AG239),"")))</f>
        <v>30</v>
      </c>
      <c r="AI43" s="13">
        <f>IF('Données projet'!$A$62&gt;35,AI42+AH43-AQ42,IF(A43&lt;'Données projet'!$A$62,$AF$205^A43,IF(A43='Données projet'!$A$62,'Données projet'!$B$62,AI42+AH43-AQ42)))</f>
        <v>533</v>
      </c>
      <c r="AJ43" s="13">
        <f>AI43*VLOOKUP('Données projet'!$B$10,Paramètres!$A$1:$I$89,3,0)*VLOOKUP('Données projet'!$B$10,Paramètres!$A$1:$I$89,5,0)</f>
        <v>214.79900000000001</v>
      </c>
      <c r="AK43" s="13">
        <f t="shared" si="35"/>
        <v>52.982904876424257</v>
      </c>
      <c r="AL43" s="20">
        <f t="shared" si="4"/>
        <v>466.38681765977225</v>
      </c>
      <c r="AM43" s="59">
        <f t="shared" si="5"/>
        <v>759.72015099310556</v>
      </c>
      <c r="AN43" s="59">
        <f ca="1">AVERAGE(OFFSET($AM$3,0,0,'Données projet'!$E$10+1,1))-AVERAGE(OFFSET($H$3,0,0,'Données projet'!$E$10+1,1))</f>
        <v>344.29957955721721</v>
      </c>
      <c r="AO43" s="59">
        <f t="shared" si="36"/>
        <v>297.12790038882594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77</v>
      </c>
      <c r="AR43" s="16">
        <f>IF(ISNA(VLOOKUP(A43,'Données projet'!$A$61:$I$81,5,0)),0%,VLOOKUP(A43,'Données projet'!$A$61:$I$81,5,0)*VLOOKUP('Données projet'!$B$10,Paramètres!$A$1:$I$89,7,0))</f>
        <v>0.33</v>
      </c>
      <c r="AS43" s="16">
        <f>IF(ISNA(VLOOKUP(A43,'Données projet'!$A$61:$I$81,6,0)),0%,VLOOKUP(A43,'Données projet'!$A$61:$I$81,6,0)*VLOOKUP('Données projet'!$B$10,Paramètres!$A$1:$I$89,7,0))</f>
        <v>0.11000000000000001</v>
      </c>
      <c r="AT43" s="16">
        <f>IF(ISNA(VLOOKUP(A43,'Données projet'!$A$61:$I$81,7,0)),0%,VLOOKUP(A43,'Données projet'!$A$61:$I$81,7,0))</f>
        <v>0.2</v>
      </c>
      <c r="AU43" s="21">
        <f>EXP(-LN(2)/35)*AU42+(1-EXP(-LN(2)/35))/(LN(2)/35)*AQ43*AR43*VLOOKUP('Données projet'!$B$10,Paramètres!$A$1:$I$89,3,0)*0.475*44/12</f>
        <v>29.983419422401546</v>
      </c>
      <c r="AV43" s="21">
        <f>EXP(-LN(2)/25)*AV42+(1-EXP(-LN(2)/25))/(LN(2)/25)*Calculateur!AQ43*Calculateur!AS43*VLOOKUP('Données projet'!$B$10,Paramètres!$A$1:$I$89,3,0)*0.475*44/12</f>
        <v>26.652444875775291</v>
      </c>
      <c r="AW43" s="21">
        <f>EXP(-LN(2)/2)*AW42+(1-EXP(-LN(2)/2))/(LN(2)/2)*AQ43*AT43*VLOOKUP('Données projet'!$B$10,Paramètres!$A$1:$I$89,3,0)*0.475*44/12</f>
        <v>9.8862833258472094</v>
      </c>
      <c r="AX43" s="21">
        <f t="shared" si="6"/>
        <v>66.522147624024058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31.8</v>
      </c>
      <c r="BD43" s="12">
        <f>IF('Données projet'!$A$88&gt;35,BD42+BC43-BL42,IF(A43&lt;'Données projet'!$A$88,$BA$205^A43,IF(A43='Données projet'!$A$88,'Données projet'!$B$88,BD42+BC43-BL42)))</f>
        <v>468.79999999999995</v>
      </c>
      <c r="BE43" s="13">
        <f>BD43*VLOOKUP('Données projet'!$B$11,Paramètres!$A$1:$I$89,3,0)*VLOOKUP('Données projet'!$B$11,Paramètres!$A$1:$I$89,5,0)</f>
        <v>219.39839999999998</v>
      </c>
      <c r="BF43" s="13">
        <f t="shared" si="37"/>
        <v>53.984110102082042</v>
      </c>
      <c r="BG43" s="20">
        <f t="shared" si="7"/>
        <v>476.14120509445956</v>
      </c>
      <c r="BH43" s="59">
        <f t="shared" si="8"/>
        <v>769.47453842779282</v>
      </c>
      <c r="BI43" s="59">
        <f ca="1">AVERAGE(OFFSET($BH$3,0,0,'Données projet'!$E$11+1,1))-AVERAGE(OFFSET($H$3,0,0,'Données projet'!$E$11+1,1))</f>
        <v>234.83702199169585</v>
      </c>
      <c r="BJ43" s="59">
        <f t="shared" si="38"/>
        <v>248.83008816685089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18.48586250304367</v>
      </c>
      <c r="BQ43" s="21">
        <f>EXP(-LN(2)/25)*BQ42+(1-EXP(-LN(2)/25))/(LN(2)/25)*Calculateur!BL43*Calculateur!BN43*VLOOKUP('Données projet'!$B$11,Paramètres!$A$1:$I$89,3,0)*0.475*44/12</f>
        <v>21.017127168598581</v>
      </c>
      <c r="BR43" s="21">
        <f>EXP(-LN(2)/2)*BR42+(1-EXP(-LN(2)/2))/(LN(2)/2)*BL43*BO43*VLOOKUP('Données projet'!$B$11,Paramètres!$A$1:$I$89,3,0)*0.475*44/12</f>
        <v>4.1371964946055835</v>
      </c>
      <c r="BS43" s="22">
        <f t="shared" si="9"/>
        <v>43.640186166247837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31.8</v>
      </c>
      <c r="BY43" s="12">
        <f>IF('Données projet'!$A$114&gt;35,BY42+BX43-CG42,IF(A43&lt;'Données projet'!$A$114,$BV$205^A43,IF(A43='Données projet'!$A$114,'Données projet'!$B$114,BY42+BX43-CG42)))</f>
        <v>468.79999999999995</v>
      </c>
      <c r="BZ43" s="13">
        <f>BY43*VLOOKUP('Données projet'!$B$12,Paramètres!$A$1:$I$89,3,0)*VLOOKUP('Données projet'!$B$12,Paramètres!$A$1:$I$89,5,0)</f>
        <v>207.20959999999999</v>
      </c>
      <c r="CA43" s="13">
        <f t="shared" si="39"/>
        <v>51.325339183371383</v>
      </c>
      <c r="CB43" s="20">
        <f t="shared" si="10"/>
        <v>450.28168574437177</v>
      </c>
      <c r="CC43" s="59">
        <f t="shared" si="11"/>
        <v>743.61501907770503</v>
      </c>
      <c r="CD43" s="59">
        <f ca="1">AVERAGE(OFFSET($CC$3,0,0,'Données projet'!$E$12+1,1))-AVERAGE(OFFSET($H$3,0,0,'Données projet'!$E$12+1,1))</f>
        <v>220.26537310502334</v>
      </c>
      <c r="CE43" s="59">
        <f t="shared" si="40"/>
        <v>233.26853625122016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17.45887014176347</v>
      </c>
      <c r="CL43" s="21">
        <f>EXP(-LN(2)/25)*CL42+(1-EXP(-LN(2)/25))/(LN(2)/25)*Calculateur!CG43*Calculateur!CI43*VLOOKUP('Données projet'!$B$12,Paramètres!$A$1:$I$89,3,0)*0.475*44/12</f>
        <v>19.849508992565337</v>
      </c>
      <c r="CM43" s="21">
        <f>EXP(-LN(2)/2)*CM42+(1-EXP(-LN(2)/2))/(LN(2)/2)*CG43*CJ43*VLOOKUP('Données projet'!$B$12,Paramètres!$A$1:$I$89,3,0)*0.475*44/12</f>
        <v>3.9073522449052729</v>
      </c>
      <c r="CN43" s="22">
        <f t="shared" si="12"/>
        <v>41.215731379234079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31.8</v>
      </c>
      <c r="N44" s="13">
        <f>IF('Données projet'!$A$36&gt;35,N43+M44-V43,IF(A44&lt;'Données projet'!$A$36,$K$205^A44,IF(A44='Données projet'!$A$36,'Données projet'!$B$36,N43+M44-V43)))</f>
        <v>583.79999999999995</v>
      </c>
      <c r="O44" s="13">
        <f>N44*VLOOKUP('Données projet'!$B$9,Paramètres!$A$1:$I$89,3,0)*VLOOKUP('Données projet'!$B$9,Paramètres!$A$1:$I$89,5,0)</f>
        <v>273.21839999999997</v>
      </c>
      <c r="P44" s="13">
        <f t="shared" si="33"/>
        <v>65.531823238554821</v>
      </c>
      <c r="Q44" s="20">
        <f t="shared" si="53"/>
        <v>589.98997214048279</v>
      </c>
      <c r="R44" s="59">
        <f t="shared" si="0"/>
        <v>883.32330547381616</v>
      </c>
      <c r="S44" s="59">
        <f ca="1">AVERAGE(OFFSET($R$3,0,0,'Données projet'!$E$9+1,1))-AVERAGE(OFFSET($H$3,0,0,'Données projet'!$E$9+1,1))</f>
        <v>263.37813242097957</v>
      </c>
      <c r="T44" s="59">
        <f t="shared" si="34"/>
        <v>314.89350816766904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26.127772682960536</v>
      </c>
      <c r="AA44" s="21">
        <f>EXP(-LN(2)/25)*AA43+(1-EXP(-LN(2)/25))/(LN(2)/25)*Calculateur!V44*Calculateur!X44*VLOOKUP('Données projet'!$B$9,Paramètres!$A$1:$I$89,3,0)*0.475*44/12</f>
        <v>21.27611477957112</v>
      </c>
      <c r="AB44" s="21">
        <f>EXP(-LN(2)/2)*AB43+(1-EXP(-LN(2)/2))/(LN(2)/2)*V44*Y44*VLOOKUP('Données projet'!$B$9,Paramètres!$A$1:$I$89,3,0)*0.475*44/12</f>
        <v>4.2822405999635675</v>
      </c>
      <c r="AC44" s="22">
        <f t="shared" si="3"/>
        <v>51.686128062495222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28</v>
      </c>
      <c r="AI44" s="13">
        <f>IF('Données projet'!$A$62&gt;35,AI43+AH44-AQ43,IF(A44&lt;'Données projet'!$A$62,$AF$205^A44,IF(A44='Données projet'!$A$62,'Données projet'!$B$62,AI43+AH44-AQ43)))</f>
        <v>484</v>
      </c>
      <c r="AJ44" s="13">
        <f>AI44*VLOOKUP('Données projet'!$B$10,Paramètres!$A$1:$I$89,3,0)*VLOOKUP('Données projet'!$B$10,Paramètres!$A$1:$I$89,5,0)</f>
        <v>195.05199999999999</v>
      </c>
      <c r="AK44" s="13">
        <f t="shared" si="35"/>
        <v>48.655166737483917</v>
      </c>
      <c r="AL44" s="20">
        <f t="shared" si="4"/>
        <v>424.45664873445111</v>
      </c>
      <c r="AM44" s="59">
        <f t="shared" si="5"/>
        <v>717.78998206778442</v>
      </c>
      <c r="AN44" s="59">
        <f ca="1">AVERAGE(OFFSET($AM$3,0,0,'Données projet'!$E$10+1,1))-AVERAGE(OFFSET($H$3,0,0,'Données projet'!$E$10+1,1))</f>
        <v>344.29957955721721</v>
      </c>
      <c r="AO44" s="59">
        <f t="shared" si="36"/>
        <v>297.12790038882594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29.395462855608301</v>
      </c>
      <c r="AV44" s="21">
        <f>EXP(-LN(2)/25)*AV43+(1-EXP(-LN(2)/25))/(LN(2)/25)*Calculateur!AQ44*Calculateur!AS44*VLOOKUP('Données projet'!$B$10,Paramètres!$A$1:$I$89,3,0)*0.475*44/12</f>
        <v>25.923632369056055</v>
      </c>
      <c r="AW44" s="21">
        <f>EXP(-LN(2)/2)*AW43+(1-EXP(-LN(2)/2))/(LN(2)/2)*AQ44*AT44*VLOOKUP('Données projet'!$B$10,Paramètres!$A$1:$I$89,3,0)*0.475*44/12</f>
        <v>6.9906579804380566</v>
      </c>
      <c r="AX44" s="21">
        <f t="shared" si="6"/>
        <v>62.30975320510241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31.8</v>
      </c>
      <c r="BD44" s="12">
        <f>IF('Données projet'!$A$88&gt;35,BD43+BC44-BL43,IF(A44&lt;'Données projet'!$A$88,$BA$205^A44,IF(A44='Données projet'!$A$88,'Données projet'!$B$88,BD43+BC44-BL43)))</f>
        <v>500.59999999999997</v>
      </c>
      <c r="BE44" s="13">
        <f>BD44*VLOOKUP('Données projet'!$B$11,Paramètres!$A$1:$I$89,3,0)*VLOOKUP('Données projet'!$B$11,Paramètres!$A$1:$I$89,5,0)</f>
        <v>234.28079999999997</v>
      </c>
      <c r="BF44" s="13">
        <f t="shared" si="37"/>
        <v>57.207294807077886</v>
      </c>
      <c r="BG44" s="20">
        <f t="shared" si="7"/>
        <v>507.67509845566065</v>
      </c>
      <c r="BH44" s="59">
        <f t="shared" si="8"/>
        <v>801.0084317889939</v>
      </c>
      <c r="BI44" s="59">
        <f ca="1">AVERAGE(OFFSET($BH$3,0,0,'Données projet'!$E$11+1,1))-AVERAGE(OFFSET($H$3,0,0,'Données projet'!$E$11+1,1))</f>
        <v>234.83702199169585</v>
      </c>
      <c r="BJ44" s="59">
        <f t="shared" si="38"/>
        <v>248.83008816685089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18.123366014621769</v>
      </c>
      <c r="BQ44" s="21">
        <f>EXP(-LN(2)/25)*BQ43+(1-EXP(-LN(2)/25))/(LN(2)/25)*Calculateur!BL44*Calculateur!BN44*VLOOKUP('Données projet'!$B$11,Paramètres!$A$1:$I$89,3,0)*0.475*44/12</f>
        <v>20.442412720930569</v>
      </c>
      <c r="BR44" s="21">
        <f>EXP(-LN(2)/2)*BR43+(1-EXP(-LN(2)/2))/(LN(2)/2)*BL44*BO44*VLOOKUP('Données projet'!$B$11,Paramètres!$A$1:$I$89,3,0)*0.475*44/12</f>
        <v>2.9254396964368219</v>
      </c>
      <c r="BS44" s="22">
        <f t="shared" si="9"/>
        <v>41.491218431989168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31.8</v>
      </c>
      <c r="BY44" s="12">
        <f>IF('Données projet'!$A$114&gt;35,BY43+BX44-CG43,IF(A44&lt;'Données projet'!$A$114,$BV$205^A44,IF(A44='Données projet'!$A$114,'Données projet'!$B$114,BY43+BX44-CG43)))</f>
        <v>500.59999999999997</v>
      </c>
      <c r="BZ44" s="13">
        <f>BY44*VLOOKUP('Données projet'!$B$12,Paramètres!$A$1:$I$89,3,0)*VLOOKUP('Données projet'!$B$12,Paramètres!$A$1:$I$89,5,0)</f>
        <v>221.26520000000002</v>
      </c>
      <c r="CA44" s="13">
        <f t="shared" si="39"/>
        <v>54.389778847593782</v>
      </c>
      <c r="CB44" s="20">
        <f t="shared" si="10"/>
        <v>480.09908815955913</v>
      </c>
      <c r="CC44" s="59">
        <f t="shared" si="11"/>
        <v>773.43242149289244</v>
      </c>
      <c r="CD44" s="59">
        <f ca="1">AVERAGE(OFFSET($CC$3,0,0,'Données projet'!$E$12+1,1))-AVERAGE(OFFSET($H$3,0,0,'Données projet'!$E$12+1,1))</f>
        <v>220.26537310502334</v>
      </c>
      <c r="CE44" s="59">
        <f t="shared" si="40"/>
        <v>233.26853625122016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17.116512347142788</v>
      </c>
      <c r="CL44" s="21">
        <f>EXP(-LN(2)/25)*CL43+(1-EXP(-LN(2)/25))/(LN(2)/25)*Calculateur!CG44*Calculateur!CI44*VLOOKUP('Données projet'!$B$12,Paramètres!$A$1:$I$89,3,0)*0.475*44/12</f>
        <v>19.306723125323327</v>
      </c>
      <c r="CM44" s="21">
        <f>EXP(-LN(2)/2)*CM43+(1-EXP(-LN(2)/2))/(LN(2)/2)*CG44*CJ44*VLOOKUP('Données projet'!$B$12,Paramètres!$A$1:$I$89,3,0)*0.475*44/12</f>
        <v>2.7629152688569985</v>
      </c>
      <c r="CN44" s="22">
        <f t="shared" si="12"/>
        <v>39.186150741323118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31.8</v>
      </c>
      <c r="N45" s="13">
        <f>IF('Données projet'!$A$36&gt;35,N44+M45-V44,IF(A45&lt;'Données projet'!$A$36,$K$205^A45,IF(A45='Données projet'!$A$36,'Données projet'!$B$36,N44+M45-V44)))</f>
        <v>615.59999999999991</v>
      </c>
      <c r="O45" s="13">
        <f>N45*VLOOKUP('Données projet'!$B$9,Paramètres!$A$1:$I$89,3,0)*VLOOKUP('Données projet'!$B$9,Paramètres!$A$1:$I$89,5,0)</f>
        <v>288.10079999999994</v>
      </c>
      <c r="P45" s="13">
        <f t="shared" si="33"/>
        <v>68.67608879299398</v>
      </c>
      <c r="Q45" s="20">
        <f t="shared" si="53"/>
        <v>621.38641464779766</v>
      </c>
      <c r="R45" s="59">
        <f t="shared" si="0"/>
        <v>914.71974798113092</v>
      </c>
      <c r="S45" s="59">
        <f ca="1">AVERAGE(OFFSET($R$3,0,0,'Données projet'!$E$9+1,1))-AVERAGE(OFFSET($H$3,0,0,'Données projet'!$E$9+1,1))</f>
        <v>263.37813242097957</v>
      </c>
      <c r="T45" s="59">
        <f t="shared" si="34"/>
        <v>314.89350816766904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25.615422997015433</v>
      </c>
      <c r="AA45" s="21">
        <f>EXP(-LN(2)/25)*AA44+(1-EXP(-LN(2)/25))/(LN(2)/25)*Calculateur!V45*Calculateur!X45*VLOOKUP('Données projet'!$B$9,Paramètres!$A$1:$I$89,3,0)*0.475*44/12</f>
        <v>20.6943183020615</v>
      </c>
      <c r="AB45" s="21">
        <f>EXP(-LN(2)/2)*AB44+(1-EXP(-LN(2)/2))/(LN(2)/2)*V45*Y45*VLOOKUP('Données projet'!$B$9,Paramètres!$A$1:$I$89,3,0)*0.475*44/12</f>
        <v>3.0280013669065884</v>
      </c>
      <c r="AC45" s="22">
        <f t="shared" si="3"/>
        <v>49.337742665983519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28</v>
      </c>
      <c r="AI45" s="13">
        <f>IF('Données projet'!$A$62&gt;35,AI44+AH45-AQ44,IF(A45&lt;'Données projet'!$A$62,$AF$205^A45,IF(A45='Données projet'!$A$62,'Données projet'!$B$62,AI44+AH45-AQ44)))</f>
        <v>512</v>
      </c>
      <c r="AJ45" s="13">
        <f>AI45*VLOOKUP('Données projet'!$B$10,Paramètres!$A$1:$I$89,3,0)*VLOOKUP('Données projet'!$B$10,Paramètres!$A$1:$I$89,5,0)</f>
        <v>206.33600000000001</v>
      </c>
      <c r="AK45" s="13">
        <f t="shared" si="35"/>
        <v>51.134091137369083</v>
      </c>
      <c r="AL45" s="20">
        <f t="shared" si="4"/>
        <v>448.42707539758447</v>
      </c>
      <c r="AM45" s="59">
        <f t="shared" si="5"/>
        <v>741.76040873091779</v>
      </c>
      <c r="AN45" s="59">
        <f ca="1">AVERAGE(OFFSET($AM$3,0,0,'Données projet'!$E$10+1,1))-AVERAGE(OFFSET($H$3,0,0,'Données projet'!$E$10+1,1))</f>
        <v>344.29957955721721</v>
      </c>
      <c r="AO45" s="59">
        <f t="shared" si="36"/>
        <v>297.12790038882594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28.819035758471777</v>
      </c>
      <c r="AV45" s="21">
        <f>EXP(-LN(2)/25)*AV44+(1-EXP(-LN(2)/25))/(LN(2)/25)*Calculateur!AQ45*Calculateur!AS45*VLOOKUP('Données projet'!$B$10,Paramètres!$A$1:$I$89,3,0)*0.475*44/12</f>
        <v>25.214749278659639</v>
      </c>
      <c r="AW45" s="21">
        <f>EXP(-LN(2)/2)*AW44+(1-EXP(-LN(2)/2))/(LN(2)/2)*AQ45*AT45*VLOOKUP('Données projet'!$B$10,Paramètres!$A$1:$I$89,3,0)*0.475*44/12</f>
        <v>4.9431416629236056</v>
      </c>
      <c r="AX45" s="21">
        <f t="shared" si="6"/>
        <v>58.976926700055024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31.8</v>
      </c>
      <c r="BD45" s="12">
        <f>IF('Données projet'!$A$88&gt;35,BD44+BC45-BL44,IF(A45&lt;'Données projet'!$A$88,$BA$205^A45,IF(A45='Données projet'!$A$88,'Données projet'!$B$88,BD44+BC45-BL44)))</f>
        <v>532.4</v>
      </c>
      <c r="BE45" s="13">
        <f>BD45*VLOOKUP('Données projet'!$B$11,Paramètres!$A$1:$I$89,3,0)*VLOOKUP('Données projet'!$B$11,Paramètres!$A$1:$I$89,5,0)</f>
        <v>249.16319999999999</v>
      </c>
      <c r="BF45" s="13">
        <f t="shared" si="37"/>
        <v>60.406717776063964</v>
      </c>
      <c r="BG45" s="20">
        <f t="shared" si="7"/>
        <v>539.16760679331139</v>
      </c>
      <c r="BH45" s="59">
        <f t="shared" si="8"/>
        <v>832.50094012664476</v>
      </c>
      <c r="BI45" s="59">
        <f ca="1">AVERAGE(OFFSET($BH$3,0,0,'Données projet'!$E$11+1,1))-AVERAGE(OFFSET($H$3,0,0,'Données projet'!$E$11+1,1))</f>
        <v>234.83702199169585</v>
      </c>
      <c r="BJ45" s="59">
        <f t="shared" si="38"/>
        <v>248.83008816685089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17.767977861236798</v>
      </c>
      <c r="BQ45" s="21">
        <f>EXP(-LN(2)/25)*BQ44+(1-EXP(-LN(2)/25))/(LN(2)/25)*Calculateur!BL45*Calculateur!BN45*VLOOKUP('Données projet'!$B$11,Paramètres!$A$1:$I$89,3,0)*0.475*44/12</f>
        <v>19.883413870056959</v>
      </c>
      <c r="BR45" s="21">
        <f>EXP(-LN(2)/2)*BR44+(1-EXP(-LN(2)/2))/(LN(2)/2)*BL45*BO45*VLOOKUP('Données projet'!$B$11,Paramètres!$A$1:$I$89,3,0)*0.475*44/12</f>
        <v>2.0685982473027922</v>
      </c>
      <c r="BS45" s="22">
        <f t="shared" si="9"/>
        <v>39.719989978596551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31.8</v>
      </c>
      <c r="BY45" s="12">
        <f>IF('Données projet'!$A$114&gt;35,BY44+BX45-CG44,IF(A45&lt;'Données projet'!$A$114,$BV$205^A45,IF(A45='Données projet'!$A$114,'Données projet'!$B$114,BY44+BX45-CG44)))</f>
        <v>532.4</v>
      </c>
      <c r="BZ45" s="13">
        <f>BY45*VLOOKUP('Données projet'!$B$12,Paramètres!$A$1:$I$89,3,0)*VLOOKUP('Données projet'!$B$12,Paramètres!$A$1:$I$89,5,0)</f>
        <v>235.32079999999999</v>
      </c>
      <c r="CA45" s="13">
        <f t="shared" si="39"/>
        <v>57.43162706485176</v>
      </c>
      <c r="CB45" s="20">
        <f t="shared" si="10"/>
        <v>509.87714380461676</v>
      </c>
      <c r="CC45" s="59">
        <f t="shared" si="11"/>
        <v>803.21047713795008</v>
      </c>
      <c r="CD45" s="59">
        <f ca="1">AVERAGE(OFFSET($CC$3,0,0,'Données projet'!$E$12+1,1))-AVERAGE(OFFSET($H$3,0,0,'Données projet'!$E$12+1,1))</f>
        <v>220.26537310502334</v>
      </c>
      <c r="CE45" s="59">
        <f t="shared" si="40"/>
        <v>233.26853625122016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16.780867980056982</v>
      </c>
      <c r="CL45" s="21">
        <f>EXP(-LN(2)/25)*CL44+(1-EXP(-LN(2)/25))/(LN(2)/25)*Calculateur!CG45*Calculateur!CI45*VLOOKUP('Données projet'!$B$12,Paramètres!$A$1:$I$89,3,0)*0.475*44/12</f>
        <v>18.778779766164917</v>
      </c>
      <c r="CM45" s="21">
        <f>EXP(-LN(2)/2)*CM44+(1-EXP(-LN(2)/2))/(LN(2)/2)*CG45*CJ45*VLOOKUP('Données projet'!$B$12,Paramètres!$A$1:$I$89,3,0)*0.475*44/12</f>
        <v>1.9536761224526369</v>
      </c>
      <c r="CN45" s="22">
        <f t="shared" si="12"/>
        <v>37.513323868674533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31.8</v>
      </c>
      <c r="N46" s="13">
        <f>IF('Données projet'!$A$36&gt;35,N45+M46-V45,IF(A46&lt;'Données projet'!$A$36,$K$205^A46,IF(A46='Données projet'!$A$36,'Données projet'!$B$36,N45+M46-V45)))</f>
        <v>647.39999999999986</v>
      </c>
      <c r="O46" s="13">
        <f>N46*VLOOKUP('Données projet'!$B$9,Paramètres!$A$1:$I$89,3,0)*VLOOKUP('Données projet'!$B$9,Paramètres!$A$1:$I$89,5,0)</f>
        <v>302.98319999999995</v>
      </c>
      <c r="P46" s="13">
        <f t="shared" si="33"/>
        <v>71.801496173397709</v>
      </c>
      <c r="Q46" s="20">
        <f t="shared" si="53"/>
        <v>652.75001250200091</v>
      </c>
      <c r="R46" s="59">
        <f t="shared" si="0"/>
        <v>946.08334583533428</v>
      </c>
      <c r="S46" s="59">
        <f ca="1">AVERAGE(OFFSET($R$3,0,0,'Données projet'!$E$9+1,1))-AVERAGE(OFFSET($H$3,0,0,'Données projet'!$E$9+1,1))</f>
        <v>263.37813242097957</v>
      </c>
      <c r="T46" s="59">
        <f t="shared" si="34"/>
        <v>314.89350816766904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25.113120175909259</v>
      </c>
      <c r="AA46" s="21">
        <f>EXP(-LN(2)/25)*AA45+(1-EXP(-LN(2)/25))/(LN(2)/25)*Calculateur!V46*Calculateur!X46*VLOOKUP('Données projet'!$B$9,Paramètres!$A$1:$I$89,3,0)*0.475*44/12</f>
        <v>20.128431079824725</v>
      </c>
      <c r="AB46" s="21">
        <f>EXP(-LN(2)/2)*AB45+(1-EXP(-LN(2)/2))/(LN(2)/2)*V46*Y46*VLOOKUP('Données projet'!$B$9,Paramètres!$A$1:$I$89,3,0)*0.475*44/12</f>
        <v>2.1411202999817838</v>
      </c>
      <c r="AC46" s="22">
        <f t="shared" si="3"/>
        <v>47.382671555715767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28</v>
      </c>
      <c r="AI46" s="13">
        <f>IF('Données projet'!$A$62&gt;35,AI45+AH46-AQ45,IF(A46&lt;'Données projet'!$A$62,$AF$205^A46,IF(A46='Données projet'!$A$62,'Données projet'!$B$62,AI45+AH46-AQ45)))</f>
        <v>540</v>
      </c>
      <c r="AJ46" s="13">
        <f>AI46*VLOOKUP('Données projet'!$B$10,Paramètres!$A$1:$I$89,3,0)*VLOOKUP('Données projet'!$B$10,Paramètres!$A$1:$I$89,5,0)</f>
        <v>217.62</v>
      </c>
      <c r="AK46" s="13">
        <f t="shared" si="35"/>
        <v>53.597277471320098</v>
      </c>
      <c r="AL46" s="20">
        <f t="shared" si="4"/>
        <v>472.37009159588257</v>
      </c>
      <c r="AM46" s="59">
        <f t="shared" si="5"/>
        <v>765.70342492921588</v>
      </c>
      <c r="AN46" s="59">
        <f ca="1">AVERAGE(OFFSET($AM$3,0,0,'Données projet'!$E$10+1,1))-AVERAGE(OFFSET($H$3,0,0,'Données projet'!$E$10+1,1))</f>
        <v>344.29957955721721</v>
      </c>
      <c r="AO46" s="59">
        <f t="shared" si="36"/>
        <v>297.12790038882594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28.253912045124288</v>
      </c>
      <c r="AV46" s="21">
        <f>EXP(-LN(2)/25)*AV45+(1-EXP(-LN(2)/25))/(LN(2)/25)*Calculateur!AQ46*Calculateur!AS46*VLOOKUP('Données projet'!$B$10,Paramètres!$A$1:$I$89,3,0)*0.475*44/12</f>
        <v>24.525250633648657</v>
      </c>
      <c r="AW46" s="21">
        <f>EXP(-LN(2)/2)*AW45+(1-EXP(-LN(2)/2))/(LN(2)/2)*AQ46*AT46*VLOOKUP('Données projet'!$B$10,Paramètres!$A$1:$I$89,3,0)*0.475*44/12</f>
        <v>3.4953289902190288</v>
      </c>
      <c r="AX46" s="21">
        <f t="shared" si="6"/>
        <v>56.274491668991978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31.8</v>
      </c>
      <c r="BD46" s="12">
        <f>IF('Données projet'!$A$88&gt;35,BD45+BC46-BL45,IF(A46&lt;'Données projet'!$A$88,$BA$205^A46,IF(A46='Données projet'!$A$88,'Données projet'!$B$88,BD45+BC46-BL45)))</f>
        <v>564.19999999999993</v>
      </c>
      <c r="BE46" s="13">
        <f>BD46*VLOOKUP('Données projet'!$B$11,Paramètres!$A$1:$I$89,3,0)*VLOOKUP('Données projet'!$B$11,Paramètres!$A$1:$I$89,5,0)</f>
        <v>264.04559999999998</v>
      </c>
      <c r="BF46" s="13">
        <f t="shared" si="37"/>
        <v>63.583959929973737</v>
      </c>
      <c r="BG46" s="20">
        <f t="shared" si="7"/>
        <v>570.62148354470423</v>
      </c>
      <c r="BH46" s="59">
        <f t="shared" si="8"/>
        <v>863.95481687803749</v>
      </c>
      <c r="BI46" s="59">
        <f ca="1">AVERAGE(OFFSET($BH$3,0,0,'Données projet'!$E$11+1,1))-AVERAGE(OFFSET($H$3,0,0,'Données projet'!$E$11+1,1))</f>
        <v>234.83702199169585</v>
      </c>
      <c r="BJ46" s="59">
        <f t="shared" si="38"/>
        <v>248.83008816685089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17.419558652774334</v>
      </c>
      <c r="BQ46" s="21">
        <f>EXP(-LN(2)/25)*BQ45+(1-EXP(-LN(2)/25))/(LN(2)/25)*Calculateur!BL46*Calculateur!BN46*VLOOKUP('Données projet'!$B$11,Paramètres!$A$1:$I$89,3,0)*0.475*44/12</f>
        <v>19.339700872156961</v>
      </c>
      <c r="BR46" s="21">
        <f>EXP(-LN(2)/2)*BR45+(1-EXP(-LN(2)/2))/(LN(2)/2)*BL46*BO46*VLOOKUP('Données projet'!$B$11,Paramètres!$A$1:$I$89,3,0)*0.475*44/12</f>
        <v>1.4627198482184114</v>
      </c>
      <c r="BS46" s="22">
        <f t="shared" si="9"/>
        <v>38.221979373149708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31.8</v>
      </c>
      <c r="BY46" s="12">
        <f>IF('Données projet'!$A$114&gt;35,BY45+BX46-CG45,IF(A46&lt;'Données projet'!$A$114,$BV$205^A46,IF(A46='Données projet'!$A$114,'Données projet'!$B$114,BY45+BX46-CG45)))</f>
        <v>564.19999999999993</v>
      </c>
      <c r="BZ46" s="13">
        <f>BY46*VLOOKUP('Données projet'!$B$12,Paramètres!$A$1:$I$89,3,0)*VLOOKUP('Données projet'!$B$12,Paramètres!$A$1:$I$89,5,0)</f>
        <v>249.37640000000002</v>
      </c>
      <c r="CA46" s="13">
        <f t="shared" si="39"/>
        <v>60.452386894156334</v>
      </c>
      <c r="CB46" s="20">
        <f t="shared" si="10"/>
        <v>539.61847050732229</v>
      </c>
      <c r="CC46" s="59">
        <f t="shared" si="11"/>
        <v>832.95180384065566</v>
      </c>
      <c r="CD46" s="59">
        <f ca="1">AVERAGE(OFFSET($CC$3,0,0,'Données projet'!$E$12+1,1))-AVERAGE(OFFSET($H$3,0,0,'Données projet'!$E$12+1,1))</f>
        <v>220.26537310502334</v>
      </c>
      <c r="CE46" s="59">
        <f t="shared" si="40"/>
        <v>233.26853625122016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16.451805394286879</v>
      </c>
      <c r="CL46" s="21">
        <f>EXP(-LN(2)/25)*CL45+(1-EXP(-LN(2)/25))/(LN(2)/25)*Calculateur!CG46*Calculateur!CI46*VLOOKUP('Données projet'!$B$12,Paramètres!$A$1:$I$89,3,0)*0.475*44/12</f>
        <v>18.26527304592603</v>
      </c>
      <c r="CM46" s="21">
        <f>EXP(-LN(2)/2)*CM45+(1-EXP(-LN(2)/2))/(LN(2)/2)*CG46*CJ46*VLOOKUP('Données projet'!$B$12,Paramètres!$A$1:$I$89,3,0)*0.475*44/12</f>
        <v>1.3814576344284994</v>
      </c>
      <c r="CN46" s="22">
        <f t="shared" si="12"/>
        <v>36.098536074641409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31.8</v>
      </c>
      <c r="N47" s="13">
        <f>IF('Données projet'!$A$36&gt;35,N46+M47-V46,IF(A47&lt;'Données projet'!$A$36,$K$205^A47,IF(A47='Données projet'!$A$36,'Données projet'!$B$36,N46+M47-V46)))</f>
        <v>679.19999999999982</v>
      </c>
      <c r="O47" s="13">
        <f>N47*VLOOKUP('Données projet'!$B$9,Paramètres!$A$1:$I$89,3,0)*VLOOKUP('Données projet'!$B$9,Paramètres!$A$1:$I$89,5,0)</f>
        <v>317.86559999999992</v>
      </c>
      <c r="P47" s="13">
        <f t="shared" si="33"/>
        <v>74.909077405723679</v>
      </c>
      <c r="Q47" s="20">
        <f t="shared" si="53"/>
        <v>684.0825631483018</v>
      </c>
      <c r="R47" s="59">
        <f t="shared" si="0"/>
        <v>977.41589648163517</v>
      </c>
      <c r="S47" s="59">
        <f ca="1">AVERAGE(OFFSET($R$3,0,0,'Données projet'!$E$9+1,1))-AVERAGE(OFFSET($H$3,0,0,'Données projet'!$E$9+1,1))</f>
        <v>263.37813242097957</v>
      </c>
      <c r="T47" s="59">
        <f t="shared" si="34"/>
        <v>314.89350816766904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24.620667206750507</v>
      </c>
      <c r="AA47" s="21">
        <f>EXP(-LN(2)/25)*AA46+(1-EXP(-LN(2)/25))/(LN(2)/25)*Calculateur!V47*Calculateur!X47*VLOOKUP('Données projet'!$B$9,Paramètres!$A$1:$I$89,3,0)*0.475*44/12</f>
        <v>19.578018073438731</v>
      </c>
      <c r="AB47" s="21">
        <f>EXP(-LN(2)/2)*AB46+(1-EXP(-LN(2)/2))/(LN(2)/2)*V47*Y47*VLOOKUP('Données projet'!$B$9,Paramètres!$A$1:$I$89,3,0)*0.475*44/12</f>
        <v>1.5140006834532942</v>
      </c>
      <c r="AC47" s="22">
        <f t="shared" si="3"/>
        <v>45.712685963642535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28</v>
      </c>
      <c r="AI47" s="13">
        <f>IF('Données projet'!$A$62&gt;35,AI46+AH47-AQ46,IF(A47&lt;'Données projet'!$A$62,$AF$205^A47,IF(A47='Données projet'!$A$62,'Données projet'!$B$62,AI46+AH47-AQ46)))</f>
        <v>568</v>
      </c>
      <c r="AJ47" s="13">
        <f>AI47*VLOOKUP('Données projet'!$B$10,Paramètres!$A$1:$I$89,3,0)*VLOOKUP('Données projet'!$B$10,Paramètres!$A$1:$I$89,5,0)</f>
        <v>228.90400000000002</v>
      </c>
      <c r="AK47" s="13">
        <f t="shared" si="35"/>
        <v>56.04563486658364</v>
      </c>
      <c r="AL47" s="20">
        <f t="shared" si="4"/>
        <v>496.28728072596647</v>
      </c>
      <c r="AM47" s="59">
        <f t="shared" si="5"/>
        <v>789.62061405929978</v>
      </c>
      <c r="AN47" s="59">
        <f ca="1">AVERAGE(OFFSET($AM$3,0,0,'Données projet'!$E$10+1,1))-AVERAGE(OFFSET($H$3,0,0,'Données projet'!$E$10+1,1))</f>
        <v>344.29957955721721</v>
      </c>
      <c r="AO47" s="59">
        <f t="shared" si="36"/>
        <v>297.12790038882594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27.699870063104111</v>
      </c>
      <c r="AV47" s="21">
        <f>EXP(-LN(2)/25)*AV46+(1-EXP(-LN(2)/25))/(LN(2)/25)*Calculateur!AQ47*Calculateur!AS47*VLOOKUP('Données projet'!$B$10,Paramètres!$A$1:$I$89,3,0)*0.475*44/12</f>
        <v>23.854606365344658</v>
      </c>
      <c r="AW47" s="21">
        <f>EXP(-LN(2)/2)*AW46+(1-EXP(-LN(2)/2))/(LN(2)/2)*AQ47*AT47*VLOOKUP('Données projet'!$B$10,Paramètres!$A$1:$I$89,3,0)*0.475*44/12</f>
        <v>2.4715708314618032</v>
      </c>
      <c r="AX47" s="21">
        <f t="shared" si="6"/>
        <v>54.02604725991057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596</v>
      </c>
      <c r="BB47" s="12">
        <f>VLOOKUP(A47,'Données projet'!$A$87:$I$107,9,0)</f>
        <v>31.8</v>
      </c>
      <c r="BC47" s="12">
        <f t="array" ref="BC47">INDEX(BB:BB,MIN(IF(ISNUMBER(BB47:BB243),ROW(BB47:BB243),"")))</f>
        <v>31.8</v>
      </c>
      <c r="BD47" s="12">
        <f>IF('Données projet'!$A$88&gt;35,BD46+BC47-BL46,IF(A47&lt;'Données projet'!$A$88,$BA$205^A47,IF(A47='Données projet'!$A$88,'Données projet'!$B$88,BD46+BC47-BL46)))</f>
        <v>595.99999999999989</v>
      </c>
      <c r="BE47" s="13">
        <f>BD47*VLOOKUP('Données projet'!$B$11,Paramètres!$A$1:$I$89,3,0)*VLOOKUP('Données projet'!$B$11,Paramètres!$A$1:$I$89,5,0)</f>
        <v>278.92799999999994</v>
      </c>
      <c r="BF47" s="13">
        <f t="shared" si="37"/>
        <v>66.740413913415367</v>
      </c>
      <c r="BG47" s="20">
        <f t="shared" si="7"/>
        <v>602.03915423253159</v>
      </c>
      <c r="BH47" s="59">
        <f t="shared" si="8"/>
        <v>895.37248756586496</v>
      </c>
      <c r="BI47" s="59">
        <f ca="1">AVERAGE(OFFSET($BH$3,0,0,'Données projet'!$E$11+1,1))-AVERAGE(OFFSET($H$3,0,0,'Données projet'!$E$11+1,1))</f>
        <v>234.83702199169585</v>
      </c>
      <c r="BJ47" s="59">
        <f t="shared" si="38"/>
        <v>248.83008816685089</v>
      </c>
      <c r="BK47" s="15">
        <f>IF(ISNA(VLOOKUP(A47,'Données projet'!$A$87:$I$107,3,0)),0,VLOOKUP(A47,'Données projet'!$A$87:$I$107,3,0))</f>
        <v>6</v>
      </c>
      <c r="BL47" s="15">
        <f>IF(ISNA(VLOOKUP(A47,'Données projet'!$A$87:$I$107,4,0)),0,VLOOKUP(A47,'Données projet'!$A$87:$I$107,4,0))</f>
        <v>57</v>
      </c>
      <c r="BM47" s="16">
        <f>IF(ISNA(VLOOKUP(A47,'Données projet'!$A$87:$I$107,5,0)),0%,VLOOKUP(A47,'Données projet'!$A$87:$I$107,5,0)*VLOOKUP('Données projet'!$B$11,Paramètres!$A$1:$I$89,7,0))</f>
        <v>0.1925</v>
      </c>
      <c r="BN47" s="16">
        <f>IF(ISNA(VLOOKUP(A47,'Données projet'!$A$87:$I$107,6,0)),0%,VLOOKUP(A47,'Données projet'!$A$87:$I$107,6,0)*VLOOKUP('Données projet'!$B$11,Paramètres!$A$1:$I$89,7,0))</f>
        <v>8.2500000000000004E-2</v>
      </c>
      <c r="BO47" s="16">
        <f>IF(ISNA(VLOOKUP(A47,'Données projet'!$A$87:$I$107,7,0)),0%,VLOOKUP(A47,'Données projet'!$A$87:$I$107,7,0))</f>
        <v>0.15</v>
      </c>
      <c r="BP47" s="21">
        <f>EXP(-LN(2)/35)*BP46+(1-EXP(-LN(2)/35))/(LN(2)/35)*BL47*BM47*VLOOKUP('Données projet'!$B$11,Paramètres!$A$1:$I$89,3,0)*0.475*44/12</f>
        <v>23.890052664536334</v>
      </c>
      <c r="BQ47" s="21">
        <f>EXP(-LN(2)/25)*BQ46+(1-EXP(-LN(2)/25))/(LN(2)/25)*Calculateur!BL47*Calculateur!BN47*VLOOKUP('Données projet'!$B$11,Paramètres!$A$1:$I$89,3,0)*0.475*44/12</f>
        <v>21.718823952130901</v>
      </c>
      <c r="BR47" s="21">
        <f>EXP(-LN(2)/2)*BR46+(1-EXP(-LN(2)/2))/(LN(2)/2)*BL47*BO47*VLOOKUP('Données projet'!$B$11,Paramètres!$A$1:$I$89,3,0)*0.475*44/12</f>
        <v>5.5648134389737969</v>
      </c>
      <c r="BS47" s="22">
        <f t="shared" si="9"/>
        <v>51.173690055641032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596</v>
      </c>
      <c r="BW47" s="12">
        <f>VLOOKUP(A47,'Données projet'!$A$113:$I$133,9,0)</f>
        <v>31.8</v>
      </c>
      <c r="BX47" s="12">
        <f t="array" ref="BX47">INDEX(BW:BW,MIN(IF(ISNUMBER(BW47:BW243),ROW(BW47:BW243),"")))</f>
        <v>31.8</v>
      </c>
      <c r="BY47" s="12">
        <f>IF('Données projet'!$A$114&gt;35,BY46+BX47-CG46,IF(A47&lt;'Données projet'!$A$114,$BV$205^A47,IF(A47='Données projet'!$A$114,'Données projet'!$B$114,BY46+BX47-CG46)))</f>
        <v>595.99999999999989</v>
      </c>
      <c r="BZ47" s="13">
        <f>BY47*VLOOKUP('Données projet'!$B$12,Paramètres!$A$1:$I$89,3,0)*VLOOKUP('Données projet'!$B$12,Paramètres!$A$1:$I$89,5,0)</f>
        <v>263.43200000000002</v>
      </c>
      <c r="CA47" s="13">
        <f t="shared" si="39"/>
        <v>63.453382390988601</v>
      </c>
      <c r="CB47" s="20">
        <f t="shared" si="10"/>
        <v>569.32537433097184</v>
      </c>
      <c r="CC47" s="59">
        <f t="shared" si="11"/>
        <v>862.65870766430521</v>
      </c>
      <c r="CD47" s="59">
        <f ca="1">AVERAGE(OFFSET($CC$3,0,0,'Données projet'!$E$12+1,1))-AVERAGE(OFFSET($H$3,0,0,'Données projet'!$E$12+1,1))</f>
        <v>220.26537310502334</v>
      </c>
      <c r="CE47" s="59">
        <f t="shared" si="40"/>
        <v>233.26853625122016</v>
      </c>
      <c r="CF47" s="15">
        <f>IF(ISNA(VLOOKUP(A47,'Données projet'!$A$113:$I$133,3,0)),0,VLOOKUP(A47,'Données projet'!$A$113:$I$133,3,0))</f>
        <v>6</v>
      </c>
      <c r="CG47" s="15">
        <f>IF(ISNA(VLOOKUP(A47,'Données projet'!$A$113:$I$133,4,0)),0,VLOOKUP(A47,'Données projet'!$A$113:$I$133,4,0))</f>
        <v>57</v>
      </c>
      <c r="CH47" s="16">
        <f>IF(ISNA(VLOOKUP(A47,'Données projet'!$A$113:$I$133,5,0)),0%,VLOOKUP(A47,'Données projet'!$A$113:$I$133,5,0)*VLOOKUP('Données projet'!$B$12,Paramètres!$A$1:$I$89,7,0))</f>
        <v>0.1925</v>
      </c>
      <c r="CI47" s="16">
        <f>IF(ISNA(VLOOKUP(A47,'Données projet'!$A$113:$I$133,6,0)),0%,VLOOKUP(A47,'Données projet'!$A$113:$I$133,6,0)*VLOOKUP('Données projet'!$B$12,Paramètres!$A$1:$I$89,7,0))</f>
        <v>8.2500000000000004E-2</v>
      </c>
      <c r="CJ47" s="16">
        <f>IF(ISNA(VLOOKUP(A47,'Données projet'!$A$113:$I$133,7,0)),0%,VLOOKUP(A47,'Données projet'!$A$113:$I$133,7,0))</f>
        <v>0.15</v>
      </c>
      <c r="CK47" s="21">
        <f>EXP(-LN(2)/35)*CK46+(1-EXP(-LN(2)/35))/(LN(2)/35)*CG47*CH47*VLOOKUP('Données projet'!$B$12,Paramètres!$A$1:$I$89,3,0)*0.475*44/12</f>
        <v>22.562827516506545</v>
      </c>
      <c r="CL47" s="21">
        <f>EXP(-LN(2)/25)*CL46+(1-EXP(-LN(2)/25))/(LN(2)/25)*Calculateur!CG47*Calculateur!CI47*VLOOKUP('Données projet'!$B$12,Paramètres!$A$1:$I$89,3,0)*0.475*44/12</f>
        <v>20.512222621456974</v>
      </c>
      <c r="CM47" s="21">
        <f>EXP(-LN(2)/2)*CM46+(1-EXP(-LN(2)/2))/(LN(2)/2)*CG47*CJ47*VLOOKUP('Données projet'!$B$12,Paramètres!$A$1:$I$89,3,0)*0.475*44/12</f>
        <v>5.2556571368085852</v>
      </c>
      <c r="CN47" s="22">
        <f t="shared" si="12"/>
        <v>48.330707274772102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711</v>
      </c>
      <c r="L48" s="12">
        <f>VLOOKUP(A48,'Données projet'!$A$35:$I$55,9,0)</f>
        <v>31.8</v>
      </c>
      <c r="M48" s="12">
        <f t="array" ref="M48">INDEX(L:L,MIN(IF(ISNUMBER(L48:L244),ROW(L48:L244),"")))</f>
        <v>31.8</v>
      </c>
      <c r="N48" s="13">
        <f>IF('Données projet'!$A$36&gt;35,N47+M48-V47,IF(A48&lt;'Données projet'!$A$36,$K$205^A48,IF(A48='Données projet'!$A$36,'Données projet'!$B$36,N47+M48-V47)))</f>
        <v>710.99999999999977</v>
      </c>
      <c r="O48" s="13">
        <f>N48*VLOOKUP('Données projet'!$B$9,Paramètres!$A$1:$I$89,3,0)*VLOOKUP('Données projet'!$B$9,Paramètres!$A$1:$I$89,5,0)</f>
        <v>332.74799999999993</v>
      </c>
      <c r="P48" s="13">
        <f t="shared" si="33"/>
        <v>77.999762416165765</v>
      </c>
      <c r="Q48" s="20">
        <f t="shared" si="53"/>
        <v>715.38568620815522</v>
      </c>
      <c r="R48" s="59">
        <f t="shared" si="0"/>
        <v>1008.7190195414885</v>
      </c>
      <c r="S48" s="59">
        <f ca="1">AVERAGE(OFFSET($R$3,0,0,'Données projet'!$E$9+1,1))-AVERAGE(OFFSET($H$3,0,0,'Données projet'!$E$9+1,1))</f>
        <v>263.37813242097957</v>
      </c>
      <c r="T48" s="59">
        <f t="shared" si="34"/>
        <v>314.89350816766904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62</v>
      </c>
      <c r="W48" s="16">
        <f>IF(ISNA(VLOOKUP(A48,'Données projet'!$A$35:$I$55,5,0)),0%,VLOOKUP(A48,'Données projet'!$A$35:$I$55,5,0)*VLOOKUP('Données projet'!$B$9,Paramètres!$A$1:$I$89,7,0))</f>
        <v>0.1925</v>
      </c>
      <c r="X48" s="16">
        <f>IF(ISNA(VLOOKUP(A48,'Données projet'!$A$35:$I$55,6,0)),0%,VLOOKUP(A48,'Données projet'!$A$35:$I$55,6,0)*VLOOKUP('Données projet'!$B$9,Paramètres!$A$1:$I$89,7,0))</f>
        <v>8.2500000000000004E-2</v>
      </c>
      <c r="Y48" s="16">
        <f>IF(ISNA(VLOOKUP(A48,'Données projet'!$A$35:$I$55,7,0)),0%,VLOOKUP(A48,'Données projet'!$A$35:$I$55,7,0))</f>
        <v>0.15</v>
      </c>
      <c r="Z48" s="21">
        <f>EXP(-LN(2)/35)*Z47+(1-EXP(-LN(2)/35))/(LN(2)/35)*V48*W48*VLOOKUP('Données projet'!$B$9,Paramètres!$A$1:$I$89,3,0)*0.475*44/12</f>
        <v>31.547502830964294</v>
      </c>
      <c r="AA48" s="21">
        <f>EXP(-LN(2)/25)*AA47+(1-EXP(-LN(2)/25))/(LN(2)/25)*Calculateur!V48*Calculateur!X48*VLOOKUP('Données projet'!$B$9,Paramètres!$A$1:$I$89,3,0)*0.475*44/12</f>
        <v>22.205709288357884</v>
      </c>
      <c r="AB48" s="21">
        <f>EXP(-LN(2)/2)*AB47+(1-EXP(-LN(2)/2))/(LN(2)/2)*V48*Y48*VLOOKUP('Données projet'!$B$9,Paramètres!$A$1:$I$89,3,0)*0.475*44/12</f>
        <v>5.9984880017450815</v>
      </c>
      <c r="AC48" s="22">
        <f t="shared" si="3"/>
        <v>59.751700121067259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596</v>
      </c>
      <c r="AG48" s="12">
        <f>VLOOKUP(A48,'Données projet'!$A$61:$I$81,9,0)</f>
        <v>28</v>
      </c>
      <c r="AH48" s="12">
        <f t="array" ref="AH48">INDEX(AG:AG,MIN(IF(ISNUMBER(AG48:AG244),ROW(AG48:AG244),"")))</f>
        <v>28</v>
      </c>
      <c r="AI48" s="13">
        <f>IF('Données projet'!$A$62&gt;35,AI47+AH48-AQ47,IF(A48&lt;'Données projet'!$A$62,$AF$205^A48,IF(A48='Données projet'!$A$62,'Données projet'!$B$62,AI47+AH48-AQ47)))</f>
        <v>596</v>
      </c>
      <c r="AJ48" s="13">
        <f>AI48*VLOOKUP('Données projet'!$B$10,Paramètres!$A$1:$I$89,3,0)*VLOOKUP('Données projet'!$B$10,Paramètres!$A$1:$I$89,5,0)</f>
        <v>240.18799999999999</v>
      </c>
      <c r="AK48" s="13">
        <f t="shared" si="35"/>
        <v>58.479977754498371</v>
      </c>
      <c r="AL48" s="20">
        <f t="shared" si="4"/>
        <v>520.18006125575118</v>
      </c>
      <c r="AM48" s="59">
        <f t="shared" si="5"/>
        <v>813.51339458908456</v>
      </c>
      <c r="AN48" s="59">
        <f ca="1">AVERAGE(OFFSET($AM$3,0,0,'Données projet'!$E$10+1,1))-AVERAGE(OFFSET($H$3,0,0,'Données projet'!$E$10+1,1))</f>
        <v>344.29957955721721</v>
      </c>
      <c r="AO48" s="59">
        <f t="shared" si="36"/>
        <v>297.12790038882594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77</v>
      </c>
      <c r="AR48" s="16">
        <f>IF(ISNA(VLOOKUP(A48,'Données projet'!$A$61:$I$81,5,0)),0%,VLOOKUP(A48,'Données projet'!$A$61:$I$81,5,0)*VLOOKUP('Données projet'!$B$10,Paramètres!$A$1:$I$89,7,0))</f>
        <v>0.33</v>
      </c>
      <c r="AS48" s="16">
        <f>IF(ISNA(VLOOKUP(A48,'Données projet'!$A$61:$I$81,6,0)),0%,VLOOKUP(A48,'Données projet'!$A$61:$I$81,6,0)*VLOOKUP('Données projet'!$B$10,Paramètres!$A$1:$I$89,7,0))</f>
        <v>0.11000000000000001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40.741017639944751</v>
      </c>
      <c r="AV48" s="21">
        <f>EXP(-LN(2)/25)*AV47+(1-EXP(-LN(2)/25))/(LN(2)/25)*Calculateur!AQ48*Calculateur!AS48*VLOOKUP('Données projet'!$B$10,Paramètres!$A$1:$I$89,3,0)*0.475*44/12</f>
        <v>27.712580389638841</v>
      </c>
      <c r="AW48" s="21">
        <f>EXP(-LN(2)/2)*AW47+(1-EXP(-LN(2)/2))/(LN(2)/2)*AQ48*AT48*VLOOKUP('Données projet'!$B$10,Paramètres!$A$1:$I$89,3,0)*0.475*44/12</f>
        <v>8.7745245800182676</v>
      </c>
      <c r="AX48" s="21">
        <f t="shared" si="6"/>
        <v>77.228122609601854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26.333333333333332</v>
      </c>
      <c r="BD48" s="12">
        <f>IF('Données projet'!$A$88&gt;35,BD47+BC48-BL47,IF(A48&lt;'Données projet'!$A$88,$BA$205^A48,IF(A48='Données projet'!$A$88,'Données projet'!$B$88,BD47+BC48-BL47)))</f>
        <v>565.33333333333326</v>
      </c>
      <c r="BE48" s="13">
        <f>BD48*VLOOKUP('Données projet'!$B$11,Paramètres!$A$1:$I$89,3,0)*VLOOKUP('Données projet'!$B$11,Paramètres!$A$1:$I$89,5,0)</f>
        <v>264.57599999999996</v>
      </c>
      <c r="BF48" s="13">
        <f t="shared" si="37"/>
        <v>63.696803579002321</v>
      </c>
      <c r="BG48" s="20">
        <f t="shared" si="7"/>
        <v>571.74179956676232</v>
      </c>
      <c r="BH48" s="59">
        <f t="shared" si="8"/>
        <v>865.0751329000957</v>
      </c>
      <c r="BI48" s="59">
        <f ca="1">AVERAGE(OFFSET($BH$3,0,0,'Données projet'!$E$11+1,1))-AVERAGE(OFFSET($H$3,0,0,'Données projet'!$E$11+1,1))</f>
        <v>234.83702199169585</v>
      </c>
      <c r="BJ48" s="59">
        <f t="shared" si="38"/>
        <v>248.83008816685089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23.421583303278087</v>
      </c>
      <c r="BQ48" s="21">
        <f>EXP(-LN(2)/25)*BQ47+(1-EXP(-LN(2)/25))/(LN(2)/25)*Calculateur!BL48*Calculateur!BN48*VLOOKUP('Données projet'!$B$11,Paramètres!$A$1:$I$89,3,0)*0.475*44/12</f>
        <v>21.124921569016568</v>
      </c>
      <c r="BR48" s="21">
        <f>EXP(-LN(2)/2)*BR47+(1-EXP(-LN(2)/2))/(LN(2)/2)*BL48*BO48*VLOOKUP('Données projet'!$B$11,Paramètres!$A$1:$I$89,3,0)*0.475*44/12</f>
        <v>3.9349173187364039</v>
      </c>
      <c r="BS48" s="22">
        <f t="shared" si="9"/>
        <v>48.481422191031058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26.333333333333332</v>
      </c>
      <c r="BY48" s="12">
        <f>IF('Données projet'!$A$114&gt;35,BY47+BX48-CG47,IF(A48&lt;'Données projet'!$A$114,$BV$205^A48,IF(A48='Données projet'!$A$114,'Données projet'!$B$114,BY47+BX48-CG47)))</f>
        <v>565.33333333333326</v>
      </c>
      <c r="BZ48" s="13">
        <f>BY48*VLOOKUP('Données projet'!$B$12,Paramètres!$A$1:$I$89,3,0)*VLOOKUP('Données projet'!$B$12,Paramètres!$A$1:$I$89,5,0)</f>
        <v>249.87733333333333</v>
      </c>
      <c r="CA48" s="13">
        <f t="shared" si="39"/>
        <v>60.559672881646584</v>
      </c>
      <c r="CB48" s="20">
        <f t="shared" si="10"/>
        <v>540.67778582442327</v>
      </c>
      <c r="CC48" s="59">
        <f t="shared" si="11"/>
        <v>834.01111915775664</v>
      </c>
      <c r="CD48" s="59">
        <f ca="1">AVERAGE(OFFSET($CC$3,0,0,'Données projet'!$E$12+1,1))-AVERAGE(OFFSET($H$3,0,0,'Données projet'!$E$12+1,1))</f>
        <v>220.26537310502334</v>
      </c>
      <c r="CE48" s="59">
        <f t="shared" si="40"/>
        <v>233.26853625122016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22.120384230873753</v>
      </c>
      <c r="CL48" s="21">
        <f>EXP(-LN(2)/25)*CL47+(1-EXP(-LN(2)/25))/(LN(2)/25)*Calculateur!CG48*Calculateur!CI48*VLOOKUP('Données projet'!$B$12,Paramètres!$A$1:$I$89,3,0)*0.475*44/12</f>
        <v>19.951314815182329</v>
      </c>
      <c r="CM48" s="21">
        <f>EXP(-LN(2)/2)*CM47+(1-EXP(-LN(2)/2))/(LN(2)/2)*CG48*CJ48*VLOOKUP('Données projet'!$B$12,Paramètres!$A$1:$I$89,3,0)*0.475*44/12</f>
        <v>3.7163108010288255</v>
      </c>
      <c r="CN48" s="22">
        <f t="shared" si="12"/>
        <v>45.788009847084908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26.4</v>
      </c>
      <c r="N49" s="13">
        <f>IF('Données projet'!$A$36&gt;35,N48+M49-V48,IF(A49&lt;'Données projet'!$A$36,$K$205^A49,IF(A49='Données projet'!$A$36,'Données projet'!$B$36,N48+M49-V48)))</f>
        <v>675.39999999999975</v>
      </c>
      <c r="O49" s="13">
        <f>N49*VLOOKUP('Données projet'!$B$9,Paramètres!$A$1:$I$89,3,0)*VLOOKUP('Données projet'!$B$9,Paramètres!$A$1:$I$89,5,0)</f>
        <v>316.08719999999988</v>
      </c>
      <c r="P49" s="13">
        <f t="shared" si="33"/>
        <v>74.538637503173462</v>
      </c>
      <c r="Q49" s="20">
        <f t="shared" si="53"/>
        <v>680.34000031802691</v>
      </c>
      <c r="R49" s="59">
        <f t="shared" si="0"/>
        <v>973.67333365136028</v>
      </c>
      <c r="S49" s="59">
        <f ca="1">AVERAGE(OFFSET($R$3,0,0,'Données projet'!$E$9+1,1))-AVERAGE(OFFSET($H$3,0,0,'Données projet'!$E$9+1,1))</f>
        <v>263.37813242097957</v>
      </c>
      <c r="T49" s="59">
        <f t="shared" si="34"/>
        <v>314.89350816766904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30.928875542525816</v>
      </c>
      <c r="AA49" s="21">
        <f>EXP(-LN(2)/25)*AA48+(1-EXP(-LN(2)/25))/(LN(2)/25)*Calculateur!V49*Calculateur!X49*VLOOKUP('Données projet'!$B$9,Paramètres!$A$1:$I$89,3,0)*0.475*44/12</f>
        <v>21.598493000120239</v>
      </c>
      <c r="AB49" s="21">
        <f>EXP(-LN(2)/2)*AB48+(1-EXP(-LN(2)/2))/(LN(2)/2)*V49*Y49*VLOOKUP('Données projet'!$B$9,Paramètres!$A$1:$I$89,3,0)*0.475*44/12</f>
        <v>4.2415715429000906</v>
      </c>
      <c r="AC49" s="22">
        <f t="shared" si="3"/>
        <v>56.768940085546149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26.4</v>
      </c>
      <c r="AI49" s="13">
        <f>IF('Données projet'!$A$62&gt;35,AI48+AH49-AQ48,IF(A49&lt;'Données projet'!$A$62,$AF$205^A49,IF(A49='Données projet'!$A$62,'Données projet'!$B$62,AI48+AH49-AQ48)))</f>
        <v>545.4</v>
      </c>
      <c r="AJ49" s="13">
        <f>AI49*VLOOKUP('Données projet'!$B$10,Paramètres!$A$1:$I$89,3,0)*VLOOKUP('Données projet'!$B$10,Paramètres!$A$1:$I$89,5,0)</f>
        <v>219.7962</v>
      </c>
      <c r="AK49" s="13">
        <f t="shared" si="35"/>
        <v>54.070588408575979</v>
      </c>
      <c r="AL49" s="20">
        <f t="shared" si="4"/>
        <v>476.98465647826987</v>
      </c>
      <c r="AM49" s="59">
        <f t="shared" si="5"/>
        <v>770.31798981160318</v>
      </c>
      <c r="AN49" s="59">
        <f ca="1">AVERAGE(OFFSET($AM$3,0,0,'Données projet'!$E$10+1,1))-AVERAGE(OFFSET($H$3,0,0,'Données projet'!$E$10+1,1))</f>
        <v>344.29957955721721</v>
      </c>
      <c r="AO49" s="59">
        <f t="shared" si="36"/>
        <v>297.12790038882594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39.942111133592505</v>
      </c>
      <c r="AV49" s="21">
        <f>EXP(-LN(2)/25)*AV48+(1-EXP(-LN(2)/25))/(LN(2)/25)*Calculateur!AQ49*Calculateur!AS49*VLOOKUP('Données projet'!$B$10,Paramètres!$A$1:$I$89,3,0)*0.475*44/12</f>
        <v>26.954778421542901</v>
      </c>
      <c r="AW49" s="21">
        <f>EXP(-LN(2)/2)*AW48+(1-EXP(-LN(2)/2))/(LN(2)/2)*AQ49*AT49*VLOOKUP('Données projet'!$B$10,Paramètres!$A$1:$I$89,3,0)*0.475*44/12</f>
        <v>6.2045258322189607</v>
      </c>
      <c r="AX49" s="21">
        <f t="shared" si="6"/>
        <v>73.101415387354365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26.333333333333332</v>
      </c>
      <c r="BD49" s="12">
        <f>IF('Données projet'!$A$88&gt;35,BD48+BC49-BL48,IF(A49&lt;'Données projet'!$A$88,$BA$205^A49,IF(A49='Données projet'!$A$88,'Données projet'!$B$88,BD48+BC49-BL48)))</f>
        <v>591.66666666666663</v>
      </c>
      <c r="BE49" s="13">
        <f>BD49*VLOOKUP('Données projet'!$B$11,Paramètres!$A$1:$I$89,3,0)*VLOOKUP('Données projet'!$B$11,Paramètres!$A$1:$I$89,5,0)</f>
        <v>276.89999999999998</v>
      </c>
      <c r="BF49" s="13">
        <f t="shared" si="37"/>
        <v>66.311465886517013</v>
      </c>
      <c r="BG49" s="20">
        <f t="shared" si="7"/>
        <v>597.75996975235046</v>
      </c>
      <c r="BH49" s="59">
        <f t="shared" si="8"/>
        <v>891.09330308568383</v>
      </c>
      <c r="BI49" s="59">
        <f ca="1">AVERAGE(OFFSET($BH$3,0,0,'Données projet'!$E$11+1,1))-AVERAGE(OFFSET($H$3,0,0,'Données projet'!$E$11+1,1))</f>
        <v>234.83702199169585</v>
      </c>
      <c r="BJ49" s="59">
        <f t="shared" si="38"/>
        <v>248.83008816685089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22.962300340456018</v>
      </c>
      <c r="BQ49" s="21">
        <f>EXP(-LN(2)/25)*BQ48+(1-EXP(-LN(2)/25))/(LN(2)/25)*Calculateur!BL49*Calculateur!BN49*VLOOKUP('Données projet'!$B$11,Paramètres!$A$1:$I$89,3,0)*0.475*44/12</f>
        <v>20.547259477800466</v>
      </c>
      <c r="BR49" s="21">
        <f>EXP(-LN(2)/2)*BR48+(1-EXP(-LN(2)/2))/(LN(2)/2)*BL49*BO49*VLOOKUP('Données projet'!$B$11,Paramètres!$A$1:$I$89,3,0)*0.475*44/12</f>
        <v>2.7824067194868989</v>
      </c>
      <c r="BS49" s="22">
        <f t="shared" si="9"/>
        <v>46.291966537743384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26.333333333333332</v>
      </c>
      <c r="BY49" s="12">
        <f>IF('Données projet'!$A$114&gt;35,BY48+BX49-CG48,IF(A49&lt;'Données projet'!$A$114,$BV$205^A49,IF(A49='Données projet'!$A$114,'Données projet'!$B$114,BY48+BX49-CG48)))</f>
        <v>591.66666666666663</v>
      </c>
      <c r="BZ49" s="13">
        <f>BY49*VLOOKUP('Données projet'!$B$12,Paramètres!$A$1:$I$89,3,0)*VLOOKUP('Données projet'!$B$12,Paramètres!$A$1:$I$89,5,0)</f>
        <v>261.51666666666665</v>
      </c>
      <c r="CA49" s="13">
        <f t="shared" si="39"/>
        <v>63.045560479486099</v>
      </c>
      <c r="CB49" s="20">
        <f t="shared" si="10"/>
        <v>565.27921227954937</v>
      </c>
      <c r="CC49" s="59">
        <f t="shared" si="11"/>
        <v>858.61254561288274</v>
      </c>
      <c r="CD49" s="59">
        <f ca="1">AVERAGE(OFFSET($CC$3,0,0,'Données projet'!$E$12+1,1))-AVERAGE(OFFSET($H$3,0,0,'Données projet'!$E$12+1,1))</f>
        <v>220.26537310502334</v>
      </c>
      <c r="CE49" s="59">
        <f t="shared" si="40"/>
        <v>233.26853625122016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21.686616988208467</v>
      </c>
      <c r="CL49" s="21">
        <f>EXP(-LN(2)/25)*CL48+(1-EXP(-LN(2)/25))/(LN(2)/25)*Calculateur!CG49*Calculateur!CI49*VLOOKUP('Données projet'!$B$12,Paramètres!$A$1:$I$89,3,0)*0.475*44/12</f>
        <v>19.405745062367121</v>
      </c>
      <c r="CM49" s="21">
        <f>EXP(-LN(2)/2)*CM48+(1-EXP(-LN(2)/2))/(LN(2)/2)*CG49*CJ49*VLOOKUP('Données projet'!$B$12,Paramètres!$A$1:$I$89,3,0)*0.475*44/12</f>
        <v>2.627828568404293</v>
      </c>
      <c r="CN49" s="22">
        <f t="shared" si="12"/>
        <v>43.720190618979878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26.4</v>
      </c>
      <c r="N50" s="13">
        <f>IF('Données projet'!$A$36&gt;35,N49+M50-V49,IF(A50&lt;'Données projet'!$A$36,$K$205^A50,IF(A50='Données projet'!$A$36,'Données projet'!$B$36,N49+M50-V49)))</f>
        <v>701.79999999999973</v>
      </c>
      <c r="O50" s="13">
        <f>N50*VLOOKUP('Données projet'!$B$9,Paramètres!$A$1:$I$89,3,0)*VLOOKUP('Données projet'!$B$9,Paramètres!$A$1:$I$89,5,0)</f>
        <v>328.44239999999985</v>
      </c>
      <c r="P50" s="13">
        <f t="shared" si="33"/>
        <v>77.107288085743335</v>
      </c>
      <c r="Q50" s="20">
        <f t="shared" si="53"/>
        <v>706.33237341600261</v>
      </c>
      <c r="R50" s="59">
        <f t="shared" si="0"/>
        <v>999.66570674933587</v>
      </c>
      <c r="S50" s="59">
        <f ca="1">AVERAGE(OFFSET($R$3,0,0,'Données projet'!$E$9+1,1))-AVERAGE(OFFSET($H$3,0,0,'Données projet'!$E$9+1,1))</f>
        <v>263.37813242097957</v>
      </c>
      <c r="T50" s="59">
        <f t="shared" si="34"/>
        <v>314.89350816766904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30.322379157888225</v>
      </c>
      <c r="AA50" s="21">
        <f>EXP(-LN(2)/25)*AA49+(1-EXP(-LN(2)/25))/(LN(2)/25)*Calculateur!V50*Calculateur!X50*VLOOKUP('Données projet'!$B$9,Paramètres!$A$1:$I$89,3,0)*0.475*44/12</f>
        <v>21.00788107321657</v>
      </c>
      <c r="AB50" s="21">
        <f>EXP(-LN(2)/2)*AB49+(1-EXP(-LN(2)/2))/(LN(2)/2)*V50*Y50*VLOOKUP('Données projet'!$B$9,Paramètres!$A$1:$I$89,3,0)*0.475*44/12</f>
        <v>2.9992440008725412</v>
      </c>
      <c r="AC50" s="22">
        <f t="shared" si="3"/>
        <v>54.329504231977339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26.4</v>
      </c>
      <c r="AI50" s="13">
        <f>IF('Données projet'!$A$62&gt;35,AI49+AH50-AQ49,IF(A50&lt;'Données projet'!$A$62,$AF$205^A50,IF(A50='Données projet'!$A$62,'Données projet'!$B$62,AI49+AH50-AQ49)))</f>
        <v>571.79999999999995</v>
      </c>
      <c r="AJ50" s="13">
        <f>AI50*VLOOKUP('Données projet'!$B$10,Paramètres!$A$1:$I$89,3,0)*VLOOKUP('Données projet'!$B$10,Paramètres!$A$1:$I$89,5,0)</f>
        <v>230.43539999999999</v>
      </c>
      <c r="AK50" s="13">
        <f t="shared" si="35"/>
        <v>56.376814825804338</v>
      </c>
      <c r="AL50" s="20">
        <f t="shared" si="4"/>
        <v>499.53127415494259</v>
      </c>
      <c r="AM50" s="59">
        <f t="shared" si="5"/>
        <v>792.86460748827585</v>
      </c>
      <c r="AN50" s="59">
        <f ca="1">AVERAGE(OFFSET($AM$3,0,0,'Données projet'!$E$10+1,1))-AVERAGE(OFFSET($H$3,0,0,'Données projet'!$E$10+1,1))</f>
        <v>344.29957955721721</v>
      </c>
      <c r="AO50" s="59">
        <f t="shared" si="36"/>
        <v>297.12790038882594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39.158870696544973</v>
      </c>
      <c r="AV50" s="21">
        <f>EXP(-LN(2)/25)*AV49+(1-EXP(-LN(2)/25))/(LN(2)/25)*Calculateur!AQ50*Calculateur!AS50*VLOOKUP('Données projet'!$B$10,Paramètres!$A$1:$I$89,3,0)*0.475*44/12</f>
        <v>26.217698588115621</v>
      </c>
      <c r="AW50" s="21">
        <f>EXP(-LN(2)/2)*AW49+(1-EXP(-LN(2)/2))/(LN(2)/2)*AQ50*AT50*VLOOKUP('Données projet'!$B$10,Paramètres!$A$1:$I$89,3,0)*0.475*44/12</f>
        <v>4.3872622900091347</v>
      </c>
      <c r="AX50" s="21">
        <f t="shared" si="6"/>
        <v>69.763831574669723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26.333333333333332</v>
      </c>
      <c r="BD50" s="12">
        <f>IF('Données projet'!$A$88&gt;35,BD49+BC50-BL49,IF(A50&lt;'Données projet'!$A$88,$BA$205^A50,IF(A50='Données projet'!$A$88,'Données projet'!$B$88,BD49+BC50-BL49)))</f>
        <v>618</v>
      </c>
      <c r="BE50" s="13">
        <f>BD50*VLOOKUP('Données projet'!$B$11,Paramètres!$A$1:$I$89,3,0)*VLOOKUP('Données projet'!$B$11,Paramètres!$A$1:$I$89,5,0)</f>
        <v>289.22399999999999</v>
      </c>
      <c r="BF50" s="13">
        <f t="shared" si="37"/>
        <v>68.912612937896569</v>
      </c>
      <c r="BG50" s="20">
        <f t="shared" si="7"/>
        <v>623.75460086683643</v>
      </c>
      <c r="BH50" s="59">
        <f t="shared" si="8"/>
        <v>917.08793420016968</v>
      </c>
      <c r="BI50" s="59">
        <f ca="1">AVERAGE(OFFSET($BH$3,0,0,'Données projet'!$E$11+1,1))-AVERAGE(OFFSET($H$3,0,0,'Données projet'!$E$11+1,1))</f>
        <v>234.83702199169585</v>
      </c>
      <c r="BJ50" s="59">
        <f t="shared" si="38"/>
        <v>248.83008816685089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22.512023636399942</v>
      </c>
      <c r="BQ50" s="21">
        <f>EXP(-LN(2)/25)*BQ49+(1-EXP(-LN(2)/25))/(LN(2)/25)*Calculateur!BL50*Calculateur!BN50*VLOOKUP('Données projet'!$B$11,Paramètres!$A$1:$I$89,3,0)*0.475*44/12</f>
        <v>19.985393586846598</v>
      </c>
      <c r="BR50" s="21">
        <f>EXP(-LN(2)/2)*BR49+(1-EXP(-LN(2)/2))/(LN(2)/2)*BL50*BO50*VLOOKUP('Données projet'!$B$11,Paramètres!$A$1:$I$89,3,0)*0.475*44/12</f>
        <v>1.9674586593682022</v>
      </c>
      <c r="BS50" s="22">
        <f t="shared" si="9"/>
        <v>44.464875882614749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26.333333333333332</v>
      </c>
      <c r="BY50" s="12">
        <f>IF('Données projet'!$A$114&gt;35,BY49+BX50-CG49,IF(A50&lt;'Données projet'!$A$114,$BV$205^A50,IF(A50='Données projet'!$A$114,'Données projet'!$B$114,BY49+BX50-CG49)))</f>
        <v>618</v>
      </c>
      <c r="BZ50" s="13">
        <f>BY50*VLOOKUP('Données projet'!$B$12,Paramètres!$A$1:$I$89,3,0)*VLOOKUP('Données projet'!$B$12,Paramètres!$A$1:$I$89,5,0)</f>
        <v>273.15600000000001</v>
      </c>
      <c r="CA50" s="13">
        <f t="shared" si="39"/>
        <v>65.518598460948169</v>
      </c>
      <c r="CB50" s="20">
        <f t="shared" si="10"/>
        <v>589.85825898615133</v>
      </c>
      <c r="CC50" s="59">
        <f t="shared" si="11"/>
        <v>883.1915923194847</v>
      </c>
      <c r="CD50" s="59">
        <f ca="1">AVERAGE(OFFSET($CC$3,0,0,'Données projet'!$E$12+1,1))-AVERAGE(OFFSET($H$3,0,0,'Données projet'!$E$12+1,1))</f>
        <v>220.26537310502334</v>
      </c>
      <c r="CE50" s="59">
        <f t="shared" si="40"/>
        <v>233.26853625122016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21.261355656599953</v>
      </c>
      <c r="CL50" s="21">
        <f>EXP(-LN(2)/25)*CL49+(1-EXP(-LN(2)/25))/(LN(2)/25)*Calculateur!CG50*Calculateur!CI50*VLOOKUP('Données projet'!$B$12,Paramètres!$A$1:$I$89,3,0)*0.475*44/12</f>
        <v>18.87509394313291</v>
      </c>
      <c r="CM50" s="21">
        <f>EXP(-LN(2)/2)*CM49+(1-EXP(-LN(2)/2))/(LN(2)/2)*CG50*CJ50*VLOOKUP('Données projet'!$B$12,Paramètres!$A$1:$I$89,3,0)*0.475*44/12</f>
        <v>1.858155400514413</v>
      </c>
      <c r="CN50" s="22">
        <f t="shared" si="12"/>
        <v>41.994605000247276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26.4</v>
      </c>
      <c r="N51" s="13">
        <f>IF('Données projet'!$A$36&gt;35,N50+M51-V50,IF(A51&lt;'Données projet'!$A$36,$K$205^A51,IF(A51='Données projet'!$A$36,'Données projet'!$B$36,N50+M51-V50)))</f>
        <v>728.1999999999997</v>
      </c>
      <c r="O51" s="13">
        <f>N51*VLOOKUP('Données projet'!$B$9,Paramètres!$A$1:$I$89,3,0)*VLOOKUP('Données projet'!$B$9,Paramètres!$A$1:$I$89,5,0)</f>
        <v>340.79759999999987</v>
      </c>
      <c r="P51" s="13">
        <f t="shared" si="33"/>
        <v>79.664713152566151</v>
      </c>
      <c r="Q51" s="20">
        <f t="shared" si="53"/>
        <v>732.30519540738578</v>
      </c>
      <c r="R51" s="59">
        <f t="shared" si="0"/>
        <v>1025.638528740719</v>
      </c>
      <c r="S51" s="59">
        <f ca="1">AVERAGE(OFFSET($R$3,0,0,'Données projet'!$E$9+1,1))-AVERAGE(OFFSET($H$3,0,0,'Données projet'!$E$9+1,1))</f>
        <v>263.37813242097957</v>
      </c>
      <c r="T51" s="59">
        <f t="shared" si="34"/>
        <v>314.89350816766904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29.72777579742711</v>
      </c>
      <c r="AA51" s="21">
        <f>EXP(-LN(2)/25)*AA50+(1-EXP(-LN(2)/25))/(LN(2)/25)*Calculateur!V51*Calculateur!X51*VLOOKUP('Données projet'!$B$9,Paramètres!$A$1:$I$89,3,0)*0.475*44/12</f>
        <v>20.433419460513012</v>
      </c>
      <c r="AB51" s="21">
        <f>EXP(-LN(2)/2)*AB50+(1-EXP(-LN(2)/2))/(LN(2)/2)*V51*Y51*VLOOKUP('Données projet'!$B$9,Paramètres!$A$1:$I$89,3,0)*0.475*44/12</f>
        <v>2.1207857714500453</v>
      </c>
      <c r="AC51" s="22">
        <f t="shared" si="3"/>
        <v>52.281981029390167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26.4</v>
      </c>
      <c r="AI51" s="13">
        <f>IF('Données projet'!$A$62&gt;35,AI50+AH51-AQ50,IF(A51&lt;'Données projet'!$A$62,$AF$205^A51,IF(A51='Données projet'!$A$62,'Données projet'!$B$62,AI50+AH51-AQ50)))</f>
        <v>598.19999999999993</v>
      </c>
      <c r="AJ51" s="13">
        <f>AI51*VLOOKUP('Données projet'!$B$10,Paramètres!$A$1:$I$89,3,0)*VLOOKUP('Données projet'!$B$10,Paramètres!$A$1:$I$89,5,0)</f>
        <v>241.07459999999998</v>
      </c>
      <c r="AK51" s="13">
        <f t="shared" si="35"/>
        <v>58.670675757228018</v>
      </c>
      <c r="AL51" s="20">
        <f t="shared" si="4"/>
        <v>522.05635527717209</v>
      </c>
      <c r="AM51" s="59">
        <f t="shared" si="5"/>
        <v>815.38968861050535</v>
      </c>
      <c r="AN51" s="59">
        <f ca="1">AVERAGE(OFFSET($AM$3,0,0,'Données projet'!$E$10+1,1))-AVERAGE(OFFSET($H$3,0,0,'Données projet'!$E$10+1,1))</f>
        <v>344.29957955721721</v>
      </c>
      <c r="AO51" s="59">
        <f t="shared" si="36"/>
        <v>297.12790038882594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38.390989126738447</v>
      </c>
      <c r="AV51" s="21">
        <f>EXP(-LN(2)/25)*AV50+(1-EXP(-LN(2)/25))/(LN(2)/25)*Calculateur!AQ51*Calculateur!AS51*VLOOKUP('Données projet'!$B$10,Paramètres!$A$1:$I$89,3,0)*0.475*44/12</f>
        <v>25.500774241494753</v>
      </c>
      <c r="AW51" s="21">
        <f>EXP(-LN(2)/2)*AW50+(1-EXP(-LN(2)/2))/(LN(2)/2)*AQ51*AT51*VLOOKUP('Données projet'!$B$10,Paramètres!$A$1:$I$89,3,0)*0.475*44/12</f>
        <v>3.1022629161094808</v>
      </c>
      <c r="AX51" s="21">
        <f t="shared" si="6"/>
        <v>66.994026284342681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26.333333333333332</v>
      </c>
      <c r="BD51" s="12">
        <f>IF('Données projet'!$A$88&gt;35,BD50+BC51-BL50,IF(A51&lt;'Données projet'!$A$88,$BA$205^A51,IF(A51='Données projet'!$A$88,'Données projet'!$B$88,BD50+BC51-BL50)))</f>
        <v>644.33333333333337</v>
      </c>
      <c r="BE51" s="13">
        <f>BD51*VLOOKUP('Données projet'!$B$11,Paramètres!$A$1:$I$89,3,0)*VLOOKUP('Données projet'!$B$11,Paramètres!$A$1:$I$89,5,0)</f>
        <v>301.548</v>
      </c>
      <c r="BF51" s="13">
        <f t="shared" si="37"/>
        <v>71.500886464325177</v>
      </c>
      <c r="BG51" s="20">
        <f t="shared" si="7"/>
        <v>649.72681059203296</v>
      </c>
      <c r="BH51" s="59">
        <f t="shared" si="8"/>
        <v>943.06014392536622</v>
      </c>
      <c r="BI51" s="59">
        <f ca="1">AVERAGE(OFFSET($BH$3,0,0,'Données projet'!$E$11+1,1))-AVERAGE(OFFSET($H$3,0,0,'Données projet'!$E$11+1,1))</f>
        <v>234.83702199169585</v>
      </c>
      <c r="BJ51" s="59">
        <f t="shared" si="38"/>
        <v>248.83008816685089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22.070576583868736</v>
      </c>
      <c r="BQ51" s="21">
        <f>EXP(-LN(2)/25)*BQ50+(1-EXP(-LN(2)/25))/(LN(2)/25)*Calculateur!BL51*Calculateur!BN51*VLOOKUP('Données projet'!$B$11,Paramètres!$A$1:$I$89,3,0)*0.475*44/12</f>
        <v>19.438891948228108</v>
      </c>
      <c r="BR51" s="21">
        <f>EXP(-LN(2)/2)*BR50+(1-EXP(-LN(2)/2))/(LN(2)/2)*BL51*BO51*VLOOKUP('Données projet'!$B$11,Paramètres!$A$1:$I$89,3,0)*0.475*44/12</f>
        <v>1.3912033597434497</v>
      </c>
      <c r="BS51" s="22">
        <f t="shared" si="9"/>
        <v>42.900671891840297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26.333333333333332</v>
      </c>
      <c r="BY51" s="12">
        <f>IF('Données projet'!$A$114&gt;35,BY50+BX51-CG50,IF(A51&lt;'Données projet'!$A$114,$BV$205^A51,IF(A51='Données projet'!$A$114,'Données projet'!$B$114,BY50+BX51-CG50)))</f>
        <v>644.33333333333337</v>
      </c>
      <c r="BZ51" s="13">
        <f>BY51*VLOOKUP('Données projet'!$B$12,Paramètres!$A$1:$I$89,3,0)*VLOOKUP('Données projet'!$B$12,Paramètres!$A$1:$I$89,5,0)</f>
        <v>284.79533333333336</v>
      </c>
      <c r="CA51" s="13">
        <f t="shared" si="39"/>
        <v>67.979396951320339</v>
      </c>
      <c r="CB51" s="20">
        <f t="shared" si="10"/>
        <v>614.41598857910515</v>
      </c>
      <c r="CC51" s="59">
        <f t="shared" si="11"/>
        <v>907.74932191243852</v>
      </c>
      <c r="CD51" s="59">
        <f ca="1">AVERAGE(OFFSET($CC$3,0,0,'Données projet'!$E$12+1,1))-AVERAGE(OFFSET($H$3,0,0,'Données projet'!$E$12+1,1))</f>
        <v>220.26537310502334</v>
      </c>
      <c r="CE51" s="59">
        <f t="shared" si="40"/>
        <v>233.26853625122016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20.844433440320479</v>
      </c>
      <c r="CL51" s="21">
        <f>EXP(-LN(2)/25)*CL50+(1-EXP(-LN(2)/25))/(LN(2)/25)*Calculateur!CG51*Calculateur!CI51*VLOOKUP('Données projet'!$B$12,Paramètres!$A$1:$I$89,3,0)*0.475*44/12</f>
        <v>18.358953506659891</v>
      </c>
      <c r="CM51" s="21">
        <f>EXP(-LN(2)/2)*CM50+(1-EXP(-LN(2)/2))/(LN(2)/2)*CG51*CJ51*VLOOKUP('Données projet'!$B$12,Paramètres!$A$1:$I$89,3,0)*0.475*44/12</f>
        <v>1.3139142842021467</v>
      </c>
      <c r="CN51" s="22">
        <f t="shared" si="12"/>
        <v>40.517301231182522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26.4</v>
      </c>
      <c r="N52" s="13">
        <f>IF('Données projet'!$A$36&gt;35,N51+M52-V51,IF(A52&lt;'Données projet'!$A$36,$K$205^A52,IF(A52='Données projet'!$A$36,'Données projet'!$B$36,N51+M52-V51)))</f>
        <v>754.59999999999968</v>
      </c>
      <c r="O52" s="13">
        <f>N52*VLOOKUP('Données projet'!$B$9,Paramètres!$A$1:$I$89,3,0)*VLOOKUP('Données projet'!$B$9,Paramètres!$A$1:$I$89,5,0)</f>
        <v>353.1527999999999</v>
      </c>
      <c r="P52" s="13">
        <f t="shared" si="33"/>
        <v>82.211366286790636</v>
      </c>
      <c r="Q52" s="20">
        <f t="shared" si="53"/>
        <v>758.25925628282687</v>
      </c>
      <c r="R52" s="59">
        <f t="shared" si="0"/>
        <v>1051.5925896161602</v>
      </c>
      <c r="S52" s="59">
        <f ca="1">AVERAGE(OFFSET($R$3,0,0,'Données projet'!$E$9+1,1))-AVERAGE(OFFSET($H$3,0,0,'Données projet'!$E$9+1,1))</f>
        <v>263.37813242097957</v>
      </c>
      <c r="T52" s="59">
        <f t="shared" si="34"/>
        <v>314.89350816766904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29.144832246192401</v>
      </c>
      <c r="AA52" s="21">
        <f>EXP(-LN(2)/25)*AA51+(1-EXP(-LN(2)/25))/(LN(2)/25)*Calculateur!V52*Calculateur!X52*VLOOKUP('Données projet'!$B$9,Paramètres!$A$1:$I$89,3,0)*0.475*44/12</f>
        <v>19.874666530818455</v>
      </c>
      <c r="AB52" s="21">
        <f>EXP(-LN(2)/2)*AB51+(1-EXP(-LN(2)/2))/(LN(2)/2)*V52*Y52*VLOOKUP('Données projet'!$B$9,Paramètres!$A$1:$I$89,3,0)*0.475*44/12</f>
        <v>1.4996220004362706</v>
      </c>
      <c r="AC52" s="22">
        <f t="shared" si="3"/>
        <v>50.519120777447121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26.4</v>
      </c>
      <c r="AI52" s="13">
        <f>IF('Données projet'!$A$62&gt;35,AI51+AH52-AQ51,IF(A52&lt;'Données projet'!$A$62,$AF$205^A52,IF(A52='Données projet'!$A$62,'Données projet'!$B$62,AI51+AH52-AQ51)))</f>
        <v>624.59999999999991</v>
      </c>
      <c r="AJ52" s="13">
        <f>AI52*VLOOKUP('Données projet'!$B$10,Paramètres!$A$1:$I$89,3,0)*VLOOKUP('Données projet'!$B$10,Paramètres!$A$1:$I$89,5,0)</f>
        <v>251.71379999999999</v>
      </c>
      <c r="AK52" s="13">
        <f t="shared" si="35"/>
        <v>60.952779283940153</v>
      </c>
      <c r="AL52" s="20">
        <f t="shared" si="4"/>
        <v>544.56095891952907</v>
      </c>
      <c r="AM52" s="59">
        <f t="shared" si="5"/>
        <v>837.89429225286244</v>
      </c>
      <c r="AN52" s="59">
        <f ca="1">AVERAGE(OFFSET($AM$3,0,0,'Données projet'!$E$10+1,1))-AVERAGE(OFFSET($H$3,0,0,'Données projet'!$E$10+1,1))</f>
        <v>344.29957955721721</v>
      </c>
      <c r="AO52" s="59">
        <f t="shared" si="36"/>
        <v>297.12790038882594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37.638165246154315</v>
      </c>
      <c r="AV52" s="21">
        <f>EXP(-LN(2)/25)*AV51+(1-EXP(-LN(2)/25))/(LN(2)/25)*Calculateur!AQ52*Calculateur!AS52*VLOOKUP('Données projet'!$B$10,Paramètres!$A$1:$I$89,3,0)*0.475*44/12</f>
        <v>24.803454228833644</v>
      </c>
      <c r="AW52" s="21">
        <f>EXP(-LN(2)/2)*AW51+(1-EXP(-LN(2)/2))/(LN(2)/2)*AQ52*AT52*VLOOKUP('Données projet'!$B$10,Paramètres!$A$1:$I$89,3,0)*0.475*44/12</f>
        <v>2.1936311450045678</v>
      </c>
      <c r="AX52" s="21">
        <f t="shared" si="6"/>
        <v>64.635250619992533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26.333333333333332</v>
      </c>
      <c r="BD52" s="12">
        <f>IF('Données projet'!$A$88&gt;35,BD51+BC52-BL51,IF(A52&lt;'Données projet'!$A$88,$BA$205^A52,IF(A52='Données projet'!$A$88,'Données projet'!$B$88,BD51+BC52-BL51)))</f>
        <v>670.66666666666674</v>
      </c>
      <c r="BE52" s="13">
        <f>BD52*VLOOKUP('Données projet'!$B$11,Paramètres!$A$1:$I$89,3,0)*VLOOKUP('Données projet'!$B$11,Paramètres!$A$1:$I$89,5,0)</f>
        <v>313.87200000000007</v>
      </c>
      <c r="BF52" s="13">
        <f t="shared" si="37"/>
        <v>74.076872774720428</v>
      </c>
      <c r="BG52" s="20">
        <f t="shared" si="7"/>
        <v>675.6776200826381</v>
      </c>
      <c r="BH52" s="59">
        <f t="shared" si="8"/>
        <v>969.01095341597147</v>
      </c>
      <c r="BI52" s="59">
        <f ca="1">AVERAGE(OFFSET($BH$3,0,0,'Données projet'!$E$11+1,1))-AVERAGE(OFFSET($H$3,0,0,'Données projet'!$E$11+1,1))</f>
        <v>234.83702199169585</v>
      </c>
      <c r="BJ52" s="59">
        <f t="shared" si="38"/>
        <v>248.83008816685089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21.637786038781552</v>
      </c>
      <c r="BQ52" s="21">
        <f>EXP(-LN(2)/25)*BQ51+(1-EXP(-LN(2)/25))/(LN(2)/25)*Calculateur!BL52*Calculateur!BN52*VLOOKUP('Données projet'!$B$11,Paramètres!$A$1:$I$89,3,0)*0.475*44/12</f>
        <v>18.907334425656909</v>
      </c>
      <c r="BR52" s="21">
        <f>EXP(-LN(2)/2)*BR51+(1-EXP(-LN(2)/2))/(LN(2)/2)*BL52*BO52*VLOOKUP('Données projet'!$B$11,Paramètres!$A$1:$I$89,3,0)*0.475*44/12</f>
        <v>0.98372932968410132</v>
      </c>
      <c r="BS52" s="22">
        <f t="shared" si="9"/>
        <v>41.528849794122564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26.333333333333332</v>
      </c>
      <c r="BY52" s="12">
        <f>IF('Données projet'!$A$114&gt;35,BY51+BX52-CG51,IF(A52&lt;'Données projet'!$A$114,$BV$205^A52,IF(A52='Données projet'!$A$114,'Données projet'!$B$114,BY51+BX52-CG51)))</f>
        <v>670.66666666666674</v>
      </c>
      <c r="BZ52" s="13">
        <f>BY52*VLOOKUP('Données projet'!$B$12,Paramètres!$A$1:$I$89,3,0)*VLOOKUP('Données projet'!$B$12,Paramètres!$A$1:$I$89,5,0)</f>
        <v>296.43466666666671</v>
      </c>
      <c r="CA52" s="13">
        <f t="shared" si="39"/>
        <v>70.428513383224967</v>
      </c>
      <c r="CB52" s="20">
        <f t="shared" si="10"/>
        <v>638.95337192022805</v>
      </c>
      <c r="CC52" s="59">
        <f t="shared" si="11"/>
        <v>932.28670525356142</v>
      </c>
      <c r="CD52" s="59">
        <f ca="1">AVERAGE(OFFSET($CC$3,0,0,'Données projet'!$E$12+1,1))-AVERAGE(OFFSET($H$3,0,0,'Données projet'!$E$12+1,1))</f>
        <v>220.26537310502334</v>
      </c>
      <c r="CE52" s="59">
        <f t="shared" si="40"/>
        <v>233.26853625122016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20.435686814404804</v>
      </c>
      <c r="CL52" s="21">
        <f>EXP(-LN(2)/25)*CL51+(1-EXP(-LN(2)/25))/(LN(2)/25)*Calculateur!CG52*Calculateur!CI52*VLOOKUP('Données projet'!$B$12,Paramètres!$A$1:$I$89,3,0)*0.475*44/12</f>
        <v>17.85692695756487</v>
      </c>
      <c r="CM52" s="21">
        <f>EXP(-LN(2)/2)*CM51+(1-EXP(-LN(2)/2))/(LN(2)/2)*CG52*CJ52*VLOOKUP('Données projet'!$B$12,Paramètres!$A$1:$I$89,3,0)*0.475*44/12</f>
        <v>0.9290777002572066</v>
      </c>
      <c r="CN52" s="22">
        <f t="shared" si="12"/>
        <v>39.22169147222688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781</v>
      </c>
      <c r="L53" s="12">
        <f>VLOOKUP(A53,'Données projet'!$A$35:$I$55,9,0)</f>
        <v>26.4</v>
      </c>
      <c r="M53" s="12">
        <f t="array" ref="M53">INDEX(L:L,MIN(IF(ISNUMBER(L53:L249),ROW(L53:L249),"")))</f>
        <v>26.4</v>
      </c>
      <c r="N53" s="13">
        <f>IF('Données projet'!$A$36&gt;35,N52+M53-V52,IF(A53&lt;'Données projet'!$A$36,$K$205^A53,IF(A53='Données projet'!$A$36,'Données projet'!$B$36,N52+M53-V52)))</f>
        <v>780.99999999999966</v>
      </c>
      <c r="O53" s="13">
        <f>N53*VLOOKUP('Données projet'!$B$9,Paramètres!$A$1:$I$89,3,0)*VLOOKUP('Données projet'!$B$9,Paramètres!$A$1:$I$89,5,0)</f>
        <v>365.50799999999981</v>
      </c>
      <c r="P53" s="13">
        <f t="shared" si="33"/>
        <v>84.747667534292106</v>
      </c>
      <c r="Q53" s="20">
        <f t="shared" si="53"/>
        <v>784.19528762222501</v>
      </c>
      <c r="R53" s="59">
        <f t="shared" si="0"/>
        <v>1077.5286209555584</v>
      </c>
      <c r="S53" s="59">
        <f ca="1">AVERAGE(OFFSET($R$3,0,0,'Données projet'!$E$9+1,1))-AVERAGE(OFFSET($H$3,0,0,'Données projet'!$E$9+1,1))</f>
        <v>263.37813242097957</v>
      </c>
      <c r="T53" s="59">
        <f t="shared" si="34"/>
        <v>314.89350816766904</v>
      </c>
      <c r="U53" s="15" t="str">
        <f>IF(ISNA(VLOOKUP(A53,'Données projet'!$A$35:$I$55,3,0)),0,VLOOKUP(A53,'Données projet'!$A$35:$I$55,3,0))</f>
        <v>CR</v>
      </c>
      <c r="V53" s="15">
        <f>IF(ISNA(VLOOKUP(A53,'Données projet'!$A$35:$I$55,4,0)),0,VLOOKUP(A53,'Données projet'!$A$35:$I$55,4,0))</f>
        <v>781</v>
      </c>
      <c r="W53" s="16">
        <f>IF(ISNA(VLOOKUP(A53,'Données projet'!$A$35:$I$55,5,0)),0%,VLOOKUP(A53,'Données projet'!$A$35:$I$55,5,0)*VLOOKUP('Données projet'!$B$9,Paramètres!$A$1:$I$89,7,0))</f>
        <v>0.1925</v>
      </c>
      <c r="X53" s="16">
        <f>IF(ISNA(VLOOKUP(A53,'Données projet'!$A$35:$I$55,6,0)),0%,VLOOKUP(A53,'Données projet'!$A$35:$I$55,6,0)*VLOOKUP('Données projet'!$B$9,Paramètres!$A$1:$I$89,7,0))</f>
        <v>8.2500000000000004E-2</v>
      </c>
      <c r="Y53" s="16">
        <f>IF(ISNA(VLOOKUP(A53,'Données projet'!$A$35:$I$55,7,0)),0%,VLOOKUP(A53,'Données projet'!$A$35:$I$55,7,0))</f>
        <v>0.15</v>
      </c>
      <c r="Z53" s="21">
        <f>EXP(-LN(2)/35)*Z52+(1-EXP(-LN(2)/35))/(LN(2)/35)*V53*W53*VLOOKUP('Données projet'!$B$9,Paramètres!$A$1:$I$89,3,0)*0.475*44/12</f>
        <v>121.91077965085508</v>
      </c>
      <c r="AA53" s="21">
        <f>EXP(-LN(2)/25)*AA52+(1-EXP(-LN(2)/25))/(LN(2)/25)*Calculateur!V53*Calculateur!X53*VLOOKUP('Données projet'!$B$9,Paramètres!$A$1:$I$89,3,0)*0.475*44/12</f>
        <v>59.175459005743107</v>
      </c>
      <c r="AB53" s="21">
        <f>EXP(-LN(2)/2)*AB52+(1-EXP(-LN(2)/2))/(LN(2)/2)*V53*Y53*VLOOKUP('Données projet'!$B$9,Paramètres!$A$1:$I$89,3,0)*0.475*44/12</f>
        <v>63.136387276370542</v>
      </c>
      <c r="AC53" s="22">
        <f t="shared" si="3"/>
        <v>244.22262593296875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651</v>
      </c>
      <c r="AG53" s="12">
        <f>VLOOKUP(A53,'Données projet'!$A$61:$I$81,9,0)</f>
        <v>26.4</v>
      </c>
      <c r="AH53" s="12">
        <f t="array" ref="AH53">INDEX(AG:AG,MIN(IF(ISNUMBER(AG53:AG249),ROW(AG53:AG249),"")))</f>
        <v>26.4</v>
      </c>
      <c r="AI53" s="13">
        <f>IF('Données projet'!$A$62&gt;35,AI52+AH53-AQ52,IF(A53&lt;'Données projet'!$A$62,$AF$205^A53,IF(A53='Données projet'!$A$62,'Données projet'!$B$62,AI52+AH53-AQ52)))</f>
        <v>650.99999999999989</v>
      </c>
      <c r="AJ53" s="13">
        <f>AI53*VLOOKUP('Données projet'!$B$10,Paramètres!$A$1:$I$89,3,0)*VLOOKUP('Données projet'!$B$10,Paramètres!$A$1:$I$89,5,0)</f>
        <v>262.35299999999995</v>
      </c>
      <c r="AK53" s="13">
        <f t="shared" si="35"/>
        <v>63.223679175702266</v>
      </c>
      <c r="AL53" s="20">
        <f t="shared" si="4"/>
        <v>567.04604956434798</v>
      </c>
      <c r="AM53" s="59">
        <f t="shared" si="5"/>
        <v>860.37938289768135</v>
      </c>
      <c r="AN53" s="59">
        <f ca="1">AVERAGE(OFFSET($AM$3,0,0,'Données projet'!$E$10+1,1))-AVERAGE(OFFSET($H$3,0,0,'Données projet'!$E$10+1,1))</f>
        <v>344.29957955721721</v>
      </c>
      <c r="AO53" s="59">
        <f t="shared" si="36"/>
        <v>297.12790038882594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76</v>
      </c>
      <c r="AR53" s="16">
        <f>IF(ISNA(VLOOKUP(A53,'Données projet'!$A$61:$I$81,5,0)),0%,VLOOKUP(A53,'Données projet'!$A$61:$I$81,5,0)*VLOOKUP('Données projet'!$B$10,Paramètres!$A$1:$I$89,7,0))</f>
        <v>0.33</v>
      </c>
      <c r="AS53" s="16">
        <f>IF(ISNA(VLOOKUP(A53,'Données projet'!$A$61:$I$81,6,0)),0%,VLOOKUP(A53,'Données projet'!$A$61:$I$81,6,0)*VLOOKUP('Données projet'!$B$10,Paramètres!$A$1:$I$89,7,0))</f>
        <v>0.11000000000000001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50.308009109287951</v>
      </c>
      <c r="AV53" s="21">
        <f>EXP(-LN(2)/25)*AV52+(1-EXP(-LN(2)/25))/(LN(2)/25)*Calculateur!AQ53*Calculateur!AS53*VLOOKUP('Données projet'!$B$10,Paramètres!$A$1:$I$89,3,0)*0.475*44/12</f>
        <v>28.576906900093711</v>
      </c>
      <c r="AW53" s="21">
        <f>EXP(-LN(2)/2)*AW52+(1-EXP(-LN(2)/2))/(LN(2)/2)*AQ53*AT53*VLOOKUP('Données projet'!$B$10,Paramètres!$A$1:$I$89,3,0)*0.475*44/12</f>
        <v>8.4867336197828607</v>
      </c>
      <c r="AX53" s="21">
        <f t="shared" si="6"/>
        <v>87.371649629164523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697</v>
      </c>
      <c r="BB53" s="12">
        <f>VLOOKUP(A53,'Données projet'!$A$87:$I$107,9,0)</f>
        <v>26.333333333333332</v>
      </c>
      <c r="BC53" s="12">
        <f t="array" ref="BC53">INDEX(BB:BB,MIN(IF(ISNUMBER(BB53:BB249),ROW(BB53:BB249),"")))</f>
        <v>26.333333333333332</v>
      </c>
      <c r="BD53" s="12">
        <f>IF('Données projet'!$A$88&gt;35,BD52+BC53-BL52,IF(A53&lt;'Données projet'!$A$88,$BA$205^A53,IF(A53='Données projet'!$A$88,'Données projet'!$B$88,BD52+BC53-BL52)))</f>
        <v>697.00000000000011</v>
      </c>
      <c r="BE53" s="13">
        <f>BD53*VLOOKUP('Données projet'!$B$11,Paramètres!$A$1:$I$89,3,0)*VLOOKUP('Données projet'!$B$11,Paramètres!$A$1:$I$89,5,0)</f>
        <v>326.19600000000008</v>
      </c>
      <c r="BF53" s="13">
        <f t="shared" si="37"/>
        <v>76.641109529113464</v>
      </c>
      <c r="BG53" s="20">
        <f t="shared" si="7"/>
        <v>701.60796576320615</v>
      </c>
      <c r="BH53" s="59">
        <f t="shared" si="8"/>
        <v>994.94129909653952</v>
      </c>
      <c r="BI53" s="59">
        <f ca="1">AVERAGE(OFFSET($BH$3,0,0,'Données projet'!$E$11+1,1))-AVERAGE(OFFSET($H$3,0,0,'Données projet'!$E$11+1,1))</f>
        <v>234.83702199169585</v>
      </c>
      <c r="BJ53" s="59">
        <f t="shared" si="38"/>
        <v>248.83008816685089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67</v>
      </c>
      <c r="BM53" s="16">
        <f>IF(ISNA(VLOOKUP(A53,'Données projet'!$A$87:$I$107,5,0)),0%,VLOOKUP(A53,'Données projet'!$A$87:$I$107,5,0)*VLOOKUP('Données projet'!$B$11,Paramètres!$A$1:$I$89,7,0))</f>
        <v>0.1925</v>
      </c>
      <c r="BN53" s="16">
        <f>IF(ISNA(VLOOKUP(A53,'Données projet'!$A$87:$I$107,6,0)),0%,VLOOKUP(A53,'Données projet'!$A$87:$I$107,6,0)*VLOOKUP('Données projet'!$B$11,Paramètres!$A$1:$I$89,7,0))</f>
        <v>8.2500000000000004E-2</v>
      </c>
      <c r="BO53" s="16">
        <f>IF(ISNA(VLOOKUP(A53,'Données projet'!$A$87:$I$107,7,0)),0%,VLOOKUP(A53,'Données projet'!$A$87:$I$107,7,0))</f>
        <v>0.15</v>
      </c>
      <c r="BP53" s="21">
        <f>EXP(-LN(2)/35)*BP52+(1-EXP(-LN(2)/35))/(LN(2)/35)*BL53*BM53*VLOOKUP('Données projet'!$B$11,Paramètres!$A$1:$I$89,3,0)*0.475*44/12</f>
        <v>29.22066510227409</v>
      </c>
      <c r="BQ53" s="21">
        <f>EXP(-LN(2)/25)*BQ52+(1-EXP(-LN(2)/25))/(LN(2)/25)*Calculateur!BL53*Calculateur!BN53*VLOOKUP('Données projet'!$B$11,Paramètres!$A$1:$I$89,3,0)*0.475*44/12</f>
        <v>21.808450451541194</v>
      </c>
      <c r="BR53" s="21">
        <f>EXP(-LN(2)/2)*BR52+(1-EXP(-LN(2)/2))/(LN(2)/2)*BL53*BO53*VLOOKUP('Données projet'!$B$11,Paramètres!$A$1:$I$89,3,0)*0.475*44/12</f>
        <v>6.0209430680577034</v>
      </c>
      <c r="BS53" s="22">
        <f t="shared" si="9"/>
        <v>57.050058621872992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697</v>
      </c>
      <c r="BW53" s="12">
        <f>VLOOKUP(A53,'Données projet'!$A$113:$I$133,9,0)</f>
        <v>26.333333333333332</v>
      </c>
      <c r="BX53" s="12">
        <f t="array" ref="BX53">INDEX(BW:BW,MIN(IF(ISNUMBER(BW53:BW249),ROW(BW53:BW249),"")))</f>
        <v>26.333333333333332</v>
      </c>
      <c r="BY53" s="12">
        <f>IF('Données projet'!$A$114&gt;35,BY52+BX53-CG52,IF(A53&lt;'Données projet'!$A$114,$BV$205^A53,IF(A53='Données projet'!$A$114,'Données projet'!$B$114,BY52+BX53-CG52)))</f>
        <v>697.00000000000011</v>
      </c>
      <c r="BZ53" s="13">
        <f>BY53*VLOOKUP('Données projet'!$B$12,Paramètres!$A$1:$I$89,3,0)*VLOOKUP('Données projet'!$B$12,Paramètres!$A$1:$I$89,5,0)</f>
        <v>308.07400000000007</v>
      </c>
      <c r="CA53" s="13">
        <f t="shared" si="39"/>
        <v>72.866458936403916</v>
      </c>
      <c r="CB53" s="20">
        <f t="shared" si="10"/>
        <v>663.47129931423683</v>
      </c>
      <c r="CC53" s="59">
        <f t="shared" si="11"/>
        <v>956.80463264757009</v>
      </c>
      <c r="CD53" s="59">
        <f ca="1">AVERAGE(OFFSET($CC$3,0,0,'Données projet'!$E$12+1,1))-AVERAGE(OFFSET($H$3,0,0,'Données projet'!$E$12+1,1))</f>
        <v>220.26537310502334</v>
      </c>
      <c r="CE53" s="59">
        <f t="shared" si="40"/>
        <v>233.26853625122016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67</v>
      </c>
      <c r="CH53" s="16">
        <f>IF(ISNA(VLOOKUP(A53,'Données projet'!$A$113:$I$133,5,0)),0%,VLOOKUP(A53,'Données projet'!$A$113:$I$133,5,0)*VLOOKUP('Données projet'!$B$12,Paramètres!$A$1:$I$89,7,0))</f>
        <v>0.1925</v>
      </c>
      <c r="CI53" s="16">
        <f>IF(ISNA(VLOOKUP(A53,'Données projet'!$A$113:$I$133,6,0)),0%,VLOOKUP(A53,'Données projet'!$A$113:$I$133,6,0)*VLOOKUP('Données projet'!$B$12,Paramètres!$A$1:$I$89,7,0))</f>
        <v>8.2500000000000004E-2</v>
      </c>
      <c r="CJ53" s="16">
        <f>IF(ISNA(VLOOKUP(A53,'Données projet'!$A$113:$I$133,7,0)),0%,VLOOKUP(A53,'Données projet'!$A$113:$I$133,7,0))</f>
        <v>0.15</v>
      </c>
      <c r="CK53" s="21">
        <f>EXP(-LN(2)/35)*CK52+(1-EXP(-LN(2)/35))/(LN(2)/35)*CG53*CH53*VLOOKUP('Données projet'!$B$12,Paramètres!$A$1:$I$89,3,0)*0.475*44/12</f>
        <v>27.597294818814422</v>
      </c>
      <c r="CL53" s="21">
        <f>EXP(-LN(2)/25)*CL52+(1-EXP(-LN(2)/25))/(LN(2)/25)*Calculateur!CG53*Calculateur!CI53*VLOOKUP('Données projet'!$B$12,Paramètres!$A$1:$I$89,3,0)*0.475*44/12</f>
        <v>20.596869870900029</v>
      </c>
      <c r="CM53" s="21">
        <f>EXP(-LN(2)/2)*CM52+(1-EXP(-LN(2)/2))/(LN(2)/2)*CG53*CJ53*VLOOKUP('Données projet'!$B$12,Paramètres!$A$1:$I$89,3,0)*0.475*44/12</f>
        <v>5.6864462309433872</v>
      </c>
      <c r="CN53" s="22">
        <f t="shared" si="12"/>
        <v>53.880610920657844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-3.4106051316484809E-13</v>
      </c>
      <c r="O54" s="13">
        <f>N54*VLOOKUP('Données projet'!$B$9,Paramètres!$A$1:$I$89,3,0)*VLOOKUP('Données projet'!$B$9,Paramètres!$A$1:$I$89,5,0)</f>
        <v>-1.5961632016114892E-13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263.37813242097957</v>
      </c>
      <c r="T54" s="59">
        <f t="shared" si="34"/>
        <v>314.89350816766904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119.52018362013513</v>
      </c>
      <c r="AA54" s="21">
        <f>EXP(-LN(2)/25)*AA53+(1-EXP(-LN(2)/25))/(LN(2)/25)*Calculateur!V54*Calculateur!X54*VLOOKUP('Données projet'!$B$9,Paramètres!$A$1:$I$89,3,0)*0.475*44/12</f>
        <v>57.557302967328923</v>
      </c>
      <c r="AB54" s="21">
        <f>EXP(-LN(2)/2)*AB53+(1-EXP(-LN(2)/2))/(LN(2)/2)*V54*Y54*VLOOKUP('Données projet'!$B$9,Paramètres!$A$1:$I$89,3,0)*0.475*44/12</f>
        <v>44.644167582741673</v>
      </c>
      <c r="AC54" s="22">
        <f t="shared" si="3"/>
        <v>221.72165417020574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24.4</v>
      </c>
      <c r="AI54" s="13">
        <f>IF('Données projet'!$A$62&gt;35,AI53+AH54-AQ53,IF(A54&lt;'Données projet'!$A$62,$AF$205^A54,IF(A54='Données projet'!$A$62,'Données projet'!$B$62,AI53+AH54-AQ53)))</f>
        <v>599.39999999999986</v>
      </c>
      <c r="AJ54" s="13">
        <f>AI54*VLOOKUP('Données projet'!$B$10,Paramètres!$A$1:$I$89,3,0)*VLOOKUP('Données projet'!$B$10,Paramètres!$A$1:$I$89,5,0)</f>
        <v>241.55819999999997</v>
      </c>
      <c r="AK54" s="13">
        <f t="shared" si="35"/>
        <v>58.774658427468786</v>
      </c>
      <c r="AL54" s="20">
        <f t="shared" si="4"/>
        <v>523.07972842784136</v>
      </c>
      <c r="AM54" s="59">
        <f t="shared" si="5"/>
        <v>816.41306176117473</v>
      </c>
      <c r="AN54" s="59">
        <f ca="1">AVERAGE(OFFSET($AM$3,0,0,'Données projet'!$E$10+1,1))-AVERAGE(OFFSET($H$3,0,0,'Données projet'!$E$10+1,1))</f>
        <v>344.29957955721721</v>
      </c>
      <c r="AO54" s="59">
        <f t="shared" si="36"/>
        <v>297.12790038882594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49.321499735510493</v>
      </c>
      <c r="AV54" s="21">
        <f>EXP(-LN(2)/25)*AV53+(1-EXP(-LN(2)/25))/(LN(2)/25)*Calculateur!AQ54*Calculateur!AS54*VLOOKUP('Données projet'!$B$10,Paramètres!$A$1:$I$89,3,0)*0.475*44/12</f>
        <v>27.795469878116428</v>
      </c>
      <c r="AW54" s="21">
        <f>EXP(-LN(2)/2)*AW53+(1-EXP(-LN(2)/2))/(LN(2)/2)*AQ54*AT54*VLOOKUP('Données projet'!$B$10,Paramètres!$A$1:$I$89,3,0)*0.475*44/12</f>
        <v>6.001026892672316</v>
      </c>
      <c r="AX54" s="21">
        <f t="shared" si="6"/>
        <v>83.117996506299235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22.333333333333332</v>
      </c>
      <c r="BD54" s="12">
        <f>IF('Données projet'!$A$88&gt;35,BD53+BC54-BL53,IF(A54&lt;'Données projet'!$A$88,$BA$205^A54,IF(A54='Données projet'!$A$88,'Données projet'!$B$88,BD53+BC54-BL53)))</f>
        <v>652.33333333333348</v>
      </c>
      <c r="BE54" s="13">
        <f>BD54*VLOOKUP('Données projet'!$B$11,Paramètres!$A$1:$I$89,3,0)*VLOOKUP('Données projet'!$B$11,Paramètres!$A$1:$I$89,5,0)</f>
        <v>305.29200000000003</v>
      </c>
      <c r="BF54" s="13">
        <f t="shared" si="37"/>
        <v>72.284738381385523</v>
      </c>
      <c r="BG54" s="20">
        <f t="shared" si="7"/>
        <v>657.61281934757983</v>
      </c>
      <c r="BH54" s="59">
        <f t="shared" si="8"/>
        <v>950.9461526809132</v>
      </c>
      <c r="BI54" s="59">
        <f ca="1">AVERAGE(OFFSET($BH$3,0,0,'Données projet'!$E$11+1,1))-AVERAGE(OFFSET($H$3,0,0,'Données projet'!$E$11+1,1))</f>
        <v>234.83702199169585</v>
      </c>
      <c r="BJ54" s="59">
        <f t="shared" si="38"/>
        <v>248.83008816685089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28.647665682464346</v>
      </c>
      <c r="BQ54" s="21">
        <f>EXP(-LN(2)/25)*BQ53+(1-EXP(-LN(2)/25))/(LN(2)/25)*Calculateur!BL54*Calculateur!BN54*VLOOKUP('Données projet'!$B$11,Paramètres!$A$1:$I$89,3,0)*0.475*44/12</f>
        <v>21.212097227087234</v>
      </c>
      <c r="BR54" s="21">
        <f>EXP(-LN(2)/2)*BR53+(1-EXP(-LN(2)/2))/(LN(2)/2)*BL54*BO54*VLOOKUP('Données projet'!$B$11,Paramètres!$A$1:$I$89,3,0)*0.475*44/12</f>
        <v>4.257449672561739</v>
      </c>
      <c r="BS54" s="22">
        <f t="shared" si="9"/>
        <v>54.117212582113318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22.333333333333332</v>
      </c>
      <c r="BY54" s="12">
        <f>IF('Données projet'!$A$114&gt;35,BY53+BX54-CG53,IF(A54&lt;'Données projet'!$A$114,$BV$205^A54,IF(A54='Données projet'!$A$114,'Données projet'!$B$114,BY53+BX54-CG53)))</f>
        <v>652.33333333333348</v>
      </c>
      <c r="BZ54" s="13">
        <f>BY54*VLOOKUP('Données projet'!$B$12,Paramètres!$A$1:$I$89,3,0)*VLOOKUP('Données projet'!$B$12,Paramètres!$A$1:$I$89,5,0)</f>
        <v>288.33133333333342</v>
      </c>
      <c r="CA54" s="13">
        <f t="shared" si="39"/>
        <v>68.724643384698339</v>
      </c>
      <c r="CB54" s="20">
        <f t="shared" si="10"/>
        <v>621.87249278390527</v>
      </c>
      <c r="CC54" s="59">
        <f t="shared" si="11"/>
        <v>915.20582611723853</v>
      </c>
      <c r="CD54" s="59">
        <f ca="1">AVERAGE(OFFSET($CC$3,0,0,'Données projet'!$E$12+1,1))-AVERAGE(OFFSET($H$3,0,0,'Données projet'!$E$12+1,1))</f>
        <v>220.26537310502334</v>
      </c>
      <c r="CE54" s="59">
        <f t="shared" si="40"/>
        <v>233.26853625122016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27.056128700105219</v>
      </c>
      <c r="CL54" s="21">
        <f>EXP(-LN(2)/25)*CL53+(1-EXP(-LN(2)/25))/(LN(2)/25)*Calculateur!CG54*Calculateur!CI54*VLOOKUP('Données projet'!$B$12,Paramètres!$A$1:$I$89,3,0)*0.475*44/12</f>
        <v>20.033647381137957</v>
      </c>
      <c r="CM54" s="21">
        <f>EXP(-LN(2)/2)*CM53+(1-EXP(-LN(2)/2))/(LN(2)/2)*CG54*CJ54*VLOOKUP('Données projet'!$B$12,Paramètres!$A$1:$I$89,3,0)*0.475*44/12</f>
        <v>4.0209246907527536</v>
      </c>
      <c r="CN54" s="22">
        <f t="shared" si="12"/>
        <v>51.110700771995923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-3.4106051316484809E-13</v>
      </c>
      <c r="O55" s="13">
        <f>N55*VLOOKUP('Données projet'!$B$9,Paramètres!$A$1:$I$89,3,0)*VLOOKUP('Données projet'!$B$9,Paramètres!$A$1:$I$89,5,0)</f>
        <v>-1.5961632016114892E-13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263.37813242097957</v>
      </c>
      <c r="T55" s="59">
        <f t="shared" si="34"/>
        <v>314.89350816766904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117.17646571945799</v>
      </c>
      <c r="AA55" s="21">
        <f>EXP(-LN(2)/25)*AA54+(1-EXP(-LN(2)/25))/(LN(2)/25)*Calculateur!V55*Calculateur!X55*VLOOKUP('Données projet'!$B$9,Paramètres!$A$1:$I$89,3,0)*0.475*44/12</f>
        <v>55.983395490880298</v>
      </c>
      <c r="AB55" s="21">
        <f>EXP(-LN(2)/2)*AB54+(1-EXP(-LN(2)/2))/(LN(2)/2)*V55*Y55*VLOOKUP('Données projet'!$B$9,Paramètres!$A$1:$I$89,3,0)*0.475*44/12</f>
        <v>31.568193638185278</v>
      </c>
      <c r="AC55" s="22">
        <f t="shared" si="3"/>
        <v>204.72805484852358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24.4</v>
      </c>
      <c r="AI55" s="13">
        <f>IF('Données projet'!$A$62&gt;35,AI54+AH55-AQ54,IF(A55&lt;'Données projet'!$A$62,$AF$205^A55,IF(A55='Données projet'!$A$62,'Données projet'!$B$62,AI54+AH55-AQ54)))</f>
        <v>623.79999999999984</v>
      </c>
      <c r="AJ55" s="13">
        <f>AI55*VLOOKUP('Données projet'!$B$10,Paramètres!$A$1:$I$89,3,0)*VLOOKUP('Données projet'!$B$10,Paramètres!$A$1:$I$89,5,0)</f>
        <v>251.39139999999995</v>
      </c>
      <c r="AK55" s="13">
        <f t="shared" si="35"/>
        <v>60.883791909677051</v>
      </c>
      <c r="AL55" s="20">
        <f t="shared" si="4"/>
        <v>543.8792925760207</v>
      </c>
      <c r="AM55" s="59">
        <f t="shared" si="5"/>
        <v>837.21262590935407</v>
      </c>
      <c r="AN55" s="59">
        <f ca="1">AVERAGE(OFFSET($AM$3,0,0,'Données projet'!$E$10+1,1))-AVERAGE(OFFSET($H$3,0,0,'Données projet'!$E$10+1,1))</f>
        <v>344.29957955721721</v>
      </c>
      <c r="AO55" s="59">
        <f t="shared" si="36"/>
        <v>297.12790038882594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48.354335208841505</v>
      </c>
      <c r="AV55" s="21">
        <f>EXP(-LN(2)/25)*AV54+(1-EXP(-LN(2)/25))/(LN(2)/25)*Calculateur!AQ55*Calculateur!AS55*VLOOKUP('Données projet'!$B$10,Paramètres!$A$1:$I$89,3,0)*0.475*44/12</f>
        <v>27.035401292599101</v>
      </c>
      <c r="AW55" s="21">
        <f>EXP(-LN(2)/2)*AW54+(1-EXP(-LN(2)/2))/(LN(2)/2)*AQ55*AT55*VLOOKUP('Données projet'!$B$10,Paramètres!$A$1:$I$89,3,0)*0.475*44/12</f>
        <v>4.2433668098914312</v>
      </c>
      <c r="AX55" s="21">
        <f t="shared" si="6"/>
        <v>79.633103311332036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22.333333333333332</v>
      </c>
      <c r="BD55" s="12">
        <f>IF('Données projet'!$A$88&gt;35,BD54+BC55-BL54,IF(A55&lt;'Données projet'!$A$88,$BA$205^A55,IF(A55='Données projet'!$A$88,'Données projet'!$B$88,BD54+BC55-BL54)))</f>
        <v>674.66666666666686</v>
      </c>
      <c r="BE55" s="13">
        <f>BD55*VLOOKUP('Données projet'!$B$11,Paramètres!$A$1:$I$89,3,0)*VLOOKUP('Données projet'!$B$11,Paramètres!$A$1:$I$89,5,0)</f>
        <v>315.74400000000009</v>
      </c>
      <c r="BF55" s="13">
        <f t="shared" si="37"/>
        <v>74.467121212440205</v>
      </c>
      <c r="BG55" s="20">
        <f t="shared" si="7"/>
        <v>679.61770277833341</v>
      </c>
      <c r="BH55" s="59">
        <f t="shared" si="8"/>
        <v>972.95103611166678</v>
      </c>
      <c r="BI55" s="59">
        <f ca="1">AVERAGE(OFFSET($BH$3,0,0,'Données projet'!$E$11+1,1))-AVERAGE(OFFSET($H$3,0,0,'Données projet'!$E$11+1,1))</f>
        <v>234.83702199169585</v>
      </c>
      <c r="BJ55" s="59">
        <f t="shared" si="38"/>
        <v>248.83008816685089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28.085902431781935</v>
      </c>
      <c r="BQ55" s="21">
        <f>EXP(-LN(2)/25)*BQ54+(1-EXP(-LN(2)/25))/(LN(2)/25)*Calculateur!BL55*Calculateur!BN55*VLOOKUP('Données projet'!$B$11,Paramètres!$A$1:$I$89,3,0)*0.475*44/12</f>
        <v>20.632051312916822</v>
      </c>
      <c r="BR55" s="21">
        <f>EXP(-LN(2)/2)*BR54+(1-EXP(-LN(2)/2))/(LN(2)/2)*BL55*BO55*VLOOKUP('Données projet'!$B$11,Paramètres!$A$1:$I$89,3,0)*0.475*44/12</f>
        <v>3.0104715340288521</v>
      </c>
      <c r="BS55" s="22">
        <f t="shared" si="9"/>
        <v>51.728425278727613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22.333333333333332</v>
      </c>
      <c r="BY55" s="12">
        <f>IF('Données projet'!$A$114&gt;35,BY54+BX55-CG54,IF(A55&lt;'Données projet'!$A$114,$BV$205^A55,IF(A55='Données projet'!$A$114,'Données projet'!$B$114,BY54+BX55-CG54)))</f>
        <v>674.66666666666686</v>
      </c>
      <c r="BZ55" s="13">
        <f>BY55*VLOOKUP('Données projet'!$B$12,Paramètres!$A$1:$I$89,3,0)*VLOOKUP('Données projet'!$B$12,Paramètres!$A$1:$I$89,5,0)</f>
        <v>298.2026666666668</v>
      </c>
      <c r="CA55" s="13">
        <f t="shared" si="39"/>
        <v>70.799541698665749</v>
      </c>
      <c r="CB55" s="20">
        <f t="shared" si="10"/>
        <v>642.67884623628743</v>
      </c>
      <c r="CC55" s="59">
        <f t="shared" si="11"/>
        <v>936.01217956962068</v>
      </c>
      <c r="CD55" s="59">
        <f ca="1">AVERAGE(OFFSET($CC$3,0,0,'Données projet'!$E$12+1,1))-AVERAGE(OFFSET($H$3,0,0,'Données projet'!$E$12+1,1))</f>
        <v>220.26537310502334</v>
      </c>
      <c r="CE55" s="59">
        <f t="shared" si="40"/>
        <v>233.26853625122016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26.525574518905167</v>
      </c>
      <c r="CL55" s="21">
        <f>EXP(-LN(2)/25)*CL54+(1-EXP(-LN(2)/25))/(LN(2)/25)*Calculateur!CG55*Calculateur!CI55*VLOOKUP('Données projet'!$B$12,Paramètres!$A$1:$I$89,3,0)*0.475*44/12</f>
        <v>19.485826239977012</v>
      </c>
      <c r="CM55" s="21">
        <f>EXP(-LN(2)/2)*CM54+(1-EXP(-LN(2)/2))/(LN(2)/2)*CG55*CJ55*VLOOKUP('Données projet'!$B$12,Paramètres!$A$1:$I$89,3,0)*0.475*44/12</f>
        <v>2.8432231154716936</v>
      </c>
      <c r="CN55" s="22">
        <f t="shared" si="12"/>
        <v>48.854623874353869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-3.4106051316484809E-13</v>
      </c>
      <c r="O56" s="13">
        <f>N56*VLOOKUP('Données projet'!$B$9,Paramètres!$A$1:$I$89,3,0)*VLOOKUP('Données projet'!$B$9,Paramètres!$A$1:$I$89,5,0)</f>
        <v>-1.5961632016114892E-13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263.37813242097957</v>
      </c>
      <c r="T56" s="59">
        <f t="shared" si="34"/>
        <v>314.89350816766904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114.87870669728638</v>
      </c>
      <c r="AA56" s="21">
        <f>EXP(-LN(2)/25)*AA55+(1-EXP(-LN(2)/25))/(LN(2)/25)*Calculateur!V56*Calculateur!X56*VLOOKUP('Données projet'!$B$9,Paramètres!$A$1:$I$89,3,0)*0.475*44/12</f>
        <v>54.452526597143361</v>
      </c>
      <c r="AB56" s="21">
        <f>EXP(-LN(2)/2)*AB55+(1-EXP(-LN(2)/2))/(LN(2)/2)*V56*Y56*VLOOKUP('Données projet'!$B$9,Paramètres!$A$1:$I$89,3,0)*0.475*44/12</f>
        <v>22.32208379137084</v>
      </c>
      <c r="AC56" s="22">
        <f t="shared" si="3"/>
        <v>191.65331708580058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24.4</v>
      </c>
      <c r="AI56" s="13">
        <f>IF('Données projet'!$A$62&gt;35,AI55+AH56-AQ55,IF(A56&lt;'Données projet'!$A$62,$AF$205^A56,IF(A56='Données projet'!$A$62,'Données projet'!$B$62,AI55+AH56-AQ55)))</f>
        <v>648.19999999999982</v>
      </c>
      <c r="AJ56" s="13">
        <f>AI56*VLOOKUP('Données projet'!$B$10,Paramètres!$A$1:$I$89,3,0)*VLOOKUP('Données projet'!$B$10,Paramètres!$A$1:$I$89,5,0)</f>
        <v>261.22459999999995</v>
      </c>
      <c r="AK56" s="13">
        <f t="shared" si="35"/>
        <v>62.983341758563071</v>
      </c>
      <c r="AL56" s="20">
        <f t="shared" si="4"/>
        <v>564.66216522949719</v>
      </c>
      <c r="AM56" s="59">
        <f t="shared" si="5"/>
        <v>857.99549856283056</v>
      </c>
      <c r="AN56" s="59">
        <f ca="1">AVERAGE(OFFSET($AM$3,0,0,'Données projet'!$E$10+1,1))-AVERAGE(OFFSET($H$3,0,0,'Données projet'!$E$10+1,1))</f>
        <v>344.29957955721721</v>
      </c>
      <c r="AO56" s="59">
        <f t="shared" si="36"/>
        <v>297.12790038882594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47.406136188628388</v>
      </c>
      <c r="AV56" s="21">
        <f>EXP(-LN(2)/25)*AV55+(1-EXP(-LN(2)/25))/(LN(2)/25)*Calculateur!AQ56*Calculateur!AS56*VLOOKUP('Données projet'!$B$10,Paramètres!$A$1:$I$89,3,0)*0.475*44/12</f>
        <v>26.296116822523015</v>
      </c>
      <c r="AW56" s="21">
        <f>EXP(-LN(2)/2)*AW55+(1-EXP(-LN(2)/2))/(LN(2)/2)*AQ56*AT56*VLOOKUP('Données projet'!$B$10,Paramètres!$A$1:$I$89,3,0)*0.475*44/12</f>
        <v>3.0005134463361585</v>
      </c>
      <c r="AX56" s="21">
        <f t="shared" si="6"/>
        <v>76.702766457487556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>
        <f>VLOOKUP(A56,'Données projet'!$A$87:$I$107,2,0)</f>
        <v>697</v>
      </c>
      <c r="BB56" s="12">
        <f>VLOOKUP(A56,'Données projet'!$A$87:$I$107,9,0)</f>
        <v>22.333333333333332</v>
      </c>
      <c r="BC56" s="12">
        <f t="array" ref="BC56">INDEX(BB:BB,MIN(IF(ISNUMBER(BB56:BB252),ROW(BB56:BB252),"")))</f>
        <v>22.333333333333332</v>
      </c>
      <c r="BD56" s="12">
        <f>IF('Données projet'!$A$88&gt;35,BD55+BC56-BL55,IF(A56&lt;'Données projet'!$A$88,$BA$205^A56,IF(A56='Données projet'!$A$88,'Données projet'!$B$88,BD55+BC56-BL55)))</f>
        <v>697.00000000000023</v>
      </c>
      <c r="BE56" s="13">
        <f>BD56*VLOOKUP('Données projet'!$B$11,Paramètres!$A$1:$I$89,3,0)*VLOOKUP('Données projet'!$B$11,Paramètres!$A$1:$I$89,5,0)</f>
        <v>326.19600000000008</v>
      </c>
      <c r="BF56" s="13">
        <f t="shared" si="37"/>
        <v>76.641109529113464</v>
      </c>
      <c r="BG56" s="20">
        <f t="shared" si="7"/>
        <v>701.60796576320615</v>
      </c>
      <c r="BH56" s="59">
        <f t="shared" si="8"/>
        <v>994.94129909653952</v>
      </c>
      <c r="BI56" s="59">
        <f ca="1">AVERAGE(OFFSET($BH$3,0,0,'Données projet'!$E$11+1,1))-AVERAGE(OFFSET($H$3,0,0,'Données projet'!$E$11+1,1))</f>
        <v>234.83702199169585</v>
      </c>
      <c r="BJ56" s="59">
        <f t="shared" si="38"/>
        <v>248.83008816685089</v>
      </c>
      <c r="BK56" s="15" t="str">
        <f>IF(ISNA(VLOOKUP(A56,'Données projet'!$A$87:$I$107,3,0)),0,VLOOKUP(A56,'Données projet'!$A$87:$I$107,3,0))</f>
        <v>CR</v>
      </c>
      <c r="BL56" s="15">
        <f>IF(ISNA(VLOOKUP(A56,'Données projet'!$A$87:$I$107,4,0)),0,VLOOKUP(A56,'Données projet'!$A$87:$I$107,4,0))</f>
        <v>697</v>
      </c>
      <c r="BM56" s="16">
        <f>IF(ISNA(VLOOKUP(A56,'Données projet'!$A$87:$I$107,5,0)),0%,VLOOKUP(A56,'Données projet'!$A$87:$I$107,5,0)*VLOOKUP('Données projet'!$B$11,Paramètres!$A$1:$I$89,7,0))</f>
        <v>0.1925</v>
      </c>
      <c r="BN56" s="16">
        <f>IF(ISNA(VLOOKUP(A56,'Données projet'!$A$87:$I$107,6,0)),0%,VLOOKUP(A56,'Données projet'!$A$87:$I$107,6,0)*VLOOKUP('Données projet'!$B$11,Paramètres!$A$1:$I$89,7,0))</f>
        <v>8.2500000000000004E-2</v>
      </c>
      <c r="BO56" s="16">
        <f>IF(ISNA(VLOOKUP(A56,'Données projet'!$A$87:$I$107,7,0)),0%,VLOOKUP(A56,'Données projet'!$A$87:$I$107,7,0))</f>
        <v>0.15</v>
      </c>
      <c r="BP56" s="21">
        <f>EXP(-LN(2)/35)*BP55+(1-EXP(-LN(2)/35))/(LN(2)/35)*BL56*BM56*VLOOKUP('Données projet'!$B$11,Paramètres!$A$1:$I$89,3,0)*0.475*44/12</f>
        <v>110.83375869381572</v>
      </c>
      <c r="BQ56" s="21">
        <f>EXP(-LN(2)/25)*BQ55+(1-EXP(-LN(2)/25))/(LN(2)/25)*Calculateur!BL56*Calculateur!BN56*VLOOKUP('Données projet'!$B$11,Paramètres!$A$1:$I$89,3,0)*0.475*44/12</f>
        <v>55.626706214519302</v>
      </c>
      <c r="BR56" s="21">
        <f>EXP(-LN(2)/2)*BR55+(1-EXP(-LN(2)/2))/(LN(2)/2)*BL56*BO56*VLOOKUP('Données projet'!$B$11,Paramètres!$A$1:$I$89,3,0)*0.475*44/12</f>
        <v>57.528171814872316</v>
      </c>
      <c r="BS56" s="22">
        <f t="shared" si="9"/>
        <v>223.98863672320735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>
        <f>VLOOKUP(A56,'Données projet'!$A$113:$I$133,2,0)</f>
        <v>697</v>
      </c>
      <c r="BW56" s="12">
        <f>VLOOKUP(A56,'Données projet'!$A$113:$I$133,9,0)</f>
        <v>22.333333333333332</v>
      </c>
      <c r="BX56" s="12">
        <f t="array" ref="BX56">INDEX(BW:BW,MIN(IF(ISNUMBER(BW56:BW252),ROW(BW56:BW252),"")))</f>
        <v>22.333333333333332</v>
      </c>
      <c r="BY56" s="12">
        <f>IF('Données projet'!$A$114&gt;35,BY55+BX56-CG55,IF(A56&lt;'Données projet'!$A$114,$BV$205^A56,IF(A56='Données projet'!$A$114,'Données projet'!$B$114,BY55+BX56-CG55)))</f>
        <v>697.00000000000023</v>
      </c>
      <c r="BZ56" s="13">
        <f>BY56*VLOOKUP('Données projet'!$B$12,Paramètres!$A$1:$I$89,3,0)*VLOOKUP('Données projet'!$B$12,Paramètres!$A$1:$I$89,5,0)</f>
        <v>308.07400000000013</v>
      </c>
      <c r="CA56" s="13">
        <f t="shared" si="39"/>
        <v>72.866458936403916</v>
      </c>
      <c r="CB56" s="20">
        <f t="shared" si="10"/>
        <v>663.47129931423706</v>
      </c>
      <c r="CC56" s="59">
        <f t="shared" si="11"/>
        <v>956.80463264757032</v>
      </c>
      <c r="CD56" s="59">
        <f ca="1">AVERAGE(OFFSET($CC$3,0,0,'Données projet'!$E$12+1,1))-AVERAGE(OFFSET($H$3,0,0,'Données projet'!$E$12+1,1))</f>
        <v>220.26537310502334</v>
      </c>
      <c r="CE56" s="59">
        <f t="shared" si="40"/>
        <v>233.26853625122016</v>
      </c>
      <c r="CF56" s="15" t="str">
        <f>IF(ISNA(VLOOKUP(A56,'Données projet'!$A$113:$I$133,3,0)),0,VLOOKUP(A56,'Données projet'!$A$113:$I$133,3,0))</f>
        <v>CR</v>
      </c>
      <c r="CG56" s="15">
        <f>IF(ISNA(VLOOKUP(A56,'Données projet'!$A$113:$I$133,4,0)),0,VLOOKUP(A56,'Données projet'!$A$113:$I$133,4,0))</f>
        <v>697</v>
      </c>
      <c r="CH56" s="16">
        <f>IF(ISNA(VLOOKUP(A56,'Données projet'!$A$113:$I$133,5,0)),0%,VLOOKUP(A56,'Données projet'!$A$113:$I$133,5,0)*VLOOKUP('Données projet'!$B$12,Paramètres!$A$1:$I$89,7,0))</f>
        <v>0.1925</v>
      </c>
      <c r="CI56" s="16">
        <f>IF(ISNA(VLOOKUP(A56,'Données projet'!$A$113:$I$133,6,0)),0%,VLOOKUP(A56,'Données projet'!$A$113:$I$133,6,0)*VLOOKUP('Données projet'!$B$12,Paramètres!$A$1:$I$89,7,0))</f>
        <v>8.2500000000000004E-2</v>
      </c>
      <c r="CJ56" s="16">
        <f>IF(ISNA(VLOOKUP(A56,'Données projet'!$A$113:$I$133,7,0)),0%,VLOOKUP(A56,'Données projet'!$A$113:$I$133,7,0))</f>
        <v>0.15</v>
      </c>
      <c r="CK56" s="21">
        <f>EXP(-LN(2)/35)*CK55+(1-EXP(-LN(2)/35))/(LN(2)/35)*CG56*CH56*VLOOKUP('Données projet'!$B$12,Paramètres!$A$1:$I$89,3,0)*0.475*44/12</f>
        <v>104.67632765527043</v>
      </c>
      <c r="CL56" s="21">
        <f>EXP(-LN(2)/25)*CL55+(1-EXP(-LN(2)/25))/(LN(2)/25)*Calculateur!CG56*Calculateur!CI56*VLOOKUP('Données projet'!$B$12,Paramètres!$A$1:$I$89,3,0)*0.475*44/12</f>
        <v>52.536333647046021</v>
      </c>
      <c r="CM56" s="21">
        <f>EXP(-LN(2)/2)*CM55+(1-EXP(-LN(2)/2))/(LN(2)/2)*CG56*CJ56*VLOOKUP('Données projet'!$B$12,Paramètres!$A$1:$I$89,3,0)*0.475*44/12</f>
        <v>54.332162269601639</v>
      </c>
      <c r="CN56" s="22">
        <f t="shared" si="12"/>
        <v>211.5448235719181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-3.4106051316484809E-13</v>
      </c>
      <c r="O57" s="13">
        <f>N57*VLOOKUP('Données projet'!$B$9,Paramètres!$A$1:$I$89,3,0)*VLOOKUP('Données projet'!$B$9,Paramètres!$A$1:$I$89,5,0)</f>
        <v>-1.5961632016114892E-13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263.37813242097957</v>
      </c>
      <c r="T57" s="59">
        <f t="shared" si="34"/>
        <v>314.89350816766904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112.62600532804493</v>
      </c>
      <c r="AA57" s="21">
        <f>EXP(-LN(2)/25)*AA56+(1-EXP(-LN(2)/25))/(LN(2)/25)*Calculateur!V57*Calculateur!X57*VLOOKUP('Données projet'!$B$9,Paramètres!$A$1:$I$89,3,0)*0.475*44/12</f>
        <v>52.963519393810557</v>
      </c>
      <c r="AB57" s="21">
        <f>EXP(-LN(2)/2)*AB56+(1-EXP(-LN(2)/2))/(LN(2)/2)*V57*Y57*VLOOKUP('Données projet'!$B$9,Paramètres!$A$1:$I$89,3,0)*0.475*44/12</f>
        <v>15.784096819092641</v>
      </c>
      <c r="AC57" s="22">
        <f t="shared" si="3"/>
        <v>181.37362154094811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24.4</v>
      </c>
      <c r="AI57" s="13">
        <f>IF('Données projet'!$A$62&gt;35,AI56+AH57-AQ56,IF(A57&lt;'Données projet'!$A$62,$AF$205^A57,IF(A57='Données projet'!$A$62,'Données projet'!$B$62,AI56+AH57-AQ56)))</f>
        <v>672.5999999999998</v>
      </c>
      <c r="AJ57" s="13">
        <f>AI57*VLOOKUP('Données projet'!$B$10,Paramètres!$A$1:$I$89,3,0)*VLOOKUP('Données projet'!$B$10,Paramètres!$A$1:$I$89,5,0)</f>
        <v>271.05779999999993</v>
      </c>
      <c r="AK57" s="13">
        <f t="shared" si="35"/>
        <v>65.073710031956935</v>
      </c>
      <c r="AL57" s="20">
        <f t="shared" si="4"/>
        <v>585.42904663899151</v>
      </c>
      <c r="AM57" s="59">
        <f t="shared" si="5"/>
        <v>878.76237997232488</v>
      </c>
      <c r="AN57" s="59">
        <f ca="1">AVERAGE(OFFSET($AM$3,0,0,'Données projet'!$E$10+1,1))-AVERAGE(OFFSET($H$3,0,0,'Données projet'!$E$10+1,1))</f>
        <v>344.29957955721721</v>
      </c>
      <c r="AO57" s="59">
        <f t="shared" si="36"/>
        <v>297.12790038882594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46.476530772857352</v>
      </c>
      <c r="AV57" s="21">
        <f>EXP(-LN(2)/25)*AV56+(1-EXP(-LN(2)/25))/(LN(2)/25)*Calculateur!AQ57*Calculateur!AS57*VLOOKUP('Données projet'!$B$10,Paramètres!$A$1:$I$89,3,0)*0.475*44/12</f>
        <v>25.577048125158441</v>
      </c>
      <c r="AW57" s="21">
        <f>EXP(-LN(2)/2)*AW56+(1-EXP(-LN(2)/2))/(LN(2)/2)*AQ57*AT57*VLOOKUP('Données projet'!$B$10,Paramètres!$A$1:$I$89,3,0)*0.475*44/12</f>
        <v>2.1216834049457156</v>
      </c>
      <c r="AX57" s="21">
        <f t="shared" si="6"/>
        <v>74.175262302961499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2.2737367544323206E-13</v>
      </c>
      <c r="BE57" s="13">
        <f>BD57*VLOOKUP('Données projet'!$B$11,Paramètres!$A$1:$I$89,3,0)*VLOOKUP('Données projet'!$B$11,Paramètres!$A$1:$I$89,5,0)</f>
        <v>1.064108801074326E-13</v>
      </c>
      <c r="BF57" s="13">
        <f t="shared" si="37"/>
        <v>1.5870730813698654E-12</v>
      </c>
      <c r="BG57" s="20">
        <f t="shared" si="7"/>
        <v>2.9494845662396269E-12</v>
      </c>
      <c r="BH57" s="59">
        <f t="shared" si="8"/>
        <v>293.33333333333627</v>
      </c>
      <c r="BI57" s="59">
        <f ca="1">AVERAGE(OFFSET($BH$3,0,0,'Données projet'!$E$11+1,1))-AVERAGE(OFFSET($H$3,0,0,'Données projet'!$E$11+1,1))</f>
        <v>234.83702199169585</v>
      </c>
      <c r="BJ57" s="59">
        <f t="shared" si="38"/>
        <v>248.83008816685089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108.66037628774767</v>
      </c>
      <c r="BQ57" s="21">
        <f>EXP(-LN(2)/25)*BQ56+(1-EXP(-LN(2)/25))/(LN(2)/25)*Calculateur!BL57*Calculateur!BN57*VLOOKUP('Données projet'!$B$11,Paramètres!$A$1:$I$89,3,0)*0.475*44/12</f>
        <v>54.105591007801927</v>
      </c>
      <c r="BR57" s="21">
        <f>EXP(-LN(2)/2)*BR56+(1-EXP(-LN(2)/2))/(LN(2)/2)*BL57*BO57*VLOOKUP('Données projet'!$B$11,Paramètres!$A$1:$I$89,3,0)*0.475*44/12</f>
        <v>40.678560399561029</v>
      </c>
      <c r="BS57" s="22">
        <f t="shared" si="9"/>
        <v>203.44452769511062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2.2737367544323206E-13</v>
      </c>
      <c r="BZ57" s="13">
        <f>BY57*VLOOKUP('Données projet'!$B$12,Paramètres!$A$1:$I$89,3,0)*VLOOKUP('Données projet'!$B$12,Paramètres!$A$1:$I$89,5,0)</f>
        <v>1.0049916454590858E-13</v>
      </c>
      <c r="CA57" s="13">
        <f t="shared" si="39"/>
        <v>1.5089081593838289E-12</v>
      </c>
      <c r="CB57" s="20">
        <f t="shared" si="10"/>
        <v>2.8030510891776262E-12</v>
      </c>
      <c r="CC57" s="59">
        <f t="shared" si="11"/>
        <v>293.3333333333361</v>
      </c>
      <c r="CD57" s="59">
        <f ca="1">AVERAGE(OFFSET($CC$3,0,0,'Données projet'!$E$12+1,1))-AVERAGE(OFFSET($H$3,0,0,'Données projet'!$E$12+1,1))</f>
        <v>220.26537310502334</v>
      </c>
      <c r="CE57" s="59">
        <f t="shared" si="40"/>
        <v>233.26853625122016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102.62368871620615</v>
      </c>
      <c r="CL57" s="21">
        <f>EXP(-LN(2)/25)*CL56+(1-EXP(-LN(2)/25))/(LN(2)/25)*Calculateur!CG57*Calculateur!CI57*VLOOKUP('Données projet'!$B$12,Paramètres!$A$1:$I$89,3,0)*0.475*44/12</f>
        <v>51.099724840701832</v>
      </c>
      <c r="CM57" s="21">
        <f>EXP(-LN(2)/2)*CM56+(1-EXP(-LN(2)/2))/(LN(2)/2)*CG57*CJ57*VLOOKUP('Données projet'!$B$12,Paramètres!$A$1:$I$89,3,0)*0.475*44/12</f>
        <v>38.418640377363204</v>
      </c>
      <c r="CN57" s="22">
        <f t="shared" si="12"/>
        <v>192.14205393427119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-3.4106051316484809E-13</v>
      </c>
      <c r="O58" s="13">
        <f>N58*VLOOKUP('Données projet'!$B$9,Paramètres!$A$1:$I$89,3,0)*VLOOKUP('Données projet'!$B$9,Paramètres!$A$1:$I$89,5,0)</f>
        <v>-1.5961632016114892E-13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263.37813242097957</v>
      </c>
      <c r="T58" s="59">
        <f t="shared" si="34"/>
        <v>314.89350816766904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110.41747805864213</v>
      </c>
      <c r="AA58" s="21">
        <f>EXP(-LN(2)/25)*AA57+(1-EXP(-LN(2)/25))/(LN(2)/25)*Calculateur!V58*Calculateur!X58*VLOOKUP('Données projet'!$B$9,Paramètres!$A$1:$I$89,3,0)*0.475*44/12</f>
        <v>51.515229170756371</v>
      </c>
      <c r="AB58" s="21">
        <f>EXP(-LN(2)/2)*AB57+(1-EXP(-LN(2)/2))/(LN(2)/2)*V58*Y58*VLOOKUP('Données projet'!$B$9,Paramètres!$A$1:$I$89,3,0)*0.475*44/12</f>
        <v>11.161041895685422</v>
      </c>
      <c r="AC58" s="22">
        <f t="shared" si="3"/>
        <v>173.09374912508392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697</v>
      </c>
      <c r="AG58" s="12">
        <f>VLOOKUP(A58,'Données projet'!$A$61:$I$81,9,0)</f>
        <v>24.4</v>
      </c>
      <c r="AH58" s="12">
        <f t="array" ref="AH58">INDEX(AG:AG,MIN(IF(ISNUMBER(AG58:AG254),ROW(AG58:AG254),"")))</f>
        <v>24.4</v>
      </c>
      <c r="AI58" s="13">
        <f>IF('Données projet'!$A$62&gt;35,AI57+AH58-AQ57,IF(A58&lt;'Données projet'!$A$62,$AF$205^A58,IF(A58='Données projet'!$A$62,'Données projet'!$B$62,AI57+AH58-AQ57)))</f>
        <v>696.99999999999977</v>
      </c>
      <c r="AJ58" s="13">
        <f>AI58*VLOOKUP('Données projet'!$B$10,Paramètres!$A$1:$I$89,3,0)*VLOOKUP('Données projet'!$B$10,Paramètres!$A$1:$I$89,5,0)</f>
        <v>280.89099999999991</v>
      </c>
      <c r="AK58" s="13">
        <f t="shared" si="35"/>
        <v>67.155267963384873</v>
      </c>
      <c r="AL58" s="20">
        <f t="shared" si="4"/>
        <v>606.18058336956176</v>
      </c>
      <c r="AM58" s="59">
        <f t="shared" si="5"/>
        <v>899.51391670289513</v>
      </c>
      <c r="AN58" s="59">
        <f ca="1">AVERAGE(OFFSET($AM$3,0,0,'Données projet'!$E$10+1,1))-AVERAGE(OFFSET($H$3,0,0,'Données projet'!$E$10+1,1))</f>
        <v>344.29957955721721</v>
      </c>
      <c r="AO58" s="59">
        <f t="shared" si="36"/>
        <v>297.12790038882594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66</v>
      </c>
      <c r="AR58" s="16">
        <f>IF(ISNA(VLOOKUP(A58,'Données projet'!$A$61:$I$81,5,0)),0%,VLOOKUP(A58,'Données projet'!$A$61:$I$81,5,0)*VLOOKUP('Données projet'!$B$10,Paramètres!$A$1:$I$89,7,0))</f>
        <v>0.33</v>
      </c>
      <c r="AS58" s="16">
        <f>IF(ISNA(VLOOKUP(A58,'Données projet'!$A$61:$I$81,6,0)),0%,VLOOKUP(A58,'Données projet'!$A$61:$I$81,6,0)*VLOOKUP('Données projet'!$B$10,Paramètres!$A$1:$I$89,7,0))</f>
        <v>0.11000000000000001</v>
      </c>
      <c r="AT58" s="16">
        <f>IF(ISNA(VLOOKUP(A58,'Données projet'!$A$61:$I$81,7,0)),0%,VLOOKUP(A58,'Données projet'!$A$61:$I$81,7,0))</f>
        <v>0.2</v>
      </c>
      <c r="AU58" s="21">
        <f>EXP(-LN(2)/35)*AU57+(1-EXP(-LN(2)/35))/(LN(2)/35)*AQ58*AR58*VLOOKUP('Données projet'!$B$10,Paramètres!$A$1:$I$89,3,0)*0.475*44/12</f>
        <v>57.208861609593967</v>
      </c>
      <c r="AV58" s="21">
        <f>EXP(-LN(2)/25)*AV57+(1-EXP(-LN(2)/25))/(LN(2)/25)*Calculateur!AQ58*Calculateur!AS58*VLOOKUP('Données projet'!$B$10,Paramètres!$A$1:$I$89,3,0)*0.475*44/12</f>
        <v>28.743596247549274</v>
      </c>
      <c r="AW58" s="21">
        <f>EXP(-LN(2)/2)*AW57+(1-EXP(-LN(2)/2))/(LN(2)/2)*AQ58*AT58*VLOOKUP('Données projet'!$B$10,Paramètres!$A$1:$I$89,3,0)*0.475*44/12</f>
        <v>7.5232796530898671</v>
      </c>
      <c r="AX58" s="21">
        <f t="shared" si="6"/>
        <v>93.475737510233117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2.2737367544323206E-13</v>
      </c>
      <c r="BE58" s="13">
        <f>BD58*VLOOKUP('Données projet'!$B$11,Paramètres!$A$1:$I$89,3,0)*VLOOKUP('Données projet'!$B$11,Paramètres!$A$1:$I$89,5,0)</f>
        <v>1.064108801074326E-13</v>
      </c>
      <c r="BF58" s="13">
        <f t="shared" si="37"/>
        <v>1.5870730813698654E-12</v>
      </c>
      <c r="BG58" s="20">
        <f t="shared" si="7"/>
        <v>2.9494845662396269E-12</v>
      </c>
      <c r="BH58" s="59">
        <f t="shared" si="8"/>
        <v>293.33333333333627</v>
      </c>
      <c r="BI58" s="59">
        <f ca="1">AVERAGE(OFFSET($BH$3,0,0,'Données projet'!$E$11+1,1))-AVERAGE(OFFSET($H$3,0,0,'Données projet'!$E$11+1,1))</f>
        <v>234.83702199169585</v>
      </c>
      <c r="BJ58" s="59">
        <f t="shared" si="38"/>
        <v>248.83008816685089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106.52961258503024</v>
      </c>
      <c r="BQ58" s="21">
        <f>EXP(-LN(2)/25)*BQ57+(1-EXP(-LN(2)/25))/(LN(2)/25)*Calculateur!BL58*Calculateur!BN58*VLOOKUP('Données projet'!$B$11,Paramètres!$A$1:$I$89,3,0)*0.475*44/12</f>
        <v>52.626070776404212</v>
      </c>
      <c r="BR58" s="21">
        <f>EXP(-LN(2)/2)*BR57+(1-EXP(-LN(2)/2))/(LN(2)/2)*BL58*BO58*VLOOKUP('Données projet'!$B$11,Paramètres!$A$1:$I$89,3,0)*0.475*44/12</f>
        <v>28.764085907436158</v>
      </c>
      <c r="BS58" s="22">
        <f t="shared" si="9"/>
        <v>187.91976926887062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2.2737367544323206E-13</v>
      </c>
      <c r="BZ58" s="13">
        <f>BY58*VLOOKUP('Données projet'!$B$12,Paramètres!$A$1:$I$89,3,0)*VLOOKUP('Données projet'!$B$12,Paramètres!$A$1:$I$89,5,0)</f>
        <v>1.0049916454590858E-13</v>
      </c>
      <c r="CA58" s="13">
        <f t="shared" si="39"/>
        <v>1.5089081593838289E-12</v>
      </c>
      <c r="CB58" s="20">
        <f t="shared" si="10"/>
        <v>2.8030510891776262E-12</v>
      </c>
      <c r="CC58" s="59">
        <f t="shared" si="11"/>
        <v>293.3333333333361</v>
      </c>
      <c r="CD58" s="59">
        <f ca="1">AVERAGE(OFFSET($CC$3,0,0,'Données projet'!$E$12+1,1))-AVERAGE(OFFSET($H$3,0,0,'Données projet'!$E$12+1,1))</f>
        <v>220.26537310502334</v>
      </c>
      <c r="CE58" s="59">
        <f t="shared" si="40"/>
        <v>233.26853625122016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100.61130077475079</v>
      </c>
      <c r="CL58" s="21">
        <f>EXP(-LN(2)/25)*CL57+(1-EXP(-LN(2)/25))/(LN(2)/25)*Calculateur!CG58*Calculateur!CI58*VLOOKUP('Données projet'!$B$12,Paramètres!$A$1:$I$89,3,0)*0.475*44/12</f>
        <v>49.702400177715099</v>
      </c>
      <c r="CM58" s="21">
        <f>EXP(-LN(2)/2)*CM57+(1-EXP(-LN(2)/2))/(LN(2)/2)*CG58*CJ58*VLOOKUP('Données projet'!$B$12,Paramètres!$A$1:$I$89,3,0)*0.475*44/12</f>
        <v>27.166081134800823</v>
      </c>
      <c r="CN58" s="22">
        <f t="shared" si="12"/>
        <v>177.47978208726673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-3.4106051316484809E-13</v>
      </c>
      <c r="O59" s="13">
        <f>N59*VLOOKUP('Données projet'!$B$9,Paramètres!$A$1:$I$89,3,0)*VLOOKUP('Données projet'!$B$9,Paramètres!$A$1:$I$89,5,0)</f>
        <v>-1.5961632016114892E-13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263.37813242097957</v>
      </c>
      <c r="T59" s="59">
        <f t="shared" si="34"/>
        <v>314.89350816766904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108.25225866192372</v>
      </c>
      <c r="AA59" s="21">
        <f>EXP(-LN(2)/25)*AA58+(1-EXP(-LN(2)/25))/(LN(2)/25)*Calculateur!V59*Calculateur!X59*VLOOKUP('Données projet'!$B$9,Paramètres!$A$1:$I$89,3,0)*0.475*44/12</f>
        <v>50.106542520013875</v>
      </c>
      <c r="AB59" s="21">
        <f>EXP(-LN(2)/2)*AB58+(1-EXP(-LN(2)/2))/(LN(2)/2)*V59*Y59*VLOOKUP('Données projet'!$B$9,Paramètres!$A$1:$I$89,3,0)*0.475*44/12</f>
        <v>7.8920484095463213</v>
      </c>
      <c r="AC59" s="22">
        <f t="shared" si="3"/>
        <v>166.25084959148393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22.6</v>
      </c>
      <c r="AI59" s="13">
        <f>IF('Données projet'!$A$62&gt;35,AI58+AH59-AQ58,IF(A59&lt;'Données projet'!$A$62,$AF$205^A59,IF(A59='Données projet'!$A$62,'Données projet'!$B$62,AI58+AH59-AQ58)))</f>
        <v>653.5999999999998</v>
      </c>
      <c r="AJ59" s="13">
        <f>AI59*VLOOKUP('Données projet'!$B$10,Paramètres!$A$1:$I$89,3,0)*VLOOKUP('Données projet'!$B$10,Paramètres!$A$1:$I$89,5,0)</f>
        <v>263.40079999999989</v>
      </c>
      <c r="AK59" s="13">
        <f t="shared" si="35"/>
        <v>63.446741909918146</v>
      </c>
      <c r="AL59" s="20">
        <f t="shared" si="4"/>
        <v>569.25946882644064</v>
      </c>
      <c r="AM59" s="59">
        <f t="shared" si="5"/>
        <v>862.59280215977401</v>
      </c>
      <c r="AN59" s="59">
        <f ca="1">AVERAGE(OFFSET($AM$3,0,0,'Données projet'!$E$10+1,1))-AVERAGE(OFFSET($H$3,0,0,'Données projet'!$E$10+1,1))</f>
        <v>344.29957955721721</v>
      </c>
      <c r="AO59" s="59">
        <f t="shared" si="36"/>
        <v>297.12790038882594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56.087030727389916</v>
      </c>
      <c r="AV59" s="21">
        <f>EXP(-LN(2)/25)*AV58+(1-EXP(-LN(2)/25))/(LN(2)/25)*Calculateur!AQ59*Calculateur!AS59*VLOOKUP('Données projet'!$B$10,Paramètres!$A$1:$I$89,3,0)*0.475*44/12</f>
        <v>27.957601096600005</v>
      </c>
      <c r="AW59" s="21">
        <f>EXP(-LN(2)/2)*AW58+(1-EXP(-LN(2)/2))/(LN(2)/2)*AQ59*AT59*VLOOKUP('Données projet'!$B$10,Paramètres!$A$1:$I$89,3,0)*0.475*44/12</f>
        <v>5.3197620594626223</v>
      </c>
      <c r="AX59" s="21">
        <f t="shared" si="6"/>
        <v>89.364393883452536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2.2737367544323206E-13</v>
      </c>
      <c r="BE59" s="13">
        <f>BD59*VLOOKUP('Données projet'!$B$11,Paramètres!$A$1:$I$89,3,0)*VLOOKUP('Données projet'!$B$11,Paramètres!$A$1:$I$89,5,0)</f>
        <v>1.064108801074326E-13</v>
      </c>
      <c r="BF59" s="13">
        <f t="shared" si="37"/>
        <v>1.5870730813698654E-12</v>
      </c>
      <c r="BG59" s="20">
        <f t="shared" si="7"/>
        <v>2.9494845662396269E-12</v>
      </c>
      <c r="BH59" s="59">
        <f t="shared" si="8"/>
        <v>293.33333333333627</v>
      </c>
      <c r="BI59" s="59">
        <f ca="1">AVERAGE(OFFSET($BH$3,0,0,'Données projet'!$E$11+1,1))-AVERAGE(OFFSET($H$3,0,0,'Données projet'!$E$11+1,1))</f>
        <v>234.83702199169585</v>
      </c>
      <c r="BJ59" s="59">
        <f t="shared" si="38"/>
        <v>248.83008816685089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104.44063185888555</v>
      </c>
      <c r="BQ59" s="21">
        <f>EXP(-LN(2)/25)*BQ58+(1-EXP(-LN(2)/25))/(LN(2)/25)*Calculateur!BL59*Calculateur!BN59*VLOOKUP('Données projet'!$B$11,Paramètres!$A$1:$I$89,3,0)*0.475*44/12</f>
        <v>51.187008103538659</v>
      </c>
      <c r="BR59" s="21">
        <f>EXP(-LN(2)/2)*BR58+(1-EXP(-LN(2)/2))/(LN(2)/2)*BL59*BO59*VLOOKUP('Données projet'!$B$11,Paramètres!$A$1:$I$89,3,0)*0.475*44/12</f>
        <v>20.339280199780514</v>
      </c>
      <c r="BS59" s="22">
        <f t="shared" si="9"/>
        <v>175.96692016220473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2.2737367544323206E-13</v>
      </c>
      <c r="BZ59" s="13">
        <f>BY59*VLOOKUP('Données projet'!$B$12,Paramètres!$A$1:$I$89,3,0)*VLOOKUP('Données projet'!$B$12,Paramètres!$A$1:$I$89,5,0)</f>
        <v>1.0049916454590858E-13</v>
      </c>
      <c r="CA59" s="13">
        <f t="shared" si="39"/>
        <v>1.5089081593838289E-12</v>
      </c>
      <c r="CB59" s="20">
        <f t="shared" si="10"/>
        <v>2.8030510891776262E-12</v>
      </c>
      <c r="CC59" s="59">
        <f t="shared" si="11"/>
        <v>293.3333333333361</v>
      </c>
      <c r="CD59" s="59">
        <f ca="1">AVERAGE(OFFSET($CC$3,0,0,'Données projet'!$E$12+1,1))-AVERAGE(OFFSET($H$3,0,0,'Données projet'!$E$12+1,1))</f>
        <v>220.26537310502334</v>
      </c>
      <c r="CE59" s="59">
        <f t="shared" si="40"/>
        <v>233.26853625122016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98.638374533391925</v>
      </c>
      <c r="CL59" s="21">
        <f>EXP(-LN(2)/25)*CL58+(1-EXP(-LN(2)/25))/(LN(2)/25)*Calculateur!CG59*Calculateur!CI59*VLOOKUP('Données projet'!$B$12,Paramètres!$A$1:$I$89,3,0)*0.475*44/12</f>
        <v>48.343285431119853</v>
      </c>
      <c r="CM59" s="21">
        <f>EXP(-LN(2)/2)*CM58+(1-EXP(-LN(2)/2))/(LN(2)/2)*CG59*CJ59*VLOOKUP('Données projet'!$B$12,Paramètres!$A$1:$I$89,3,0)*0.475*44/12</f>
        <v>19.209320188681602</v>
      </c>
      <c r="CN59" s="22">
        <f t="shared" si="12"/>
        <v>166.19098015319338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-3.4106051316484809E-13</v>
      </c>
      <c r="O60" s="13">
        <f>N60*VLOOKUP('Données projet'!$B$9,Paramètres!$A$1:$I$89,3,0)*VLOOKUP('Données projet'!$B$9,Paramètres!$A$1:$I$89,5,0)</f>
        <v>-1.5961632016114892E-13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263.37813242097957</v>
      </c>
      <c r="T60" s="59">
        <f t="shared" si="34"/>
        <v>314.89350816766904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106.12949789692152</v>
      </c>
      <c r="AA60" s="21">
        <f>EXP(-LN(2)/25)*AA59+(1-EXP(-LN(2)/25))/(LN(2)/25)*Calculateur!V60*Calculateur!X60*VLOOKUP('Données projet'!$B$9,Paramètres!$A$1:$I$89,3,0)*0.475*44/12</f>
        <v>48.736376479815547</v>
      </c>
      <c r="AB60" s="21">
        <f>EXP(-LN(2)/2)*AB59+(1-EXP(-LN(2)/2))/(LN(2)/2)*V60*Y60*VLOOKUP('Données projet'!$B$9,Paramètres!$A$1:$I$89,3,0)*0.475*44/12</f>
        <v>5.5805209478427118</v>
      </c>
      <c r="AC60" s="22">
        <f t="shared" si="3"/>
        <v>160.44639532457975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22.6</v>
      </c>
      <c r="AI60" s="13">
        <f>IF('Données projet'!$A$62&gt;35,AI59+AH60-AQ59,IF(A60&lt;'Données projet'!$A$62,$AF$205^A60,IF(A60='Données projet'!$A$62,'Données projet'!$B$62,AI59+AH60-AQ59)))</f>
        <v>676.19999999999982</v>
      </c>
      <c r="AJ60" s="13">
        <f>AI60*VLOOKUP('Données projet'!$B$10,Paramètres!$A$1:$I$89,3,0)*VLOOKUP('Données projet'!$B$10,Paramètres!$A$1:$I$89,5,0)</f>
        <v>272.50859999999994</v>
      </c>
      <c r="AK60" s="13">
        <f t="shared" si="35"/>
        <v>65.381370626128188</v>
      </c>
      <c r="AL60" s="20">
        <f t="shared" si="4"/>
        <v>588.4916988405065</v>
      </c>
      <c r="AM60" s="59">
        <f t="shared" si="5"/>
        <v>881.82503217383987</v>
      </c>
      <c r="AN60" s="59">
        <f ca="1">AVERAGE(OFFSET($AM$3,0,0,'Données projet'!$E$10+1,1))-AVERAGE(OFFSET($H$3,0,0,'Données projet'!$E$10+1,1))</f>
        <v>344.29957955721721</v>
      </c>
      <c r="AO60" s="59">
        <f t="shared" si="36"/>
        <v>297.12790038882594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54.987198264536616</v>
      </c>
      <c r="AV60" s="21">
        <f>EXP(-LN(2)/25)*AV59+(1-EXP(-LN(2)/25))/(LN(2)/25)*Calculateur!AQ60*Calculateur!AS60*VLOOKUP('Données projet'!$B$10,Paramètres!$A$1:$I$89,3,0)*0.475*44/12</f>
        <v>27.193099024387134</v>
      </c>
      <c r="AW60" s="21">
        <f>EXP(-LN(2)/2)*AW59+(1-EXP(-LN(2)/2))/(LN(2)/2)*AQ60*AT60*VLOOKUP('Données projet'!$B$10,Paramètres!$A$1:$I$89,3,0)*0.475*44/12</f>
        <v>3.761639826544934</v>
      </c>
      <c r="AX60" s="21">
        <f t="shared" si="6"/>
        <v>85.94193711546869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2.2737367544323206E-13</v>
      </c>
      <c r="BE60" s="13">
        <f>BD60*VLOOKUP('Données projet'!$B$11,Paramètres!$A$1:$I$89,3,0)*VLOOKUP('Données projet'!$B$11,Paramètres!$A$1:$I$89,5,0)</f>
        <v>1.064108801074326E-13</v>
      </c>
      <c r="BF60" s="13">
        <f t="shared" si="37"/>
        <v>1.5870730813698654E-12</v>
      </c>
      <c r="BG60" s="20">
        <f t="shared" si="7"/>
        <v>2.9494845662396269E-12</v>
      </c>
      <c r="BH60" s="59">
        <f t="shared" si="8"/>
        <v>293.33333333333627</v>
      </c>
      <c r="BI60" s="59">
        <f ca="1">AVERAGE(OFFSET($BH$3,0,0,'Données projet'!$E$11+1,1))-AVERAGE(OFFSET($H$3,0,0,'Données projet'!$E$11+1,1))</f>
        <v>234.83702199169585</v>
      </c>
      <c r="BJ60" s="59">
        <f t="shared" si="38"/>
        <v>248.83008816685089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102.39261477062814</v>
      </c>
      <c r="BQ60" s="21">
        <f>EXP(-LN(2)/25)*BQ59+(1-EXP(-LN(2)/25))/(LN(2)/25)*Calculateur!BL60*Calculateur!BN60*VLOOKUP('Données projet'!$B$11,Paramètres!$A$1:$I$89,3,0)*0.475*44/12</f>
        <v>49.787296675139629</v>
      </c>
      <c r="BR60" s="21">
        <f>EXP(-LN(2)/2)*BR59+(1-EXP(-LN(2)/2))/(LN(2)/2)*BL60*BO60*VLOOKUP('Données projet'!$B$11,Paramètres!$A$1:$I$89,3,0)*0.475*44/12</f>
        <v>14.382042953718079</v>
      </c>
      <c r="BS60" s="22">
        <f t="shared" si="9"/>
        <v>166.56195439948584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2.2737367544323206E-13</v>
      </c>
      <c r="BZ60" s="13">
        <f>BY60*VLOOKUP('Données projet'!$B$12,Paramètres!$A$1:$I$89,3,0)*VLOOKUP('Données projet'!$B$12,Paramètres!$A$1:$I$89,5,0)</f>
        <v>1.0049916454590858E-13</v>
      </c>
      <c r="CA60" s="13">
        <f t="shared" si="39"/>
        <v>1.5089081593838289E-12</v>
      </c>
      <c r="CB60" s="20">
        <f t="shared" si="10"/>
        <v>2.8030510891776262E-12</v>
      </c>
      <c r="CC60" s="59">
        <f t="shared" si="11"/>
        <v>293.3333333333361</v>
      </c>
      <c r="CD60" s="59">
        <f ca="1">AVERAGE(OFFSET($CC$3,0,0,'Données projet'!$E$12+1,1))-AVERAGE(OFFSET($H$3,0,0,'Données projet'!$E$12+1,1))</f>
        <v>220.26537310502334</v>
      </c>
      <c r="CE60" s="59">
        <f t="shared" si="40"/>
        <v>233.26853625122016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96.704136172259922</v>
      </c>
      <c r="CL60" s="21">
        <f>EXP(-LN(2)/25)*CL59+(1-EXP(-LN(2)/25))/(LN(2)/25)*Calculateur!CG60*Calculateur!CI60*VLOOKUP('Données projet'!$B$12,Paramètres!$A$1:$I$89,3,0)*0.475*44/12</f>
        <v>47.021335748742992</v>
      </c>
      <c r="CM60" s="21">
        <f>EXP(-LN(2)/2)*CM59+(1-EXP(-LN(2)/2))/(LN(2)/2)*CG60*CJ60*VLOOKUP('Données projet'!$B$12,Paramètres!$A$1:$I$89,3,0)*0.475*44/12</f>
        <v>13.583040567400412</v>
      </c>
      <c r="CN60" s="22">
        <f t="shared" si="12"/>
        <v>157.30851248840332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-3.4106051316484809E-13</v>
      </c>
      <c r="O61" s="13">
        <f>N61*VLOOKUP('Données projet'!$B$9,Paramètres!$A$1:$I$89,3,0)*VLOOKUP('Données projet'!$B$9,Paramètres!$A$1:$I$89,5,0)</f>
        <v>-1.5961632016114892E-13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263.37813242097957</v>
      </c>
      <c r="T61" s="59">
        <f t="shared" si="34"/>
        <v>314.89350816766904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104.04836317576479</v>
      </c>
      <c r="AA61" s="21">
        <f>EXP(-LN(2)/25)*AA60+(1-EXP(-LN(2)/25))/(LN(2)/25)*Calculateur!V61*Calculateur!X61*VLOOKUP('Données projet'!$B$9,Paramètres!$A$1:$I$89,3,0)*0.475*44/12</f>
        <v>47.403677702040341</v>
      </c>
      <c r="AB61" s="21">
        <f>EXP(-LN(2)/2)*AB60+(1-EXP(-LN(2)/2))/(LN(2)/2)*V61*Y61*VLOOKUP('Données projet'!$B$9,Paramètres!$A$1:$I$89,3,0)*0.475*44/12</f>
        <v>3.9460242047731615</v>
      </c>
      <c r="AC61" s="22">
        <f t="shared" si="3"/>
        <v>155.39806508257828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22.6</v>
      </c>
      <c r="AI61" s="13">
        <f>IF('Données projet'!$A$62&gt;35,AI60+AH61-AQ60,IF(A61&lt;'Données projet'!$A$62,$AF$205^A61,IF(A61='Données projet'!$A$62,'Données projet'!$B$62,AI60+AH61-AQ60)))</f>
        <v>698.79999999999984</v>
      </c>
      <c r="AJ61" s="13">
        <f>AI61*VLOOKUP('Données projet'!$B$10,Paramètres!$A$1:$I$89,3,0)*VLOOKUP('Données projet'!$B$10,Paramètres!$A$1:$I$89,5,0)</f>
        <v>281.61639999999994</v>
      </c>
      <c r="AK61" s="13">
        <f t="shared" si="35"/>
        <v>67.308486144805372</v>
      </c>
      <c r="AL61" s="20">
        <f t="shared" si="4"/>
        <v>607.71084336886918</v>
      </c>
      <c r="AM61" s="59">
        <f t="shared" si="5"/>
        <v>901.04417670220255</v>
      </c>
      <c r="AN61" s="59">
        <f ca="1">AVERAGE(OFFSET($AM$3,0,0,'Données projet'!$E$10+1,1))-AVERAGE(OFFSET($H$3,0,0,'Données projet'!$E$10+1,1))</f>
        <v>344.29957955721721</v>
      </c>
      <c r="AO61" s="59">
        <f t="shared" si="36"/>
        <v>297.12790038882594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53.908932845448305</v>
      </c>
      <c r="AV61" s="21">
        <f>EXP(-LN(2)/25)*AV60+(1-EXP(-LN(2)/25))/(LN(2)/25)*Calculateur!AQ61*Calculateur!AS61*VLOOKUP('Données projet'!$B$10,Paramètres!$A$1:$I$89,3,0)*0.475*44/12</f>
        <v>26.449502301542342</v>
      </c>
      <c r="AW61" s="21">
        <f>EXP(-LN(2)/2)*AW60+(1-EXP(-LN(2)/2))/(LN(2)/2)*AQ61*AT61*VLOOKUP('Données projet'!$B$10,Paramètres!$A$1:$I$89,3,0)*0.475*44/12</f>
        <v>2.6598810297313116</v>
      </c>
      <c r="AX61" s="21">
        <f t="shared" si="6"/>
        <v>83.018316176721953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2.2737367544323206E-13</v>
      </c>
      <c r="BE61" s="13">
        <f>BD61*VLOOKUP('Données projet'!$B$11,Paramètres!$A$1:$I$89,3,0)*VLOOKUP('Données projet'!$B$11,Paramètres!$A$1:$I$89,5,0)</f>
        <v>1.064108801074326E-13</v>
      </c>
      <c r="BF61" s="13">
        <f t="shared" si="37"/>
        <v>1.5870730813698654E-12</v>
      </c>
      <c r="BG61" s="20">
        <f t="shared" si="7"/>
        <v>2.9494845662396269E-12</v>
      </c>
      <c r="BH61" s="59">
        <f t="shared" si="8"/>
        <v>293.33333333333627</v>
      </c>
      <c r="BI61" s="59">
        <f ca="1">AVERAGE(OFFSET($BH$3,0,0,'Données projet'!$E$11+1,1))-AVERAGE(OFFSET($H$3,0,0,'Données projet'!$E$11+1,1))</f>
        <v>234.83702199169585</v>
      </c>
      <c r="BJ61" s="59">
        <f t="shared" si="38"/>
        <v>248.83008816685089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100.38475804830438</v>
      </c>
      <c r="BQ61" s="21">
        <f>EXP(-LN(2)/25)*BQ60+(1-EXP(-LN(2)/25))/(LN(2)/25)*Calculateur!BL61*Calculateur!BN61*VLOOKUP('Données projet'!$B$11,Paramètres!$A$1:$I$89,3,0)*0.475*44/12</f>
        <v>48.425860429357797</v>
      </c>
      <c r="BR61" s="21">
        <f>EXP(-LN(2)/2)*BR60+(1-EXP(-LN(2)/2))/(LN(2)/2)*BL61*BO61*VLOOKUP('Données projet'!$B$11,Paramètres!$A$1:$I$89,3,0)*0.475*44/12</f>
        <v>10.169640099890257</v>
      </c>
      <c r="BS61" s="22">
        <f t="shared" si="9"/>
        <v>158.98025857755241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2.2737367544323206E-13</v>
      </c>
      <c r="BZ61" s="13">
        <f>BY61*VLOOKUP('Données projet'!$B$12,Paramètres!$A$1:$I$89,3,0)*VLOOKUP('Données projet'!$B$12,Paramètres!$A$1:$I$89,5,0)</f>
        <v>1.0049916454590858E-13</v>
      </c>
      <c r="CA61" s="13">
        <f t="shared" si="39"/>
        <v>1.5089081593838289E-12</v>
      </c>
      <c r="CB61" s="20">
        <f t="shared" si="10"/>
        <v>2.8030510891776262E-12</v>
      </c>
      <c r="CC61" s="59">
        <f t="shared" si="11"/>
        <v>293.3333333333361</v>
      </c>
      <c r="CD61" s="59">
        <f ca="1">AVERAGE(OFFSET($CC$3,0,0,'Données projet'!$E$12+1,1))-AVERAGE(OFFSET($H$3,0,0,'Données projet'!$E$12+1,1))</f>
        <v>220.26537310502334</v>
      </c>
      <c r="CE61" s="59">
        <f t="shared" si="40"/>
        <v>233.26853625122016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94.807827045620812</v>
      </c>
      <c r="CL61" s="21">
        <f>EXP(-LN(2)/25)*CL60+(1-EXP(-LN(2)/25))/(LN(2)/25)*Calculateur!CG61*Calculateur!CI61*VLOOKUP('Données projet'!$B$12,Paramètres!$A$1:$I$89,3,0)*0.475*44/12</f>
        <v>45.735534849949033</v>
      </c>
      <c r="CM61" s="21">
        <f>EXP(-LN(2)/2)*CM60+(1-EXP(-LN(2)/2))/(LN(2)/2)*CG61*CJ61*VLOOKUP('Données projet'!$B$12,Paramètres!$A$1:$I$89,3,0)*0.475*44/12</f>
        <v>9.6046600943408009</v>
      </c>
      <c r="CN61" s="22">
        <f t="shared" si="12"/>
        <v>150.14802198991063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-3.4106051316484809E-13</v>
      </c>
      <c r="O62" s="13">
        <f>N62*VLOOKUP('Données projet'!$B$9,Paramètres!$A$1:$I$89,3,0)*VLOOKUP('Données projet'!$B$9,Paramètres!$A$1:$I$89,5,0)</f>
        <v>-1.5961632016114892E-13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263.37813242097957</v>
      </c>
      <c r="T62" s="59">
        <f t="shared" si="34"/>
        <v>314.89350816766904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102.0080382371231</v>
      </c>
      <c r="AA62" s="21">
        <f>EXP(-LN(2)/25)*AA61+(1-EXP(-LN(2)/25))/(LN(2)/25)*Calculateur!V62*Calculateur!X62*VLOOKUP('Données projet'!$B$9,Paramètres!$A$1:$I$89,3,0)*0.475*44/12</f>
        <v>46.107421642426978</v>
      </c>
      <c r="AB62" s="21">
        <f>EXP(-LN(2)/2)*AB61+(1-EXP(-LN(2)/2))/(LN(2)/2)*V62*Y62*VLOOKUP('Données projet'!$B$9,Paramètres!$A$1:$I$89,3,0)*0.475*44/12</f>
        <v>2.7902604739213563</v>
      </c>
      <c r="AC62" s="22">
        <f t="shared" si="3"/>
        <v>150.90572035347145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22.6</v>
      </c>
      <c r="AI62" s="13">
        <f>IF('Données projet'!$A$62&gt;35,AI61+AH62-AQ61,IF(A62&lt;'Données projet'!$A$62,$AF$205^A62,IF(A62='Données projet'!$A$62,'Données projet'!$B$62,AI61+AH62-AQ61)))</f>
        <v>721.39999999999986</v>
      </c>
      <c r="AJ62" s="13">
        <f>AI62*VLOOKUP('Données projet'!$B$10,Paramètres!$A$1:$I$89,3,0)*VLOOKUP('Données projet'!$B$10,Paramètres!$A$1:$I$89,5,0)</f>
        <v>290.72419999999994</v>
      </c>
      <c r="AK62" s="13">
        <f t="shared" si="35"/>
        <v>69.228359320857905</v>
      </c>
      <c r="AL62" s="20">
        <f t="shared" si="4"/>
        <v>626.91737415049408</v>
      </c>
      <c r="AM62" s="59">
        <f t="shared" si="5"/>
        <v>920.25070748382745</v>
      </c>
      <c r="AN62" s="59">
        <f ca="1">AVERAGE(OFFSET($AM$3,0,0,'Données projet'!$E$10+1,1))-AVERAGE(OFFSET($H$3,0,0,'Données projet'!$E$10+1,1))</f>
        <v>344.29957955721721</v>
      </c>
      <c r="AO62" s="59">
        <f t="shared" si="36"/>
        <v>297.12790038882594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52.85181155355135</v>
      </c>
      <c r="AV62" s="21">
        <f>EXP(-LN(2)/25)*AV61+(1-EXP(-LN(2)/25))/(LN(2)/25)*Calculateur!AQ62*Calculateur!AS62*VLOOKUP('Données projet'!$B$10,Paramètres!$A$1:$I$89,3,0)*0.475*44/12</f>
        <v>25.726239270187794</v>
      </c>
      <c r="AW62" s="21">
        <f>EXP(-LN(2)/2)*AW61+(1-EXP(-LN(2)/2))/(LN(2)/2)*AQ62*AT62*VLOOKUP('Données projet'!$B$10,Paramètres!$A$1:$I$89,3,0)*0.475*44/12</f>
        <v>1.8808199132724674</v>
      </c>
      <c r="AX62" s="21">
        <f t="shared" si="6"/>
        <v>80.458870737011608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2.2737367544323206E-13</v>
      </c>
      <c r="BE62" s="13">
        <f>BD62*VLOOKUP('Données projet'!$B$11,Paramètres!$A$1:$I$89,3,0)*VLOOKUP('Données projet'!$B$11,Paramètres!$A$1:$I$89,5,0)</f>
        <v>1.064108801074326E-13</v>
      </c>
      <c r="BF62" s="13">
        <f t="shared" si="37"/>
        <v>1.5870730813698654E-12</v>
      </c>
      <c r="BG62" s="20">
        <f t="shared" si="7"/>
        <v>2.9494845662396269E-12</v>
      </c>
      <c r="BH62" s="59">
        <f t="shared" si="8"/>
        <v>293.33333333333627</v>
      </c>
      <c r="BI62" s="59">
        <f ca="1">AVERAGE(OFFSET($BH$3,0,0,'Données projet'!$E$11+1,1))-AVERAGE(OFFSET($H$3,0,0,'Données projet'!$E$11+1,1))</f>
        <v>234.83702199169585</v>
      </c>
      <c r="BJ62" s="59">
        <f t="shared" si="38"/>
        <v>248.83008816685089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98.416274171633717</v>
      </c>
      <c r="BQ62" s="21">
        <f>EXP(-LN(2)/25)*BQ61+(1-EXP(-LN(2)/25))/(LN(2)/25)*Calculateur!BL62*Calculateur!BN62*VLOOKUP('Données projet'!$B$11,Paramètres!$A$1:$I$89,3,0)*0.475*44/12</f>
        <v>47.101652729311688</v>
      </c>
      <c r="BR62" s="21">
        <f>EXP(-LN(2)/2)*BR61+(1-EXP(-LN(2)/2))/(LN(2)/2)*BL62*BO62*VLOOKUP('Données projet'!$B$11,Paramètres!$A$1:$I$89,3,0)*0.475*44/12</f>
        <v>7.1910214768590395</v>
      </c>
      <c r="BS62" s="22">
        <f t="shared" si="9"/>
        <v>152.70894837780446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2.2737367544323206E-13</v>
      </c>
      <c r="BZ62" s="13">
        <f>BY62*VLOOKUP('Données projet'!$B$12,Paramètres!$A$1:$I$89,3,0)*VLOOKUP('Données projet'!$B$12,Paramètres!$A$1:$I$89,5,0)</f>
        <v>1.0049916454590858E-13</v>
      </c>
      <c r="CA62" s="13">
        <f t="shared" si="39"/>
        <v>1.5089081593838289E-12</v>
      </c>
      <c r="CB62" s="20">
        <f t="shared" si="10"/>
        <v>2.8030510891776262E-12</v>
      </c>
      <c r="CC62" s="59">
        <f t="shared" si="11"/>
        <v>293.3333333333361</v>
      </c>
      <c r="CD62" s="59">
        <f ca="1">AVERAGE(OFFSET($CC$3,0,0,'Données projet'!$E$12+1,1))-AVERAGE(OFFSET($H$3,0,0,'Données projet'!$E$12+1,1))</f>
        <v>220.26537310502334</v>
      </c>
      <c r="CE62" s="59">
        <f t="shared" si="40"/>
        <v>233.26853625122016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92.948703384320737</v>
      </c>
      <c r="CL62" s="21">
        <f>EXP(-LN(2)/25)*CL61+(1-EXP(-LN(2)/25))/(LN(2)/25)*Calculateur!CG62*Calculateur!CI62*VLOOKUP('Données projet'!$B$12,Paramètres!$A$1:$I$89,3,0)*0.475*44/12</f>
        <v>44.484894244349931</v>
      </c>
      <c r="CM62" s="21">
        <f>EXP(-LN(2)/2)*CM61+(1-EXP(-LN(2)/2))/(LN(2)/2)*CG62*CJ62*VLOOKUP('Données projet'!$B$12,Paramètres!$A$1:$I$89,3,0)*0.475*44/12</f>
        <v>6.7915202837002058</v>
      </c>
      <c r="CN62" s="22">
        <f t="shared" si="12"/>
        <v>144.22511791237088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-3.4106051316484809E-13</v>
      </c>
      <c r="O63" s="13">
        <f>N63*VLOOKUP('Données projet'!$B$9,Paramètres!$A$1:$I$89,3,0)*VLOOKUP('Données projet'!$B$9,Paramètres!$A$1:$I$89,5,0)</f>
        <v>-1.5961632016114892E-13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263.37813242097957</v>
      </c>
      <c r="T63" s="59">
        <f t="shared" si="34"/>
        <v>314.89350816766904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100.00772282605286</v>
      </c>
      <c r="AA63" s="21">
        <f>EXP(-LN(2)/25)*AA62+(1-EXP(-LN(2)/25))/(LN(2)/25)*Calculateur!V63*Calculateur!X63*VLOOKUP('Données projet'!$B$9,Paramètres!$A$1:$I$89,3,0)*0.475*44/12</f>
        <v>44.846611772930885</v>
      </c>
      <c r="AB63" s="21">
        <f>EXP(-LN(2)/2)*AB62+(1-EXP(-LN(2)/2))/(LN(2)/2)*V63*Y63*VLOOKUP('Données projet'!$B$9,Paramètres!$A$1:$I$89,3,0)*0.475*44/12</f>
        <v>1.973012102386581</v>
      </c>
      <c r="AC63" s="22">
        <f t="shared" si="3"/>
        <v>146.82734670137032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744</v>
      </c>
      <c r="AG63" s="12">
        <f>VLOOKUP(A63,'Données projet'!$A$61:$I$81,9,0)</f>
        <v>22.6</v>
      </c>
      <c r="AH63" s="12">
        <f t="array" ref="AH63">INDEX(AG:AG,MIN(IF(ISNUMBER(AG63:AG259),ROW(AG63:AG259),"")))</f>
        <v>22.6</v>
      </c>
      <c r="AI63" s="13">
        <f>IF('Données projet'!$A$62&gt;35,AI62+AH63-AQ62,IF(A63&lt;'Données projet'!$A$62,$AF$205^A63,IF(A63='Données projet'!$A$62,'Données projet'!$B$62,AI62+AH63-AQ62)))</f>
        <v>743.99999999999989</v>
      </c>
      <c r="AJ63" s="13">
        <f>AI63*VLOOKUP('Données projet'!$B$10,Paramètres!$A$1:$I$89,3,0)*VLOOKUP('Données projet'!$B$10,Paramètres!$A$1:$I$89,5,0)</f>
        <v>299.83199999999994</v>
      </c>
      <c r="AK63" s="13">
        <f t="shared" si="35"/>
        <v>71.141243074631888</v>
      </c>
      <c r="AL63" s="20">
        <f t="shared" si="4"/>
        <v>646.11173168831704</v>
      </c>
      <c r="AM63" s="59">
        <f t="shared" si="5"/>
        <v>939.44506502165041</v>
      </c>
      <c r="AN63" s="59">
        <f ca="1">AVERAGE(OFFSET($AM$3,0,0,'Données projet'!$E$10+1,1))-AVERAGE(OFFSET($H$3,0,0,'Données projet'!$E$10+1,1))</f>
        <v>344.29957955721721</v>
      </c>
      <c r="AO63" s="59">
        <f t="shared" si="36"/>
        <v>297.12790038882594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60</v>
      </c>
      <c r="AR63" s="16">
        <f>IF(ISNA(VLOOKUP(A63,'Données projet'!$A$61:$I$81,5,0)),0%,VLOOKUP(A63,'Données projet'!$A$61:$I$81,5,0)*VLOOKUP('Données projet'!$B$10,Paramètres!$A$1:$I$89,7,0))</f>
        <v>0.33</v>
      </c>
      <c r="AS63" s="16">
        <f>IF(ISNA(VLOOKUP(A63,'Données projet'!$A$61:$I$81,6,0)),0%,VLOOKUP(A63,'Données projet'!$A$61:$I$81,6,0)*VLOOKUP('Données projet'!$B$10,Paramètres!$A$1:$I$89,7,0))</f>
        <v>0.11000000000000001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62.400608181142438</v>
      </c>
      <c r="AV63" s="21">
        <f>EXP(-LN(2)/25)*AV62+(1-EXP(-LN(2)/25))/(LN(2)/25)*Calculateur!AQ63*Calculateur!AS63*VLOOKUP('Données projet'!$B$10,Paramètres!$A$1:$I$89,3,0)*0.475*44/12</f>
        <v>28.537257403016561</v>
      </c>
      <c r="AW63" s="21">
        <f>EXP(-LN(2)/2)*AW62+(1-EXP(-LN(2)/2))/(LN(2)/2)*AQ63*AT63*VLOOKUP('Données projet'!$B$10,Paramètres!$A$1:$I$89,3,0)*0.475*44/12</f>
        <v>6.8054159057036454</v>
      </c>
      <c r="AX63" s="21">
        <f t="shared" si="6"/>
        <v>97.743281489862639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2.2737367544323206E-13</v>
      </c>
      <c r="BE63" s="13">
        <f>BD63*VLOOKUP('Données projet'!$B$11,Paramètres!$A$1:$I$89,3,0)*VLOOKUP('Données projet'!$B$11,Paramètres!$A$1:$I$89,5,0)</f>
        <v>1.064108801074326E-13</v>
      </c>
      <c r="BF63" s="13">
        <f t="shared" si="37"/>
        <v>1.5870730813698654E-12</v>
      </c>
      <c r="BG63" s="20">
        <f t="shared" si="7"/>
        <v>2.9494845662396269E-12</v>
      </c>
      <c r="BH63" s="59">
        <f t="shared" si="8"/>
        <v>293.33333333333627</v>
      </c>
      <c r="BI63" s="59">
        <f ca="1">AVERAGE(OFFSET($BH$3,0,0,'Données projet'!$E$11+1,1))-AVERAGE(OFFSET($H$3,0,0,'Données projet'!$E$11+1,1))</f>
        <v>234.83702199169585</v>
      </c>
      <c r="BJ63" s="59">
        <f t="shared" si="38"/>
        <v>248.83008816685089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96.486391063127954</v>
      </c>
      <c r="BQ63" s="21">
        <f>EXP(-LN(2)/25)*BQ62+(1-EXP(-LN(2)/25))/(LN(2)/25)*Calculateur!BL63*Calculateur!BN63*VLOOKUP('Données projet'!$B$11,Paramètres!$A$1:$I$89,3,0)*0.475*44/12</f>
        <v>45.813655558460397</v>
      </c>
      <c r="BR63" s="21">
        <f>EXP(-LN(2)/2)*BR62+(1-EXP(-LN(2)/2))/(LN(2)/2)*BL63*BO63*VLOOKUP('Données projet'!$B$11,Paramètres!$A$1:$I$89,3,0)*0.475*44/12</f>
        <v>5.0848200499451286</v>
      </c>
      <c r="BS63" s="22">
        <f t="shared" si="9"/>
        <v>147.3848666715335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2.2737367544323206E-13</v>
      </c>
      <c r="BZ63" s="13">
        <f>BY63*VLOOKUP('Données projet'!$B$12,Paramètres!$A$1:$I$89,3,0)*VLOOKUP('Données projet'!$B$12,Paramètres!$A$1:$I$89,5,0)</f>
        <v>1.0049916454590858E-13</v>
      </c>
      <c r="CA63" s="13">
        <f t="shared" si="39"/>
        <v>1.5089081593838289E-12</v>
      </c>
      <c r="CB63" s="20">
        <f t="shared" si="10"/>
        <v>2.8030510891776262E-12</v>
      </c>
      <c r="CC63" s="59">
        <f t="shared" si="11"/>
        <v>293.3333333333361</v>
      </c>
      <c r="CD63" s="59">
        <f ca="1">AVERAGE(OFFSET($CC$3,0,0,'Données projet'!$E$12+1,1))-AVERAGE(OFFSET($H$3,0,0,'Données projet'!$E$12+1,1))</f>
        <v>220.26537310502334</v>
      </c>
      <c r="CE63" s="59">
        <f t="shared" si="40"/>
        <v>233.26853625122016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91.126036004065298</v>
      </c>
      <c r="CL63" s="21">
        <f>EXP(-LN(2)/25)*CL62+(1-EXP(-LN(2)/25))/(LN(2)/25)*Calculateur!CG63*Calculateur!CI63*VLOOKUP('Données projet'!$B$12,Paramètres!$A$1:$I$89,3,0)*0.475*44/12</f>
        <v>43.268452471879264</v>
      </c>
      <c r="CM63" s="21">
        <f>EXP(-LN(2)/2)*CM62+(1-EXP(-LN(2)/2))/(LN(2)/2)*CG63*CJ63*VLOOKUP('Données projet'!$B$12,Paramètres!$A$1:$I$89,3,0)*0.475*44/12</f>
        <v>4.8023300471704005</v>
      </c>
      <c r="CN63" s="22">
        <f t="shared" si="12"/>
        <v>139.19681852311498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-3.4106051316484809E-13</v>
      </c>
      <c r="O64" s="13">
        <f>N64*VLOOKUP('Données projet'!$B$9,Paramètres!$A$1:$I$89,3,0)*VLOOKUP('Données projet'!$B$9,Paramètres!$A$1:$I$89,5,0)</f>
        <v>-1.5961632016114892E-13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263.37813242097957</v>
      </c>
      <c r="T64" s="59">
        <f t="shared" si="34"/>
        <v>314.89350816766904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98.046632380121764</v>
      </c>
      <c r="AA64" s="21">
        <f>EXP(-LN(2)/25)*AA63+(1-EXP(-LN(2)/25))/(LN(2)/25)*Calculateur!V64*Calculateur!X64*VLOOKUP('Données projet'!$B$9,Paramètres!$A$1:$I$89,3,0)*0.475*44/12</f>
        <v>43.620278815619272</v>
      </c>
      <c r="AB64" s="21">
        <f>EXP(-LN(2)/2)*AB63+(1-EXP(-LN(2)/2))/(LN(2)/2)*V64*Y64*VLOOKUP('Données projet'!$B$9,Paramètres!$A$1:$I$89,3,0)*0.475*44/12</f>
        <v>1.3951302369606784</v>
      </c>
      <c r="AC64" s="22">
        <f t="shared" si="3"/>
        <v>143.0620414327017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21.2</v>
      </c>
      <c r="AI64" s="13">
        <f>IF('Données projet'!$A$62&gt;35,AI63+AH64-AQ63,IF(A64&lt;'Données projet'!$A$62,$AF$205^A64,IF(A64='Données projet'!$A$62,'Données projet'!$B$62,AI63+AH64-AQ63)))</f>
        <v>705.19999999999993</v>
      </c>
      <c r="AJ64" s="13">
        <f>AI64*VLOOKUP('Données projet'!$B$10,Paramètres!$A$1:$I$89,3,0)*VLOOKUP('Données projet'!$B$10,Paramètres!$A$1:$I$89,5,0)</f>
        <v>284.19559999999996</v>
      </c>
      <c r="AK64" s="13">
        <f t="shared" si="35"/>
        <v>67.852890812822466</v>
      </c>
      <c r="AL64" s="20">
        <f t="shared" si="4"/>
        <v>613.15112149899903</v>
      </c>
      <c r="AM64" s="59">
        <f t="shared" si="5"/>
        <v>906.4844548323324</v>
      </c>
      <c r="AN64" s="59">
        <f ca="1">AVERAGE(OFFSET($AM$3,0,0,'Données projet'!$E$10+1,1))-AVERAGE(OFFSET($H$3,0,0,'Données projet'!$E$10+1,1))</f>
        <v>344.29957955721721</v>
      </c>
      <c r="AO64" s="59">
        <f t="shared" si="36"/>
        <v>297.12790038882594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61.176970315323054</v>
      </c>
      <c r="AV64" s="21">
        <f>EXP(-LN(2)/25)*AV63+(1-EXP(-LN(2)/25))/(LN(2)/25)*Calculateur!AQ64*Calculateur!AS64*VLOOKUP('Données projet'!$B$10,Paramètres!$A$1:$I$89,3,0)*0.475*44/12</f>
        <v>27.756904598621929</v>
      </c>
      <c r="AW64" s="21">
        <f>EXP(-LN(2)/2)*AW63+(1-EXP(-LN(2)/2))/(LN(2)/2)*AQ64*AT64*VLOOKUP('Données projet'!$B$10,Paramètres!$A$1:$I$89,3,0)*0.475*44/12</f>
        <v>4.8121557357178384</v>
      </c>
      <c r="AX64" s="21">
        <f t="shared" si="6"/>
        <v>93.746030649662814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2.2737367544323206E-13</v>
      </c>
      <c r="BE64" s="13">
        <f>BD64*VLOOKUP('Données projet'!$B$11,Paramètres!$A$1:$I$89,3,0)*VLOOKUP('Données projet'!$B$11,Paramètres!$A$1:$I$89,5,0)</f>
        <v>1.064108801074326E-13</v>
      </c>
      <c r="BF64" s="13">
        <f t="shared" si="37"/>
        <v>1.5870730813698654E-12</v>
      </c>
      <c r="BG64" s="20">
        <f t="shared" si="7"/>
        <v>2.9494845662396269E-12</v>
      </c>
      <c r="BH64" s="59">
        <f t="shared" si="8"/>
        <v>293.33333333333627</v>
      </c>
      <c r="BI64" s="59">
        <f ca="1">AVERAGE(OFFSET($BH$3,0,0,'Données projet'!$E$11+1,1))-AVERAGE(OFFSET($H$3,0,0,'Données projet'!$E$11+1,1))</f>
        <v>234.83702199169585</v>
      </c>
      <c r="BJ64" s="59">
        <f t="shared" si="38"/>
        <v>248.83008816685089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94.59435178526752</v>
      </c>
      <c r="BQ64" s="21">
        <f>EXP(-LN(2)/25)*BQ63+(1-EXP(-LN(2)/25))/(LN(2)/25)*Calculateur!BL64*Calculateur!BN64*VLOOKUP('Données projet'!$B$11,Paramètres!$A$1:$I$89,3,0)*0.475*44/12</f>
        <v>44.560878737978861</v>
      </c>
      <c r="BR64" s="21">
        <f>EXP(-LN(2)/2)*BR63+(1-EXP(-LN(2)/2))/(LN(2)/2)*BL64*BO64*VLOOKUP('Données projet'!$B$11,Paramètres!$A$1:$I$89,3,0)*0.475*44/12</f>
        <v>3.5955107384295197</v>
      </c>
      <c r="BS64" s="22">
        <f t="shared" si="9"/>
        <v>142.7507412616759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2.2737367544323206E-13</v>
      </c>
      <c r="BZ64" s="13">
        <f>BY64*VLOOKUP('Données projet'!$B$12,Paramètres!$A$1:$I$89,3,0)*VLOOKUP('Données projet'!$B$12,Paramètres!$A$1:$I$89,5,0)</f>
        <v>1.0049916454590858E-13</v>
      </c>
      <c r="CA64" s="13">
        <f t="shared" si="39"/>
        <v>1.5089081593838289E-12</v>
      </c>
      <c r="CB64" s="20">
        <f t="shared" si="10"/>
        <v>2.8030510891776262E-12</v>
      </c>
      <c r="CC64" s="59">
        <f t="shared" si="11"/>
        <v>293.3333333333361</v>
      </c>
      <c r="CD64" s="59">
        <f ca="1">AVERAGE(OFFSET($CC$3,0,0,'Données projet'!$E$12+1,1))-AVERAGE(OFFSET($H$3,0,0,'Données projet'!$E$12+1,1))</f>
        <v>220.26537310502334</v>
      </c>
      <c r="CE64" s="59">
        <f t="shared" si="40"/>
        <v>233.26853625122016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89.339110019419337</v>
      </c>
      <c r="CL64" s="21">
        <f>EXP(-LN(2)/25)*CL63+(1-EXP(-LN(2)/25))/(LN(2)/25)*Calculateur!CG64*Calculateur!CI64*VLOOKUP('Données projet'!$B$12,Paramètres!$A$1:$I$89,3,0)*0.475*44/12</f>
        <v>42.085274363646704</v>
      </c>
      <c r="CM64" s="21">
        <f>EXP(-LN(2)/2)*CM63+(1-EXP(-LN(2)/2))/(LN(2)/2)*CG64*CJ64*VLOOKUP('Données projet'!$B$12,Paramètres!$A$1:$I$89,3,0)*0.475*44/12</f>
        <v>3.3957601418501029</v>
      </c>
      <c r="CN64" s="22">
        <f t="shared" si="12"/>
        <v>134.82014452491615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-3.4106051316484809E-13</v>
      </c>
      <c r="O65" s="13">
        <f>N65*VLOOKUP('Données projet'!$B$9,Paramètres!$A$1:$I$89,3,0)*VLOOKUP('Données projet'!$B$9,Paramètres!$A$1:$I$89,5,0)</f>
        <v>-1.5961632016114892E-13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263.37813242097957</v>
      </c>
      <c r="T65" s="59">
        <f t="shared" si="34"/>
        <v>314.89350816766904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96.123997721688312</v>
      </c>
      <c r="AA65" s="21">
        <f>EXP(-LN(2)/25)*AA64+(1-EXP(-LN(2)/25))/(LN(2)/25)*Calculateur!V65*Calculateur!X65*VLOOKUP('Données projet'!$B$9,Paramètres!$A$1:$I$89,3,0)*0.475*44/12</f>
        <v>42.427479997515398</v>
      </c>
      <c r="AB65" s="21">
        <f>EXP(-LN(2)/2)*AB64+(1-EXP(-LN(2)/2))/(LN(2)/2)*V65*Y65*VLOOKUP('Données projet'!$B$9,Paramètres!$A$1:$I$89,3,0)*0.475*44/12</f>
        <v>0.98650605119329071</v>
      </c>
      <c r="AC65" s="22">
        <f t="shared" si="3"/>
        <v>139.53798377039701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21.2</v>
      </c>
      <c r="AI65" s="13">
        <f>IF('Données projet'!$A$62&gt;35,AI64+AH65-AQ64,IF(A65&lt;'Données projet'!$A$62,$AF$205^A65,IF(A65='Données projet'!$A$62,'Données projet'!$B$62,AI64+AH65-AQ64)))</f>
        <v>726.4</v>
      </c>
      <c r="AJ65" s="13">
        <f>AI65*VLOOKUP('Données projet'!$B$10,Paramètres!$A$1:$I$89,3,0)*VLOOKUP('Données projet'!$B$10,Paramètres!$A$1:$I$89,5,0)</f>
        <v>292.73919999999998</v>
      </c>
      <c r="AK65" s="13">
        <f t="shared" si="35"/>
        <v>69.652157260546957</v>
      </c>
      <c r="AL65" s="20">
        <f t="shared" si="4"/>
        <v>631.16494722878588</v>
      </c>
      <c r="AM65" s="59">
        <f t="shared" si="5"/>
        <v>924.49828056211913</v>
      </c>
      <c r="AN65" s="59">
        <f ca="1">AVERAGE(OFFSET($AM$3,0,0,'Données projet'!$E$10+1,1))-AVERAGE(OFFSET($H$3,0,0,'Données projet'!$E$10+1,1))</f>
        <v>344.29957955721721</v>
      </c>
      <c r="AO65" s="59">
        <f t="shared" si="36"/>
        <v>297.12790038882594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59.97732724170698</v>
      </c>
      <c r="AV65" s="21">
        <f>EXP(-LN(2)/25)*AV64+(1-EXP(-LN(2)/25))/(LN(2)/25)*Calculateur!AQ65*Calculateur!AS65*VLOOKUP('Données projet'!$B$10,Paramètres!$A$1:$I$89,3,0)*0.475*44/12</f>
        <v>26.997890582700439</v>
      </c>
      <c r="AW65" s="21">
        <f>EXP(-LN(2)/2)*AW64+(1-EXP(-LN(2)/2))/(LN(2)/2)*AQ65*AT65*VLOOKUP('Données projet'!$B$10,Paramètres!$A$1:$I$89,3,0)*0.475*44/12</f>
        <v>3.4027079528518236</v>
      </c>
      <c r="AX65" s="21">
        <f t="shared" si="6"/>
        <v>90.37792577725925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2.2737367544323206E-13</v>
      </c>
      <c r="BE65" s="13">
        <f>BD65*VLOOKUP('Données projet'!$B$11,Paramètres!$A$1:$I$89,3,0)*VLOOKUP('Données projet'!$B$11,Paramètres!$A$1:$I$89,5,0)</f>
        <v>1.064108801074326E-13</v>
      </c>
      <c r="BF65" s="13">
        <f t="shared" si="37"/>
        <v>1.5870730813698654E-12</v>
      </c>
      <c r="BG65" s="20">
        <f t="shared" si="7"/>
        <v>2.9494845662396269E-12</v>
      </c>
      <c r="BH65" s="59">
        <f t="shared" si="8"/>
        <v>293.33333333333627</v>
      </c>
      <c r="BI65" s="59">
        <f ca="1">AVERAGE(OFFSET($BH$3,0,0,'Données projet'!$E$11+1,1))-AVERAGE(OFFSET($H$3,0,0,'Données projet'!$E$11+1,1))</f>
        <v>234.83702199169585</v>
      </c>
      <c r="BJ65" s="59">
        <f t="shared" si="38"/>
        <v>248.83008816685089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92.739414243615926</v>
      </c>
      <c r="BQ65" s="21">
        <f>EXP(-LN(2)/25)*BQ64+(1-EXP(-LN(2)/25))/(LN(2)/25)*Calculateur!BL65*Calculateur!BN65*VLOOKUP('Données projet'!$B$11,Paramètres!$A$1:$I$89,3,0)*0.475*44/12</f>
        <v>43.342359165534063</v>
      </c>
      <c r="BR65" s="21">
        <f>EXP(-LN(2)/2)*BR64+(1-EXP(-LN(2)/2))/(LN(2)/2)*BL65*BO65*VLOOKUP('Données projet'!$B$11,Paramètres!$A$1:$I$89,3,0)*0.475*44/12</f>
        <v>2.5424100249725643</v>
      </c>
      <c r="BS65" s="22">
        <f t="shared" si="9"/>
        <v>138.62418343412256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2.2737367544323206E-13</v>
      </c>
      <c r="BZ65" s="13">
        <f>BY65*VLOOKUP('Données projet'!$B$12,Paramètres!$A$1:$I$89,3,0)*VLOOKUP('Données projet'!$B$12,Paramètres!$A$1:$I$89,5,0)</f>
        <v>1.0049916454590858E-13</v>
      </c>
      <c r="CA65" s="13">
        <f t="shared" si="39"/>
        <v>1.5089081593838289E-12</v>
      </c>
      <c r="CB65" s="20">
        <f t="shared" si="10"/>
        <v>2.8030510891776262E-12</v>
      </c>
      <c r="CC65" s="59">
        <f t="shared" si="11"/>
        <v>293.3333333333361</v>
      </c>
      <c r="CD65" s="59">
        <f ca="1">AVERAGE(OFFSET($CC$3,0,0,'Données projet'!$E$12+1,1))-AVERAGE(OFFSET($H$3,0,0,'Données projet'!$E$12+1,1))</f>
        <v>220.26537310502334</v>
      </c>
      <c r="CE65" s="59">
        <f t="shared" si="40"/>
        <v>233.26853625122016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87.587224563415049</v>
      </c>
      <c r="CL65" s="21">
        <f>EXP(-LN(2)/25)*CL64+(1-EXP(-LN(2)/25))/(LN(2)/25)*Calculateur!CG65*Calculateur!CI65*VLOOKUP('Données projet'!$B$12,Paramètres!$A$1:$I$89,3,0)*0.475*44/12</f>
        <v>40.934450323004391</v>
      </c>
      <c r="CM65" s="21">
        <f>EXP(-LN(2)/2)*CM64+(1-EXP(-LN(2)/2))/(LN(2)/2)*CG65*CJ65*VLOOKUP('Données projet'!$B$12,Paramètres!$A$1:$I$89,3,0)*0.475*44/12</f>
        <v>2.4011650235852002</v>
      </c>
      <c r="CN65" s="22">
        <f t="shared" si="12"/>
        <v>130.92283991000465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-3.4106051316484809E-13</v>
      </c>
      <c r="O66" s="13">
        <f>N66*VLOOKUP('Données projet'!$B$9,Paramètres!$A$1:$I$89,3,0)*VLOOKUP('Données projet'!$B$9,Paramètres!$A$1:$I$89,5,0)</f>
        <v>-1.5961632016114892E-13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263.37813242097957</v>
      </c>
      <c r="T66" s="59">
        <f t="shared" si="34"/>
        <v>314.89350816766904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94.239064756215399</v>
      </c>
      <c r="AA66" s="21">
        <f>EXP(-LN(2)/25)*AA65+(1-EXP(-LN(2)/25))/(LN(2)/25)*Calculateur!V66*Calculateur!X66*VLOOKUP('Données projet'!$B$9,Paramètres!$A$1:$I$89,3,0)*0.475*44/12</f>
        <v>41.267298325819134</v>
      </c>
      <c r="AB66" s="21">
        <f>EXP(-LN(2)/2)*AB65+(1-EXP(-LN(2)/2))/(LN(2)/2)*V66*Y66*VLOOKUP('Données projet'!$B$9,Paramètres!$A$1:$I$89,3,0)*0.475*44/12</f>
        <v>0.69756511848033931</v>
      </c>
      <c r="AC66" s="22">
        <f t="shared" si="3"/>
        <v>136.20392820051487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21.2</v>
      </c>
      <c r="AI66" s="13">
        <f>IF('Données projet'!$A$62&gt;35,AI65+AH66-AQ65,IF(A66&lt;'Données projet'!$A$62,$AF$205^A66,IF(A66='Données projet'!$A$62,'Données projet'!$B$62,AI65+AH66-AQ65)))</f>
        <v>747.6</v>
      </c>
      <c r="AJ66" s="13">
        <f>AI66*VLOOKUP('Données projet'!$B$10,Paramètres!$A$1:$I$89,3,0)*VLOOKUP('Données projet'!$B$10,Paramètres!$A$1:$I$89,5,0)</f>
        <v>301.28280000000001</v>
      </c>
      <c r="AK66" s="13">
        <f t="shared" si="35"/>
        <v>71.445320809508729</v>
      </c>
      <c r="AL66" s="20">
        <f t="shared" si="4"/>
        <v>649.16814374322769</v>
      </c>
      <c r="AM66" s="59">
        <f t="shared" si="5"/>
        <v>942.50147707656106</v>
      </c>
      <c r="AN66" s="59">
        <f ca="1">AVERAGE(OFFSET($AM$3,0,0,'Données projet'!$E$10+1,1))-AVERAGE(OFFSET($H$3,0,0,'Données projet'!$E$10+1,1))</f>
        <v>344.29957955721721</v>
      </c>
      <c r="AO66" s="59">
        <f t="shared" si="36"/>
        <v>297.12790038882594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58.801208437054498</v>
      </c>
      <c r="AV66" s="21">
        <f>EXP(-LN(2)/25)*AV65+(1-EXP(-LN(2)/25))/(LN(2)/25)*Calculateur!AQ66*Calculateur!AS66*VLOOKUP('Données projet'!$B$10,Paramètres!$A$1:$I$89,3,0)*0.475*44/12</f>
        <v>26.259631844959134</v>
      </c>
      <c r="AW66" s="21">
        <f>EXP(-LN(2)/2)*AW65+(1-EXP(-LN(2)/2))/(LN(2)/2)*AQ66*AT66*VLOOKUP('Données projet'!$B$10,Paramètres!$A$1:$I$89,3,0)*0.475*44/12</f>
        <v>2.4060778678589196</v>
      </c>
      <c r="AX66" s="21">
        <f t="shared" si="6"/>
        <v>87.466918149872555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2.2737367544323206E-13</v>
      </c>
      <c r="BE66" s="13">
        <f>BD66*VLOOKUP('Données projet'!$B$11,Paramètres!$A$1:$I$89,3,0)*VLOOKUP('Données projet'!$B$11,Paramètres!$A$1:$I$89,5,0)</f>
        <v>1.064108801074326E-13</v>
      </c>
      <c r="BF66" s="13">
        <f t="shared" si="37"/>
        <v>1.5870730813698654E-12</v>
      </c>
      <c r="BG66" s="20">
        <f t="shared" si="7"/>
        <v>2.9494845662396269E-12</v>
      </c>
      <c r="BH66" s="59">
        <f t="shared" si="8"/>
        <v>293.33333333333627</v>
      </c>
      <c r="BI66" s="59">
        <f ca="1">AVERAGE(OFFSET($BH$3,0,0,'Données projet'!$E$11+1,1))-AVERAGE(OFFSET($H$3,0,0,'Données projet'!$E$11+1,1))</f>
        <v>234.83702199169585</v>
      </c>
      <c r="BJ66" s="59">
        <f t="shared" si="38"/>
        <v>248.83008816685089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90.920850895755933</v>
      </c>
      <c r="BQ66" s="21">
        <f>EXP(-LN(2)/25)*BQ65+(1-EXP(-LN(2)/25))/(LN(2)/25)*Calculateur!BL66*Calculateur!BN66*VLOOKUP('Données projet'!$B$11,Paramètres!$A$1:$I$89,3,0)*0.475*44/12</f>
        <v>42.157160074876927</v>
      </c>
      <c r="BR66" s="21">
        <f>EXP(-LN(2)/2)*BR65+(1-EXP(-LN(2)/2))/(LN(2)/2)*BL66*BO66*VLOOKUP('Données projet'!$B$11,Paramètres!$A$1:$I$89,3,0)*0.475*44/12</f>
        <v>1.7977553692147599</v>
      </c>
      <c r="BS66" s="22">
        <f t="shared" si="9"/>
        <v>134.87576633984764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2.2737367544323206E-13</v>
      </c>
      <c r="BZ66" s="13">
        <f>BY66*VLOOKUP('Données projet'!$B$12,Paramètres!$A$1:$I$89,3,0)*VLOOKUP('Données projet'!$B$12,Paramètres!$A$1:$I$89,5,0)</f>
        <v>1.0049916454590858E-13</v>
      </c>
      <c r="CA66" s="13">
        <f t="shared" si="39"/>
        <v>1.5089081593838289E-12</v>
      </c>
      <c r="CB66" s="20">
        <f t="shared" si="10"/>
        <v>2.8030510891776262E-12</v>
      </c>
      <c r="CC66" s="59">
        <f t="shared" si="11"/>
        <v>293.3333333333361</v>
      </c>
      <c r="CD66" s="59">
        <f ca="1">AVERAGE(OFFSET($CC$3,0,0,'Données projet'!$E$12+1,1))-AVERAGE(OFFSET($H$3,0,0,'Données projet'!$E$12+1,1))</f>
        <v>220.26537310502334</v>
      </c>
      <c r="CE66" s="59">
        <f t="shared" si="40"/>
        <v>233.26853625122016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85.869692512658389</v>
      </c>
      <c r="CL66" s="21">
        <f>EXP(-LN(2)/25)*CL65+(1-EXP(-LN(2)/25))/(LN(2)/25)*Calculateur!CG66*Calculateur!CI66*VLOOKUP('Données projet'!$B$12,Paramètres!$A$1:$I$89,3,0)*0.475*44/12</f>
        <v>39.815095626272651</v>
      </c>
      <c r="CM66" s="21">
        <f>EXP(-LN(2)/2)*CM65+(1-EXP(-LN(2)/2))/(LN(2)/2)*CG66*CJ66*VLOOKUP('Données projet'!$B$12,Paramètres!$A$1:$I$89,3,0)*0.475*44/12</f>
        <v>1.6978800709250514</v>
      </c>
      <c r="CN66" s="22">
        <f t="shared" si="12"/>
        <v>127.38266820985609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-3.4106051316484809E-13</v>
      </c>
      <c r="O67" s="13">
        <f>N67*VLOOKUP('Données projet'!$B$9,Paramètres!$A$1:$I$89,3,0)*VLOOKUP('Données projet'!$B$9,Paramètres!$A$1:$I$89,5,0)</f>
        <v>-1.5961632016114892E-13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263.37813242097957</v>
      </c>
      <c r="T67" s="59">
        <f t="shared" si="34"/>
        <v>314.89350816766904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92.39109417649982</v>
      </c>
      <c r="AA67" s="21">
        <f>EXP(-LN(2)/25)*AA66+(1-EXP(-LN(2)/25))/(LN(2)/25)*Calculateur!V67*Calculateur!X67*VLOOKUP('Données projet'!$B$9,Paramètres!$A$1:$I$89,3,0)*0.475*44/12</f>
        <v>40.138841882946707</v>
      </c>
      <c r="AB67" s="21">
        <f>EXP(-LN(2)/2)*AB66+(1-EXP(-LN(2)/2))/(LN(2)/2)*V67*Y67*VLOOKUP('Données projet'!$B$9,Paramètres!$A$1:$I$89,3,0)*0.475*44/12</f>
        <v>0.49325302559664541</v>
      </c>
      <c r="AC67" s="22">
        <f t="shared" si="3"/>
        <v>133.02318908504319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21.2</v>
      </c>
      <c r="AI67" s="13">
        <f>IF('Données projet'!$A$62&gt;35,AI66+AH67-AQ66,IF(A67&lt;'Données projet'!$A$62,$AF$205^A67,IF(A67='Données projet'!$A$62,'Données projet'!$B$62,AI66+AH67-AQ66)))</f>
        <v>768.80000000000007</v>
      </c>
      <c r="AJ67" s="13">
        <f>AI67*VLOOKUP('Données projet'!$B$10,Paramètres!$A$1:$I$89,3,0)*VLOOKUP('Données projet'!$B$10,Paramètres!$A$1:$I$89,5,0)</f>
        <v>309.82640000000004</v>
      </c>
      <c r="AK67" s="13">
        <f t="shared" si="35"/>
        <v>73.23257440045461</v>
      </c>
      <c r="AL67" s="20">
        <f t="shared" si="4"/>
        <v>667.16104708079183</v>
      </c>
      <c r="AM67" s="59">
        <f t="shared" si="5"/>
        <v>960.49438041412509</v>
      </c>
      <c r="AN67" s="59">
        <f ca="1">AVERAGE(OFFSET($AM$3,0,0,'Données projet'!$E$10+1,1))-AVERAGE(OFFSET($H$3,0,0,'Données projet'!$E$10+1,1))</f>
        <v>344.29957955721721</v>
      </c>
      <c r="AO67" s="59">
        <f t="shared" si="36"/>
        <v>297.12790038882594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57.648152604799613</v>
      </c>
      <c r="AV67" s="21">
        <f>EXP(-LN(2)/25)*AV66+(1-EXP(-LN(2)/25))/(LN(2)/25)*Calculateur!AQ67*Calculateur!AS67*VLOOKUP('Données projet'!$B$10,Paramètres!$A$1:$I$89,3,0)*0.475*44/12</f>
        <v>25.541560831224704</v>
      </c>
      <c r="AW67" s="21">
        <f>EXP(-LN(2)/2)*AW66+(1-EXP(-LN(2)/2))/(LN(2)/2)*AQ67*AT67*VLOOKUP('Données projet'!$B$10,Paramètres!$A$1:$I$89,3,0)*0.475*44/12</f>
        <v>1.701353976425912</v>
      </c>
      <c r="AX67" s="21">
        <f t="shared" si="6"/>
        <v>84.891067412450226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2.2737367544323206E-13</v>
      </c>
      <c r="BE67" s="13">
        <f>BD67*VLOOKUP('Données projet'!$B$11,Paramètres!$A$1:$I$89,3,0)*VLOOKUP('Données projet'!$B$11,Paramètres!$A$1:$I$89,5,0)</f>
        <v>1.064108801074326E-13</v>
      </c>
      <c r="BF67" s="13">
        <f t="shared" si="37"/>
        <v>1.5870730813698654E-12</v>
      </c>
      <c r="BG67" s="20">
        <f t="shared" si="7"/>
        <v>2.9494845662396269E-12</v>
      </c>
      <c r="BH67" s="59">
        <f t="shared" si="8"/>
        <v>293.33333333333627</v>
      </c>
      <c r="BI67" s="59">
        <f ca="1">AVERAGE(OFFSET($BH$3,0,0,'Données projet'!$E$11+1,1))-AVERAGE(OFFSET($H$3,0,0,'Données projet'!$E$11+1,1))</f>
        <v>234.83702199169585</v>
      </c>
      <c r="BJ67" s="59">
        <f t="shared" si="38"/>
        <v>248.83008816685089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89.137948465933363</v>
      </c>
      <c r="BQ67" s="21">
        <f>EXP(-LN(2)/25)*BQ66+(1-EXP(-LN(2)/25))/(LN(2)/25)*Calculateur!BL67*Calculateur!BN67*VLOOKUP('Données projet'!$B$11,Paramètres!$A$1:$I$89,3,0)*0.475*44/12</f>
        <v>41.004370315680724</v>
      </c>
      <c r="BR67" s="21">
        <f>EXP(-LN(2)/2)*BR66+(1-EXP(-LN(2)/2))/(LN(2)/2)*BL67*BO67*VLOOKUP('Données projet'!$B$11,Paramètres!$A$1:$I$89,3,0)*0.475*44/12</f>
        <v>1.2712050124862821</v>
      </c>
      <c r="BS67" s="22">
        <f t="shared" si="9"/>
        <v>131.41352379410037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2.2737367544323206E-13</v>
      </c>
      <c r="BZ67" s="13">
        <f>BY67*VLOOKUP('Données projet'!$B$12,Paramètres!$A$1:$I$89,3,0)*VLOOKUP('Données projet'!$B$12,Paramètres!$A$1:$I$89,5,0)</f>
        <v>1.0049916454590858E-13</v>
      </c>
      <c r="CA67" s="13">
        <f t="shared" si="39"/>
        <v>1.5089081593838289E-12</v>
      </c>
      <c r="CB67" s="20">
        <f t="shared" si="10"/>
        <v>2.8030510891776262E-12</v>
      </c>
      <c r="CC67" s="59">
        <f t="shared" si="11"/>
        <v>293.3333333333361</v>
      </c>
      <c r="CD67" s="59">
        <f ca="1">AVERAGE(OFFSET($CC$3,0,0,'Données projet'!$E$12+1,1))-AVERAGE(OFFSET($H$3,0,0,'Données projet'!$E$12+1,1))</f>
        <v>220.26537310502334</v>
      </c>
      <c r="CE67" s="59">
        <f t="shared" si="40"/>
        <v>233.26853625122016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84.185840217825955</v>
      </c>
      <c r="CL67" s="21">
        <f>EXP(-LN(2)/25)*CL66+(1-EXP(-LN(2)/25))/(LN(2)/25)*Calculateur!CG67*Calculateur!CI67*VLOOKUP('Données projet'!$B$12,Paramètres!$A$1:$I$89,3,0)*0.475*44/12</f>
        <v>38.726349742587345</v>
      </c>
      <c r="CM67" s="21">
        <f>EXP(-LN(2)/2)*CM66+(1-EXP(-LN(2)/2))/(LN(2)/2)*CG67*CJ67*VLOOKUP('Données projet'!$B$12,Paramètres!$A$1:$I$89,3,0)*0.475*44/12</f>
        <v>1.2005825117926001</v>
      </c>
      <c r="CN67" s="22">
        <f t="shared" si="12"/>
        <v>124.1127724722059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-3.4106051316484809E-13</v>
      </c>
      <c r="O68" s="13">
        <f>N68*VLOOKUP('Données projet'!$B$9,Paramètres!$A$1:$I$89,3,0)*VLOOKUP('Données projet'!$B$9,Paramètres!$A$1:$I$89,5,0)</f>
        <v>-1.5961632016114892E-13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263.37813242097957</v>
      </c>
      <c r="T68" s="59">
        <f t="shared" si="34"/>
        <v>314.89350816766904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90.579361172701709</v>
      </c>
      <c r="AA68" s="21">
        <f>EXP(-LN(2)/25)*AA67+(1-EXP(-LN(2)/25))/(LN(2)/25)*Calculateur!V68*Calculateur!X68*VLOOKUP('Données projet'!$B$9,Paramètres!$A$1:$I$89,3,0)*0.475*44/12</f>
        <v>39.041243140847577</v>
      </c>
      <c r="AB68" s="21">
        <f>EXP(-LN(2)/2)*AB67+(1-EXP(-LN(2)/2))/(LN(2)/2)*V68*Y68*VLOOKUP('Données projet'!$B$9,Paramètres!$A$1:$I$89,3,0)*0.475*44/12</f>
        <v>0.34878255924016971</v>
      </c>
      <c r="AC68" s="22">
        <f t="shared" ref="AC68:AC131" si="57">SUM(Z68:AB68)</f>
        <v>129.96938687278944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790</v>
      </c>
      <c r="AG68" s="12">
        <f>VLOOKUP(A68,'Données projet'!$A$61:$I$81,9,0)</f>
        <v>21.2</v>
      </c>
      <c r="AH68" s="12">
        <f t="array" ref="AH68">INDEX(AG:AG,MIN(IF(ISNUMBER(AG68:AG264),ROW(AG68:AG264),"")))</f>
        <v>21.2</v>
      </c>
      <c r="AI68" s="13">
        <f>IF('Données projet'!$A$62&gt;35,AI67+AH68-AQ67,IF(A68&lt;'Données projet'!$A$62,$AF$205^A68,IF(A68='Données projet'!$A$62,'Données projet'!$B$62,AI67+AH68-AQ67)))</f>
        <v>790.00000000000011</v>
      </c>
      <c r="AJ68" s="13">
        <f>AI68*VLOOKUP('Données projet'!$B$10,Paramètres!$A$1:$I$89,3,0)*VLOOKUP('Données projet'!$B$10,Paramètres!$A$1:$I$89,5,0)</f>
        <v>318.37000000000006</v>
      </c>
      <c r="AK68" s="13">
        <f t="shared" si="35"/>
        <v>75.01409972772484</v>
      </c>
      <c r="AL68" s="20">
        <f t="shared" ref="AL68:AL131" si="58">(AJ68+AK68)*0.475*44/12</f>
        <v>685.1439736924541</v>
      </c>
      <c r="AM68" s="59">
        <f t="shared" ref="AM68:AM131" si="59">AL68+(AD68+AE68)*44/12</f>
        <v>978.47730702578747</v>
      </c>
      <c r="AN68" s="59">
        <f ca="1">AVERAGE(OFFSET($AM$3,0,0,'Données projet'!$E$10+1,1))-AVERAGE(OFFSET($H$3,0,0,'Données projet'!$E$10+1,1))</f>
        <v>344.29957955721721</v>
      </c>
      <c r="AO68" s="59">
        <f t="shared" si="36"/>
        <v>297.12790038882594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56</v>
      </c>
      <c r="AR68" s="16">
        <f>IF(ISNA(VLOOKUP(A68,'Données projet'!$A$61:$I$81,5,0)),0%,VLOOKUP(A68,'Données projet'!$A$61:$I$81,5,0)*VLOOKUP('Données projet'!$B$10,Paramètres!$A$1:$I$89,7,0))</f>
        <v>0.33</v>
      </c>
      <c r="AS68" s="16">
        <f>IF(ISNA(VLOOKUP(A68,'Données projet'!$A$61:$I$81,6,0)),0%,VLOOKUP(A68,'Données projet'!$A$61:$I$81,6,0)*VLOOKUP('Données projet'!$B$10,Paramètres!$A$1:$I$89,7,0))</f>
        <v>0.11000000000000001</v>
      </c>
      <c r="AT68" s="16">
        <f>IF(ISNA(VLOOKUP(A68,'Données projet'!$A$61:$I$81,7,0)),0%,VLOOKUP(A68,'Données projet'!$A$61:$I$81,7,0))</f>
        <v>0.2</v>
      </c>
      <c r="AU68" s="21">
        <f>EXP(-LN(2)/35)*AU67+(1-EXP(-LN(2)/35))/(LN(2)/35)*AQ68*AR68*VLOOKUP('Données projet'!$B$10,Paramètres!$A$1:$I$89,3,0)*0.475*44/12</f>
        <v>66.397216682139273</v>
      </c>
      <c r="AV68" s="21">
        <f>EXP(-LN(2)/25)*AV67+(1-EXP(-LN(2)/25))/(LN(2)/25)*Calculateur!AQ68*Calculateur!AS68*VLOOKUP('Données projet'!$B$10,Paramètres!$A$1:$I$89,3,0)*0.475*44/12</f>
        <v>28.123328772441656</v>
      </c>
      <c r="AW68" s="21">
        <f>EXP(-LN(2)/2)*AW67+(1-EXP(-LN(2)/2))/(LN(2)/2)*AQ68*AT68*VLOOKUP('Données projet'!$B$10,Paramètres!$A$1:$I$89,3,0)*0.475*44/12</f>
        <v>6.3134826320449164</v>
      </c>
      <c r="AX68" s="21">
        <f t="shared" ref="AX68:AX131" si="60">SUM(AU68:AW68)</f>
        <v>100.83402808662584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2.2737367544323206E-13</v>
      </c>
      <c r="BE68" s="13">
        <f>BD68*VLOOKUP('Données projet'!$B$11,Paramètres!$A$1:$I$89,3,0)*VLOOKUP('Données projet'!$B$11,Paramètres!$A$1:$I$89,5,0)</f>
        <v>1.064108801074326E-13</v>
      </c>
      <c r="BF68" s="13">
        <f t="shared" si="37"/>
        <v>1.5870730813698654E-12</v>
      </c>
      <c r="BG68" s="20">
        <f t="shared" ref="BG68:BG131" si="61">(BE68+BF68)*0.475*44/12</f>
        <v>2.9494845662396269E-12</v>
      </c>
      <c r="BH68" s="59">
        <f t="shared" ref="BH68:BH131" si="62">BG68+(AY68+AZ68)*44/12</f>
        <v>293.33333333333627</v>
      </c>
      <c r="BI68" s="59">
        <f ca="1">AVERAGE(OFFSET($BH$3,0,0,'Données projet'!$E$11+1,1))-AVERAGE(OFFSET($H$3,0,0,'Données projet'!$E$11+1,1))</f>
        <v>234.83702199169585</v>
      </c>
      <c r="BJ68" s="59">
        <f t="shared" si="38"/>
        <v>248.83008816685089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87.390007665296508</v>
      </c>
      <c r="BQ68" s="21">
        <f>EXP(-LN(2)/25)*BQ67+(1-EXP(-LN(2)/25))/(LN(2)/25)*Calculateur!BL68*Calculateur!BN68*VLOOKUP('Données projet'!$B$11,Paramètres!$A$1:$I$89,3,0)*0.475*44/12</f>
        <v>39.883103653072318</v>
      </c>
      <c r="BR68" s="21">
        <f>EXP(-LN(2)/2)*BR67+(1-EXP(-LN(2)/2))/(LN(2)/2)*BL68*BO68*VLOOKUP('Données projet'!$B$11,Paramètres!$A$1:$I$89,3,0)*0.475*44/12</f>
        <v>0.89887768460737993</v>
      </c>
      <c r="BS68" s="22">
        <f t="shared" ref="BS68:BS131" si="63">SUM(BP68:BR68)</f>
        <v>128.1719890029762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2.2737367544323206E-13</v>
      </c>
      <c r="BZ68" s="13">
        <f>BY68*VLOOKUP('Données projet'!$B$12,Paramètres!$A$1:$I$89,3,0)*VLOOKUP('Données projet'!$B$12,Paramètres!$A$1:$I$89,5,0)</f>
        <v>1.0049916454590858E-13</v>
      </c>
      <c r="CA68" s="13">
        <f t="shared" si="39"/>
        <v>1.5089081593838289E-12</v>
      </c>
      <c r="CB68" s="20">
        <f t="shared" ref="CB68:CB131" si="64">(BZ68+CA68)*0.475*44/12</f>
        <v>2.8030510891776262E-12</v>
      </c>
      <c r="CC68" s="59">
        <f t="shared" ref="CC68:CC131" si="65">CB68+(BT68+BU68)*44/12</f>
        <v>293.3333333333361</v>
      </c>
      <c r="CD68" s="59">
        <f ca="1">AVERAGE(OFFSET($CC$3,0,0,'Données projet'!$E$12+1,1))-AVERAGE(OFFSET($H$3,0,0,'Données projet'!$E$12+1,1))</f>
        <v>220.26537310502334</v>
      </c>
      <c r="CE68" s="59">
        <f t="shared" si="40"/>
        <v>233.26853625122016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82.535007239446699</v>
      </c>
      <c r="CL68" s="21">
        <f>EXP(-LN(2)/25)*CL67+(1-EXP(-LN(2)/25))/(LN(2)/25)*Calculateur!CG68*Calculateur!CI68*VLOOKUP('Données projet'!$B$12,Paramètres!$A$1:$I$89,3,0)*0.475*44/12</f>
        <v>37.667375672346068</v>
      </c>
      <c r="CM68" s="21">
        <f>EXP(-LN(2)/2)*CM67+(1-EXP(-LN(2)/2))/(LN(2)/2)*CG68*CJ68*VLOOKUP('Données projet'!$B$12,Paramètres!$A$1:$I$89,3,0)*0.475*44/12</f>
        <v>0.84894003546252572</v>
      </c>
      <c r="CN68" s="22">
        <f t="shared" ref="CN68:CN131" si="66">SUM(CK68:CM68)</f>
        <v>121.05132294725529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-3.4106051316484809E-13</v>
      </c>
      <c r="O69" s="13">
        <f>N69*VLOOKUP('Données projet'!$B$9,Paramètres!$A$1:$I$89,3,0)*VLOOKUP('Données projet'!$B$9,Paramètres!$A$1:$I$89,5,0)</f>
        <v>-1.5961632016114892E-13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263.37813242097957</v>
      </c>
      <c r="T69" s="59">
        <f t="shared" ref="T69:T132" si="88">$T$3</f>
        <v>314.89350816766904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88.803155148060057</v>
      </c>
      <c r="AA69" s="21">
        <f>EXP(-LN(2)/25)*AA68+(1-EXP(-LN(2)/25))/(LN(2)/25)*Calculateur!V69*Calculateur!X69*VLOOKUP('Données projet'!$B$9,Paramètres!$A$1:$I$89,3,0)*0.475*44/12</f>
        <v>37.973658294071356</v>
      </c>
      <c r="AB69" s="21">
        <f>EXP(-LN(2)/2)*AB68+(1-EXP(-LN(2)/2))/(LN(2)/2)*V69*Y69*VLOOKUP('Données projet'!$B$9,Paramètres!$A$1:$I$89,3,0)*0.475*44/12</f>
        <v>0.24662651279832276</v>
      </c>
      <c r="AC69" s="22">
        <f t="shared" si="57"/>
        <v>127.02343995492974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19.399999999999999</v>
      </c>
      <c r="AI69" s="13">
        <f>IF('Données projet'!$A$62&gt;35,AI68+AH69-AQ68,IF(A69&lt;'Données projet'!$A$62,$AF$205^A69,IF(A69='Données projet'!$A$62,'Données projet'!$B$62,AI68+AH69-AQ68)))</f>
        <v>753.40000000000009</v>
      </c>
      <c r="AJ69" s="13">
        <f>AI69*VLOOKUP('Données projet'!$B$10,Paramètres!$A$1:$I$89,3,0)*VLOOKUP('Données projet'!$B$10,Paramètres!$A$1:$I$89,5,0)</f>
        <v>303.62020000000007</v>
      </c>
      <c r="AK69" s="13">
        <f t="shared" ref="AK69:AK132" si="89">EXP(-1.0587+0.8836*LN(AJ69)+0.284)</f>
        <v>71.93486581461859</v>
      </c>
      <c r="AL69" s="20">
        <f t="shared" si="58"/>
        <v>654.09173962712748</v>
      </c>
      <c r="AM69" s="59">
        <f t="shared" si="59"/>
        <v>947.42507296046074</v>
      </c>
      <c r="AN69" s="59">
        <f ca="1">AVERAGE(OFFSET($AM$3,0,0,'Données projet'!$E$10+1,1))-AVERAGE(OFFSET($H$3,0,0,'Données projet'!$E$10+1,1))</f>
        <v>344.29957955721721</v>
      </c>
      <c r="AO69" s="59">
        <f t="shared" ref="AO69:AO132" si="90">$AO$3</f>
        <v>297.12790038882594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65.095207761305829</v>
      </c>
      <c r="AV69" s="21">
        <f>EXP(-LN(2)/25)*AV68+(1-EXP(-LN(2)/25))/(LN(2)/25)*Calculateur!AQ69*Calculateur!AS69*VLOOKUP('Données projet'!$B$10,Paramètres!$A$1:$I$89,3,0)*0.475*44/12</f>
        <v>27.354294868217657</v>
      </c>
      <c r="AW69" s="21">
        <f>EXP(-LN(2)/2)*AW68+(1-EXP(-LN(2)/2))/(LN(2)/2)*AQ69*AT69*VLOOKUP('Données projet'!$B$10,Paramètres!$A$1:$I$89,3,0)*0.475*44/12</f>
        <v>4.4643063820224533</v>
      </c>
      <c r="AX69" s="21">
        <f t="shared" si="60"/>
        <v>96.913809011545951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2.2737367544323206E-13</v>
      </c>
      <c r="BE69" s="13">
        <f>BD69*VLOOKUP('Données projet'!$B$11,Paramètres!$A$1:$I$89,3,0)*VLOOKUP('Données projet'!$B$11,Paramètres!$A$1:$I$89,5,0)</f>
        <v>1.064108801074326E-13</v>
      </c>
      <c r="BF69" s="13">
        <f t="shared" ref="BF69:BF132" si="91">EXP(-1.0587+0.8836*LN(BE69)+0.284)</f>
        <v>1.5870730813698654E-12</v>
      </c>
      <c r="BG69" s="20">
        <f t="shared" si="61"/>
        <v>2.9494845662396269E-12</v>
      </c>
      <c r="BH69" s="59">
        <f t="shared" si="62"/>
        <v>293.33333333333627</v>
      </c>
      <c r="BI69" s="59">
        <f ca="1">AVERAGE(OFFSET($BH$3,0,0,'Données projet'!$E$11+1,1))-AVERAGE(OFFSET($H$3,0,0,'Données projet'!$E$11+1,1))</f>
        <v>234.83702199169585</v>
      </c>
      <c r="BJ69" s="59">
        <f t="shared" ref="BJ69:BJ132" si="92">$BJ$3</f>
        <v>248.83008816685089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85.676342917621525</v>
      </c>
      <c r="BQ69" s="21">
        <f>EXP(-LN(2)/25)*BQ68+(1-EXP(-LN(2)/25))/(LN(2)/25)*Calculateur!BL69*Calculateur!BN69*VLOOKUP('Données projet'!$B$11,Paramètres!$A$1:$I$89,3,0)*0.475*44/12</f>
        <v>38.792498086317785</v>
      </c>
      <c r="BR69" s="21">
        <f>EXP(-LN(2)/2)*BR68+(1-EXP(-LN(2)/2))/(LN(2)/2)*BL69*BO69*VLOOKUP('Données projet'!$B$11,Paramètres!$A$1:$I$89,3,0)*0.475*44/12</f>
        <v>0.63560250624314107</v>
      </c>
      <c r="BS69" s="22">
        <f t="shared" si="63"/>
        <v>125.10444351018245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2.2737367544323206E-13</v>
      </c>
      <c r="BZ69" s="13">
        <f>BY69*VLOOKUP('Données projet'!$B$12,Paramètres!$A$1:$I$89,3,0)*VLOOKUP('Données projet'!$B$12,Paramètres!$A$1:$I$89,5,0)</f>
        <v>1.0049916454590858E-13</v>
      </c>
      <c r="CA69" s="13">
        <f t="shared" ref="CA69:CA132" si="93">EXP(-1.0587+0.8836*LN(BZ69)+0.284)</f>
        <v>1.5089081593838289E-12</v>
      </c>
      <c r="CB69" s="20">
        <f t="shared" si="64"/>
        <v>2.8030510891776262E-12</v>
      </c>
      <c r="CC69" s="59">
        <f t="shared" si="65"/>
        <v>293.3333333333361</v>
      </c>
      <c r="CD69" s="59">
        <f ca="1">AVERAGE(OFFSET($CC$3,0,0,'Données projet'!$E$12+1,1))-AVERAGE(OFFSET($H$3,0,0,'Données projet'!$E$12+1,1))</f>
        <v>220.26537310502334</v>
      </c>
      <c r="CE69" s="59">
        <f t="shared" ref="CE69:CE132" si="94">$CE$3</f>
        <v>233.26853625122016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80.916546088864763</v>
      </c>
      <c r="CL69" s="21">
        <f>EXP(-LN(2)/25)*CL68+(1-EXP(-LN(2)/25))/(LN(2)/25)*Calculateur!CG69*Calculateur!CI69*VLOOKUP('Données projet'!$B$12,Paramètres!$A$1:$I$89,3,0)*0.475*44/12</f>
        <v>36.637359303744567</v>
      </c>
      <c r="CM69" s="21">
        <f>EXP(-LN(2)/2)*CM68+(1-EXP(-LN(2)/2))/(LN(2)/2)*CG69*CJ69*VLOOKUP('Données projet'!$B$12,Paramètres!$A$1:$I$89,3,0)*0.475*44/12</f>
        <v>0.60029125589630006</v>
      </c>
      <c r="CN69" s="22">
        <f t="shared" si="66"/>
        <v>118.15419664850562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-3.4106051316484809E-13</v>
      </c>
      <c r="O70" s="13">
        <f>N70*VLOOKUP('Données projet'!$B$9,Paramètres!$A$1:$I$89,3,0)*VLOOKUP('Données projet'!$B$9,Paramètres!$A$1:$I$89,5,0)</f>
        <v>-1.5961632016114892E-13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263.37813242097957</v>
      </c>
      <c r="T70" s="59">
        <f t="shared" si="88"/>
        <v>314.89350816766904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87.061779440182931</v>
      </c>
      <c r="AA70" s="21">
        <f>EXP(-LN(2)/25)*AA69+(1-EXP(-LN(2)/25))/(LN(2)/25)*Calculateur!V70*Calculateur!X70*VLOOKUP('Données projet'!$B$9,Paramètres!$A$1:$I$89,3,0)*0.475*44/12</f>
        <v>36.935266611072073</v>
      </c>
      <c r="AB70" s="21">
        <f>EXP(-LN(2)/2)*AB69+(1-EXP(-LN(2)/2))/(LN(2)/2)*V70*Y70*VLOOKUP('Données projet'!$B$9,Paramètres!$A$1:$I$89,3,0)*0.475*44/12</f>
        <v>0.17439127962008488</v>
      </c>
      <c r="AC70" s="22">
        <f t="shared" si="57"/>
        <v>124.17143733087509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19.399999999999999</v>
      </c>
      <c r="AI70" s="13">
        <f>IF('Données projet'!$A$62&gt;35,AI69+AH70-AQ69,IF(A70&lt;'Données projet'!$A$62,$AF$205^A70,IF(A70='Données projet'!$A$62,'Données projet'!$B$62,AI69+AH70-AQ69)))</f>
        <v>772.80000000000007</v>
      </c>
      <c r="AJ70" s="13">
        <f>AI70*VLOOKUP('Données projet'!$B$10,Paramètres!$A$1:$I$89,3,0)*VLOOKUP('Données projet'!$B$10,Paramètres!$A$1:$I$89,5,0)</f>
        <v>311.4384</v>
      </c>
      <c r="AK70" s="13">
        <f t="shared" si="89"/>
        <v>73.569144360291432</v>
      </c>
      <c r="AL70" s="20">
        <f t="shared" si="58"/>
        <v>670.55480642750751</v>
      </c>
      <c r="AM70" s="59">
        <f t="shared" si="59"/>
        <v>963.88813976084089</v>
      </c>
      <c r="AN70" s="59">
        <f ca="1">AVERAGE(OFFSET($AM$3,0,0,'Données projet'!$E$10+1,1))-AVERAGE(OFFSET($H$3,0,0,'Données projet'!$E$10+1,1))</f>
        <v>344.29957955721721</v>
      </c>
      <c r="AO70" s="59">
        <f t="shared" si="90"/>
        <v>297.12790038882594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63.818730441262893</v>
      </c>
      <c r="AV70" s="21">
        <f>EXP(-LN(2)/25)*AV69+(1-EXP(-LN(2)/25))/(LN(2)/25)*Calculateur!AQ70*Calculateur!AS70*VLOOKUP('Données projet'!$B$10,Paramètres!$A$1:$I$89,3,0)*0.475*44/12</f>
        <v>26.606290236546396</v>
      </c>
      <c r="AW70" s="21">
        <f>EXP(-LN(2)/2)*AW69+(1-EXP(-LN(2)/2))/(LN(2)/2)*AQ70*AT70*VLOOKUP('Données projet'!$B$10,Paramètres!$A$1:$I$89,3,0)*0.475*44/12</f>
        <v>3.1567413160224587</v>
      </c>
      <c r="AX70" s="21">
        <f t="shared" si="60"/>
        <v>93.581761993831748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2.2737367544323206E-13</v>
      </c>
      <c r="BE70" s="13">
        <f>BD70*VLOOKUP('Données projet'!$B$11,Paramètres!$A$1:$I$89,3,0)*VLOOKUP('Données projet'!$B$11,Paramètres!$A$1:$I$89,5,0)</f>
        <v>1.064108801074326E-13</v>
      </c>
      <c r="BF70" s="13">
        <f t="shared" si="91"/>
        <v>1.5870730813698654E-12</v>
      </c>
      <c r="BG70" s="20">
        <f t="shared" si="61"/>
        <v>2.9494845662396269E-12</v>
      </c>
      <c r="BH70" s="59">
        <f t="shared" si="62"/>
        <v>293.33333333333627</v>
      </c>
      <c r="BI70" s="59">
        <f ca="1">AVERAGE(OFFSET($BH$3,0,0,'Données projet'!$E$11+1,1))-AVERAGE(OFFSET($H$3,0,0,'Données projet'!$E$11+1,1))</f>
        <v>234.83702199169585</v>
      </c>
      <c r="BJ70" s="59">
        <f t="shared" si="92"/>
        <v>248.83008816685089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83.996282090416159</v>
      </c>
      <c r="BQ70" s="21">
        <f>EXP(-LN(2)/25)*BQ69+(1-EXP(-LN(2)/25))/(LN(2)/25)*Calculateur!BL70*Calculateur!BN70*VLOOKUP('Données projet'!$B$11,Paramètres!$A$1:$I$89,3,0)*0.475*44/12</f>
        <v>37.731715186138615</v>
      </c>
      <c r="BR70" s="21">
        <f>EXP(-LN(2)/2)*BR69+(1-EXP(-LN(2)/2))/(LN(2)/2)*BL70*BO70*VLOOKUP('Données projet'!$B$11,Paramètres!$A$1:$I$89,3,0)*0.475*44/12</f>
        <v>0.44943884230368997</v>
      </c>
      <c r="BS70" s="22">
        <f t="shared" si="63"/>
        <v>122.17743611885847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2.2737367544323206E-13</v>
      </c>
      <c r="BZ70" s="13">
        <f>BY70*VLOOKUP('Données projet'!$B$12,Paramètres!$A$1:$I$89,3,0)*VLOOKUP('Données projet'!$B$12,Paramètres!$A$1:$I$89,5,0)</f>
        <v>1.0049916454590858E-13</v>
      </c>
      <c r="CA70" s="13">
        <f t="shared" si="93"/>
        <v>1.5089081593838289E-12</v>
      </c>
      <c r="CB70" s="20">
        <f t="shared" si="64"/>
        <v>2.8030510891776262E-12</v>
      </c>
      <c r="CC70" s="59">
        <f t="shared" si="65"/>
        <v>293.3333333333361</v>
      </c>
      <c r="CD70" s="59">
        <f ca="1">AVERAGE(OFFSET($CC$3,0,0,'Données projet'!$E$12+1,1))-AVERAGE(OFFSET($H$3,0,0,'Données projet'!$E$12+1,1))</f>
        <v>220.26537310502334</v>
      </c>
      <c r="CE70" s="59">
        <f t="shared" si="94"/>
        <v>233.26853625122016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79.329821974281913</v>
      </c>
      <c r="CL70" s="21">
        <f>EXP(-LN(2)/25)*CL69+(1-EXP(-LN(2)/25))/(LN(2)/25)*Calculateur!CG70*Calculateur!CI70*VLOOKUP('Données projet'!$B$12,Paramètres!$A$1:$I$89,3,0)*0.475*44/12</f>
        <v>35.63550878690868</v>
      </c>
      <c r="CM70" s="21">
        <f>EXP(-LN(2)/2)*CM69+(1-EXP(-LN(2)/2))/(LN(2)/2)*CG70*CJ70*VLOOKUP('Données projet'!$B$12,Paramètres!$A$1:$I$89,3,0)*0.475*44/12</f>
        <v>0.42447001773126286</v>
      </c>
      <c r="CN70" s="22">
        <f t="shared" si="66"/>
        <v>115.38980077892185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-3.4106051316484809E-13</v>
      </c>
      <c r="O71" s="13">
        <f>N71*VLOOKUP('Données projet'!$B$9,Paramètres!$A$1:$I$89,3,0)*VLOOKUP('Données projet'!$B$9,Paramètres!$A$1:$I$89,5,0)</f>
        <v>-1.5961632016114892E-13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263.37813242097957</v>
      </c>
      <c r="T71" s="59">
        <f t="shared" si="88"/>
        <v>314.89350816766904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85.354551047802971</v>
      </c>
      <c r="AA71" s="21">
        <f>EXP(-LN(2)/25)*AA70+(1-EXP(-LN(2)/25))/(LN(2)/25)*Calculateur!V71*Calculateur!X71*VLOOKUP('Données projet'!$B$9,Paramètres!$A$1:$I$89,3,0)*0.475*44/12</f>
        <v>35.925269803251055</v>
      </c>
      <c r="AB71" s="21">
        <f>EXP(-LN(2)/2)*AB70+(1-EXP(-LN(2)/2))/(LN(2)/2)*V71*Y71*VLOOKUP('Données projet'!$B$9,Paramètres!$A$1:$I$89,3,0)*0.475*44/12</f>
        <v>0.12331325639916139</v>
      </c>
      <c r="AC71" s="22">
        <f t="shared" si="57"/>
        <v>121.40313410745318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19.399999999999999</v>
      </c>
      <c r="AI71" s="13">
        <f>IF('Données projet'!$A$62&gt;35,AI70+AH71-AQ70,IF(A71&lt;'Données projet'!$A$62,$AF$205^A71,IF(A71='Données projet'!$A$62,'Données projet'!$B$62,AI70+AH71-AQ70)))</f>
        <v>792.2</v>
      </c>
      <c r="AJ71" s="13">
        <f>AI71*VLOOKUP('Données projet'!$B$10,Paramètres!$A$1:$I$89,3,0)*VLOOKUP('Données projet'!$B$10,Paramètres!$A$1:$I$89,5,0)</f>
        <v>319.25660000000005</v>
      </c>
      <c r="AK71" s="13">
        <f t="shared" si="89"/>
        <v>75.198653903745054</v>
      </c>
      <c r="AL71" s="20">
        <f t="shared" si="58"/>
        <v>687.00956721568934</v>
      </c>
      <c r="AM71" s="59">
        <f t="shared" si="59"/>
        <v>980.34290054902272</v>
      </c>
      <c r="AN71" s="59">
        <f ca="1">AVERAGE(OFFSET($AM$3,0,0,'Données projet'!$E$10+1,1))-AVERAGE(OFFSET($H$3,0,0,'Données projet'!$E$10+1,1))</f>
        <v>344.29957955721721</v>
      </c>
      <c r="AO71" s="59">
        <f t="shared" si="90"/>
        <v>297.12790038882594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62.567284062891716</v>
      </c>
      <c r="AV71" s="21">
        <f>EXP(-LN(2)/25)*AV70+(1-EXP(-LN(2)/25))/(LN(2)/25)*Calculateur!AQ71*Calculateur!AS71*VLOOKUP('Données projet'!$B$10,Paramètres!$A$1:$I$89,3,0)*0.475*44/12</f>
        <v>25.878739830864042</v>
      </c>
      <c r="AW71" s="21">
        <f>EXP(-LN(2)/2)*AW70+(1-EXP(-LN(2)/2))/(LN(2)/2)*AQ71*AT71*VLOOKUP('Données projet'!$B$10,Paramètres!$A$1:$I$89,3,0)*0.475*44/12</f>
        <v>2.2321531910112271</v>
      </c>
      <c r="AX71" s="21">
        <f t="shared" si="60"/>
        <v>90.678177084766972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2.2737367544323206E-13</v>
      </c>
      <c r="BE71" s="13">
        <f>BD71*VLOOKUP('Données projet'!$B$11,Paramètres!$A$1:$I$89,3,0)*VLOOKUP('Données projet'!$B$11,Paramètres!$A$1:$I$89,5,0)</f>
        <v>1.064108801074326E-13</v>
      </c>
      <c r="BF71" s="13">
        <f t="shared" si="91"/>
        <v>1.5870730813698654E-12</v>
      </c>
      <c r="BG71" s="20">
        <f t="shared" si="61"/>
        <v>2.9494845662396269E-12</v>
      </c>
      <c r="BH71" s="59">
        <f t="shared" si="62"/>
        <v>293.33333333333627</v>
      </c>
      <c r="BI71" s="59">
        <f ca="1">AVERAGE(OFFSET($BH$3,0,0,'Données projet'!$E$11+1,1))-AVERAGE(OFFSET($H$3,0,0,'Données projet'!$E$11+1,1))</f>
        <v>234.83702199169585</v>
      </c>
      <c r="BJ71" s="59">
        <f t="shared" si="92"/>
        <v>248.83008816685089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82.349166231296365</v>
      </c>
      <c r="BQ71" s="21">
        <f>EXP(-LN(2)/25)*BQ70+(1-EXP(-LN(2)/25))/(LN(2)/25)*Calculateur!BL71*Calculateur!BN71*VLOOKUP('Données projet'!$B$11,Paramètres!$A$1:$I$89,3,0)*0.475*44/12</f>
        <v>36.699939450148989</v>
      </c>
      <c r="BR71" s="21">
        <f>EXP(-LN(2)/2)*BR70+(1-EXP(-LN(2)/2))/(LN(2)/2)*BL71*BO71*VLOOKUP('Données projet'!$B$11,Paramètres!$A$1:$I$89,3,0)*0.475*44/12</f>
        <v>0.31780125312157054</v>
      </c>
      <c r="BS71" s="22">
        <f t="shared" si="63"/>
        <v>119.36690693456693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2.2737367544323206E-13</v>
      </c>
      <c r="BZ71" s="13">
        <f>BY71*VLOOKUP('Données projet'!$B$12,Paramètres!$A$1:$I$89,3,0)*VLOOKUP('Données projet'!$B$12,Paramètres!$A$1:$I$89,5,0)</f>
        <v>1.0049916454590858E-13</v>
      </c>
      <c r="CA71" s="13">
        <f t="shared" si="93"/>
        <v>1.5089081593838289E-12</v>
      </c>
      <c r="CB71" s="20">
        <f t="shared" si="64"/>
        <v>2.8030510891776262E-12</v>
      </c>
      <c r="CC71" s="59">
        <f t="shared" si="65"/>
        <v>293.3333333333361</v>
      </c>
      <c r="CD71" s="59">
        <f ca="1">AVERAGE(OFFSET($CC$3,0,0,'Données projet'!$E$12+1,1))-AVERAGE(OFFSET($H$3,0,0,'Données projet'!$E$12+1,1))</f>
        <v>220.26537310502334</v>
      </c>
      <c r="CE71" s="59">
        <f t="shared" si="94"/>
        <v>233.26853625122016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77.774212551779883</v>
      </c>
      <c r="CL71" s="21">
        <f>EXP(-LN(2)/25)*CL70+(1-EXP(-LN(2)/25))/(LN(2)/25)*Calculateur!CG71*Calculateur!CI71*VLOOKUP('Données projet'!$B$12,Paramètres!$A$1:$I$89,3,0)*0.475*44/12</f>
        <v>34.661053925140699</v>
      </c>
      <c r="CM71" s="21">
        <f>EXP(-LN(2)/2)*CM70+(1-EXP(-LN(2)/2))/(LN(2)/2)*CG71*CJ71*VLOOKUP('Données projet'!$B$12,Paramètres!$A$1:$I$89,3,0)*0.475*44/12</f>
        <v>0.30014562794815003</v>
      </c>
      <c r="CN71" s="22">
        <f t="shared" si="66"/>
        <v>112.73541210486874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-3.4106051316484809E-13</v>
      </c>
      <c r="O72" s="13">
        <f>N72*VLOOKUP('Données projet'!$B$9,Paramètres!$A$1:$I$89,3,0)*VLOOKUP('Données projet'!$B$9,Paramètres!$A$1:$I$89,5,0)</f>
        <v>-1.5961632016114892E-13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263.37813242097957</v>
      </c>
      <c r="T72" s="59">
        <f t="shared" si="88"/>
        <v>314.89350816766904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83.680800362891091</v>
      </c>
      <c r="AA72" s="21">
        <f>EXP(-LN(2)/25)*AA71+(1-EXP(-LN(2)/25))/(LN(2)/25)*Calculateur!V72*Calculateur!X72*VLOOKUP('Données projet'!$B$9,Paramètres!$A$1:$I$89,3,0)*0.475*44/12</f>
        <v>34.942891411253328</v>
      </c>
      <c r="AB72" s="21">
        <f>EXP(-LN(2)/2)*AB71+(1-EXP(-LN(2)/2))/(LN(2)/2)*V72*Y72*VLOOKUP('Données projet'!$B$9,Paramètres!$A$1:$I$89,3,0)*0.475*44/12</f>
        <v>8.7195639810042455E-2</v>
      </c>
      <c r="AC72" s="22">
        <f t="shared" si="57"/>
        <v>118.71088741395447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19.399999999999999</v>
      </c>
      <c r="AI72" s="13">
        <f>IF('Données projet'!$A$62&gt;35,AI71+AH72-AQ71,IF(A72&lt;'Données projet'!$A$62,$AF$205^A72,IF(A72='Données projet'!$A$62,'Données projet'!$B$62,AI71+AH72-AQ71)))</f>
        <v>811.6</v>
      </c>
      <c r="AJ72" s="13">
        <f>AI72*VLOOKUP('Données projet'!$B$10,Paramètres!$A$1:$I$89,3,0)*VLOOKUP('Données projet'!$B$10,Paramètres!$A$1:$I$89,5,0)</f>
        <v>327.07480000000004</v>
      </c>
      <c r="AK72" s="13">
        <f t="shared" si="89"/>
        <v>76.823524666636587</v>
      </c>
      <c r="AL72" s="20">
        <f t="shared" si="58"/>
        <v>703.45624879439208</v>
      </c>
      <c r="AM72" s="59">
        <f t="shared" si="59"/>
        <v>996.78958212772545</v>
      </c>
      <c r="AN72" s="59">
        <f ca="1">AVERAGE(OFFSET($AM$3,0,0,'Données projet'!$E$10+1,1))-AVERAGE(OFFSET($H$3,0,0,'Données projet'!$E$10+1,1))</f>
        <v>344.29957955721721</v>
      </c>
      <c r="AO72" s="59">
        <f t="shared" si="90"/>
        <v>297.12790038882594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61.340377784693473</v>
      </c>
      <c r="AV72" s="21">
        <f>EXP(-LN(2)/25)*AV71+(1-EXP(-LN(2)/25))/(LN(2)/25)*Calculateur!AQ72*Calculateur!AS72*VLOOKUP('Données projet'!$B$10,Paramètres!$A$1:$I$89,3,0)*0.475*44/12</f>
        <v>25.171084329285282</v>
      </c>
      <c r="AW72" s="21">
        <f>EXP(-LN(2)/2)*AW71+(1-EXP(-LN(2)/2))/(LN(2)/2)*AQ72*AT72*VLOOKUP('Données projet'!$B$10,Paramètres!$A$1:$I$89,3,0)*0.475*44/12</f>
        <v>1.5783706580112298</v>
      </c>
      <c r="AX72" s="21">
        <f t="shared" si="60"/>
        <v>88.089832771989975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2.2737367544323206E-13</v>
      </c>
      <c r="BE72" s="13">
        <f>BD72*VLOOKUP('Données projet'!$B$11,Paramètres!$A$1:$I$89,3,0)*VLOOKUP('Données projet'!$B$11,Paramètres!$A$1:$I$89,5,0)</f>
        <v>1.064108801074326E-13</v>
      </c>
      <c r="BF72" s="13">
        <f t="shared" si="91"/>
        <v>1.5870730813698654E-12</v>
      </c>
      <c r="BG72" s="20">
        <f t="shared" si="61"/>
        <v>2.9494845662396269E-12</v>
      </c>
      <c r="BH72" s="59">
        <f t="shared" si="62"/>
        <v>293.33333333333627</v>
      </c>
      <c r="BI72" s="59">
        <f ca="1">AVERAGE(OFFSET($BH$3,0,0,'Données projet'!$E$11+1,1))-AVERAGE(OFFSET($H$3,0,0,'Données projet'!$E$11+1,1))</f>
        <v>234.83702199169585</v>
      </c>
      <c r="BJ72" s="59">
        <f t="shared" si="92"/>
        <v>248.83008816685089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80.734349309532433</v>
      </c>
      <c r="BQ72" s="21">
        <f>EXP(-LN(2)/25)*BQ71+(1-EXP(-LN(2)/25))/(LN(2)/25)*Calculateur!BL72*Calculateur!BN72*VLOOKUP('Données projet'!$B$11,Paramètres!$A$1:$I$89,3,0)*0.475*44/12</f>
        <v>35.696377675918725</v>
      </c>
      <c r="BR72" s="21">
        <f>EXP(-LN(2)/2)*BR71+(1-EXP(-LN(2)/2))/(LN(2)/2)*BL72*BO72*VLOOKUP('Données projet'!$B$11,Paramètres!$A$1:$I$89,3,0)*0.475*44/12</f>
        <v>0.22471942115184498</v>
      </c>
      <c r="BS72" s="22">
        <f t="shared" si="63"/>
        <v>116.65544640660301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2.2737367544323206E-13</v>
      </c>
      <c r="BZ72" s="13">
        <f>BY72*VLOOKUP('Données projet'!$B$12,Paramètres!$A$1:$I$89,3,0)*VLOOKUP('Données projet'!$B$12,Paramètres!$A$1:$I$89,5,0)</f>
        <v>1.0049916454590858E-13</v>
      </c>
      <c r="CA72" s="13">
        <f t="shared" si="93"/>
        <v>1.5089081593838289E-12</v>
      </c>
      <c r="CB72" s="20">
        <f t="shared" si="64"/>
        <v>2.8030510891776262E-12</v>
      </c>
      <c r="CC72" s="59">
        <f t="shared" si="65"/>
        <v>293.3333333333361</v>
      </c>
      <c r="CD72" s="59">
        <f ca="1">AVERAGE(OFFSET($CC$3,0,0,'Données projet'!$E$12+1,1))-AVERAGE(OFFSET($H$3,0,0,'Données projet'!$E$12+1,1))</f>
        <v>220.26537310502334</v>
      </c>
      <c r="CE72" s="59">
        <f t="shared" si="94"/>
        <v>233.26853625122016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76.24910768122507</v>
      </c>
      <c r="CL72" s="21">
        <f>EXP(-LN(2)/25)*CL71+(1-EXP(-LN(2)/25))/(LN(2)/25)*Calculateur!CG72*Calculateur!CI72*VLOOKUP('Données projet'!$B$12,Paramètres!$A$1:$I$89,3,0)*0.475*44/12</f>
        <v>33.713245582812121</v>
      </c>
      <c r="CM72" s="21">
        <f>EXP(-LN(2)/2)*CM71+(1-EXP(-LN(2)/2))/(LN(2)/2)*CG72*CJ72*VLOOKUP('Données projet'!$B$12,Paramètres!$A$1:$I$89,3,0)*0.475*44/12</f>
        <v>0.21223500886563143</v>
      </c>
      <c r="CN72" s="22">
        <f t="shared" si="66"/>
        <v>110.17458827290282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-3.4106051316484809E-13</v>
      </c>
      <c r="O73" s="13">
        <f>N73*VLOOKUP('Données projet'!$B$9,Paramètres!$A$1:$I$89,3,0)*VLOOKUP('Données projet'!$B$9,Paramètres!$A$1:$I$89,5,0)</f>
        <v>-1.5961632016114892E-13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263.37813242097957</v>
      </c>
      <c r="T73" s="59">
        <f t="shared" si="88"/>
        <v>314.89350816766904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82.039870908023218</v>
      </c>
      <c r="AA73" s="21">
        <f>EXP(-LN(2)/25)*AA72+(1-EXP(-LN(2)/25))/(LN(2)/25)*Calculateur!V73*Calculateur!X73*VLOOKUP('Données projet'!$B$9,Paramètres!$A$1:$I$89,3,0)*0.475*44/12</f>
        <v>33.987376208045809</v>
      </c>
      <c r="AB73" s="21">
        <f>EXP(-LN(2)/2)*AB72+(1-EXP(-LN(2)/2))/(LN(2)/2)*V73*Y73*VLOOKUP('Données projet'!$B$9,Paramètres!$A$1:$I$89,3,0)*0.475*44/12</f>
        <v>6.1656628199580704E-2</v>
      </c>
      <c r="AC73" s="22">
        <f t="shared" si="57"/>
        <v>116.08890374426861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831</v>
      </c>
      <c r="AG73" s="12">
        <f>VLOOKUP(A73,'Données projet'!$A$61:$I$81,9,0)</f>
        <v>19.399999999999999</v>
      </c>
      <c r="AH73" s="12">
        <f t="array" ref="AH73">INDEX(AG:AG,MIN(IF(ISNUMBER(AG73:AG269),ROW(AG73:AG269),"")))</f>
        <v>19.399999999999999</v>
      </c>
      <c r="AI73" s="13">
        <f>IF('Données projet'!$A$62&gt;35,AI72+AH73-AQ72,IF(A73&lt;'Données projet'!$A$62,$AF$205^A73,IF(A73='Données projet'!$A$62,'Données projet'!$B$62,AI72+AH73-AQ72)))</f>
        <v>831</v>
      </c>
      <c r="AJ73" s="13">
        <f>AI73*VLOOKUP('Données projet'!$B$10,Paramètres!$A$1:$I$89,3,0)*VLOOKUP('Données projet'!$B$10,Paramètres!$A$1:$I$89,5,0)</f>
        <v>334.89300000000003</v>
      </c>
      <c r="AK73" s="13">
        <f t="shared" si="89"/>
        <v>78.443880290088131</v>
      </c>
      <c r="AL73" s="20">
        <f t="shared" si="58"/>
        <v>719.89506650523697</v>
      </c>
      <c r="AM73" s="59">
        <f t="shared" si="59"/>
        <v>1013.2283998385703</v>
      </c>
      <c r="AN73" s="59">
        <f ca="1">AVERAGE(OFFSET($AM$3,0,0,'Données projet'!$E$10+1,1))-AVERAGE(OFFSET($H$3,0,0,'Données projet'!$E$10+1,1))</f>
        <v>344.29957955721721</v>
      </c>
      <c r="AO73" s="59">
        <f t="shared" si="90"/>
        <v>297.12790038882594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53</v>
      </c>
      <c r="AR73" s="16">
        <f>IF(ISNA(VLOOKUP(A73,'Données projet'!$A$61:$I$81,5,0)),0%,VLOOKUP(A73,'Données projet'!$A$61:$I$81,5,0)*VLOOKUP('Données projet'!$B$10,Paramètres!$A$1:$I$89,7,0))</f>
        <v>0.33</v>
      </c>
      <c r="AS73" s="16">
        <f>IF(ISNA(VLOOKUP(A73,'Données projet'!$A$61:$I$81,6,0)),0%,VLOOKUP(A73,'Données projet'!$A$61:$I$81,6,0)*VLOOKUP('Données projet'!$B$10,Paramètres!$A$1:$I$89,7,0))</f>
        <v>0.11000000000000001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69.487780157503693</v>
      </c>
      <c r="AV73" s="21">
        <f>EXP(-LN(2)/25)*AV72+(1-EXP(-LN(2)/25))/(LN(2)/25)*Calculateur!AQ73*Calculateur!AS73*VLOOKUP('Données projet'!$B$10,Paramètres!$A$1:$I$89,3,0)*0.475*44/12</f>
        <v>27.587257795002468</v>
      </c>
      <c r="AW73" s="21">
        <f>EXP(-LN(2)/2)*AW72+(1-EXP(-LN(2)/2))/(LN(2)/2)*AQ73*AT73*VLOOKUP('Données projet'!$B$10,Paramètres!$A$1:$I$89,3,0)*0.475*44/12</f>
        <v>5.9527465240791706</v>
      </c>
      <c r="AX73" s="21">
        <f t="shared" si="60"/>
        <v>103.02778447658534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2.2737367544323206E-13</v>
      </c>
      <c r="BE73" s="13">
        <f>BD73*VLOOKUP('Données projet'!$B$11,Paramètres!$A$1:$I$89,3,0)*VLOOKUP('Données projet'!$B$11,Paramètres!$A$1:$I$89,5,0)</f>
        <v>1.064108801074326E-13</v>
      </c>
      <c r="BF73" s="13">
        <f t="shared" si="91"/>
        <v>1.5870730813698654E-12</v>
      </c>
      <c r="BG73" s="20">
        <f t="shared" si="61"/>
        <v>2.9494845662396269E-12</v>
      </c>
      <c r="BH73" s="59">
        <f t="shared" si="62"/>
        <v>293.33333333333627</v>
      </c>
      <c r="BI73" s="59">
        <f ca="1">AVERAGE(OFFSET($BH$3,0,0,'Données projet'!$E$11+1,1))-AVERAGE(OFFSET($H$3,0,0,'Données projet'!$E$11+1,1))</f>
        <v>234.83702199169585</v>
      </c>
      <c r="BJ73" s="59">
        <f t="shared" si="92"/>
        <v>248.83008816685089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79.151197962663232</v>
      </c>
      <c r="BQ73" s="21">
        <f>EXP(-LN(2)/25)*BQ72+(1-EXP(-LN(2)/25))/(LN(2)/25)*Calculateur!BL73*Calculateur!BN73*VLOOKUP('Données projet'!$B$11,Paramètres!$A$1:$I$89,3,0)*0.475*44/12</f>
        <v>34.720258351179808</v>
      </c>
      <c r="BR73" s="21">
        <f>EXP(-LN(2)/2)*BR72+(1-EXP(-LN(2)/2))/(LN(2)/2)*BL73*BO73*VLOOKUP('Données projet'!$B$11,Paramètres!$A$1:$I$89,3,0)*0.475*44/12</f>
        <v>0.15890062656078527</v>
      </c>
      <c r="BS73" s="22">
        <f t="shared" si="63"/>
        <v>114.03035694040382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2.2737367544323206E-13</v>
      </c>
      <c r="BZ73" s="13">
        <f>BY73*VLOOKUP('Données projet'!$B$12,Paramètres!$A$1:$I$89,3,0)*VLOOKUP('Données projet'!$B$12,Paramètres!$A$1:$I$89,5,0)</f>
        <v>1.0049916454590858E-13</v>
      </c>
      <c r="CA73" s="13">
        <f t="shared" si="93"/>
        <v>1.5089081593838289E-12</v>
      </c>
      <c r="CB73" s="20">
        <f t="shared" si="64"/>
        <v>2.8030510891776262E-12</v>
      </c>
      <c r="CC73" s="59">
        <f t="shared" si="65"/>
        <v>293.3333333333361</v>
      </c>
      <c r="CD73" s="59">
        <f ca="1">AVERAGE(OFFSET($CC$3,0,0,'Données projet'!$E$12+1,1))-AVERAGE(OFFSET($H$3,0,0,'Données projet'!$E$12+1,1))</f>
        <v>220.26537310502334</v>
      </c>
      <c r="CE73" s="59">
        <f t="shared" si="94"/>
        <v>233.26853625122016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74.753909186959717</v>
      </c>
      <c r="CL73" s="21">
        <f>EXP(-LN(2)/25)*CL72+(1-EXP(-LN(2)/25))/(LN(2)/25)*Calculateur!CG73*Calculateur!CI73*VLOOKUP('Données projet'!$B$12,Paramètres!$A$1:$I$89,3,0)*0.475*44/12</f>
        <v>32.791355109447593</v>
      </c>
      <c r="CM73" s="21">
        <f>EXP(-LN(2)/2)*CM72+(1-EXP(-LN(2)/2))/(LN(2)/2)*CG73*CJ73*VLOOKUP('Données projet'!$B$12,Paramètres!$A$1:$I$89,3,0)*0.475*44/12</f>
        <v>0.15007281397407501</v>
      </c>
      <c r="CN73" s="22">
        <f t="shared" si="66"/>
        <v>107.69533711038139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-3.4106051316484809E-13</v>
      </c>
      <c r="O74" s="13">
        <f>N74*VLOOKUP('Données projet'!$B$9,Paramètres!$A$1:$I$89,3,0)*VLOOKUP('Données projet'!$B$9,Paramètres!$A$1:$I$89,5,0)</f>
        <v>-1.5961632016114892E-13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263.37813242097957</v>
      </c>
      <c r="T74" s="59">
        <f t="shared" si="88"/>
        <v>314.89350816766904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80.431119078897154</v>
      </c>
      <c r="AA74" s="21">
        <f>EXP(-LN(2)/25)*AA73+(1-EXP(-LN(2)/25))/(LN(2)/25)*Calculateur!V74*Calculateur!X74*VLOOKUP('Données projet'!$B$9,Paramètres!$A$1:$I$89,3,0)*0.475*44/12</f>
        <v>33.057989618318359</v>
      </c>
      <c r="AB74" s="21">
        <f>EXP(-LN(2)/2)*AB73+(1-EXP(-LN(2)/2))/(LN(2)/2)*V74*Y74*VLOOKUP('Données projet'!$B$9,Paramètres!$A$1:$I$89,3,0)*0.475*44/12</f>
        <v>4.3597819905021234E-2</v>
      </c>
      <c r="AC74" s="22">
        <f t="shared" si="57"/>
        <v>113.53270651712053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18</v>
      </c>
      <c r="AI74" s="13">
        <f>IF('Données projet'!$A$62&gt;35,AI73+AH74-AQ73,IF(A74&lt;'Données projet'!$A$62,$AF$205^A74,IF(A74='Données projet'!$A$62,'Données projet'!$B$62,AI73+AH74-AQ73)))</f>
        <v>796</v>
      </c>
      <c r="AJ74" s="13">
        <f>AI74*VLOOKUP('Données projet'!$B$10,Paramètres!$A$1:$I$89,3,0)*VLOOKUP('Données projet'!$B$10,Paramètres!$A$1:$I$89,5,0)</f>
        <v>320.78800000000001</v>
      </c>
      <c r="AK74" s="13">
        <f t="shared" si="89"/>
        <v>75.517288911047345</v>
      </c>
      <c r="AL74" s="20">
        <f t="shared" si="58"/>
        <v>690.2317115200741</v>
      </c>
      <c r="AM74" s="59">
        <f t="shared" si="59"/>
        <v>983.56504485340747</v>
      </c>
      <c r="AN74" s="59">
        <f ca="1">AVERAGE(OFFSET($AM$3,0,0,'Données projet'!$E$10+1,1))-AVERAGE(OFFSET($H$3,0,0,'Données projet'!$E$10+1,1))</f>
        <v>344.29957955721721</v>
      </c>
      <c r="AO74" s="59">
        <f t="shared" si="90"/>
        <v>297.12790038882594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68.125167171975932</v>
      </c>
      <c r="AV74" s="21">
        <f>EXP(-LN(2)/25)*AV73+(1-EXP(-LN(2)/25))/(LN(2)/25)*Calculateur!AQ74*Calculateur!AS74*VLOOKUP('Données projet'!$B$10,Paramètres!$A$1:$I$89,3,0)*0.475*44/12</f>
        <v>26.832882779847289</v>
      </c>
      <c r="AW74" s="21">
        <f>EXP(-LN(2)/2)*AW73+(1-EXP(-LN(2)/2))/(LN(2)/2)*AQ74*AT74*VLOOKUP('Données projet'!$B$10,Paramètres!$A$1:$I$89,3,0)*0.475*44/12</f>
        <v>4.2092274338610318</v>
      </c>
      <c r="AX74" s="21">
        <f t="shared" si="60"/>
        <v>99.167277385684258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2.2737367544323206E-13</v>
      </c>
      <c r="BE74" s="13">
        <f>BD74*VLOOKUP('Données projet'!$B$11,Paramètres!$A$1:$I$89,3,0)*VLOOKUP('Données projet'!$B$11,Paramètres!$A$1:$I$89,5,0)</f>
        <v>1.064108801074326E-13</v>
      </c>
      <c r="BF74" s="13">
        <f t="shared" si="91"/>
        <v>1.5870730813698654E-12</v>
      </c>
      <c r="BG74" s="20">
        <f t="shared" si="61"/>
        <v>2.9494845662396269E-12</v>
      </c>
      <c r="BH74" s="59">
        <f t="shared" si="62"/>
        <v>293.33333333333627</v>
      </c>
      <c r="BI74" s="59">
        <f ca="1">AVERAGE(OFFSET($BH$3,0,0,'Données projet'!$E$11+1,1))-AVERAGE(OFFSET($H$3,0,0,'Données projet'!$E$11+1,1))</f>
        <v>234.83702199169585</v>
      </c>
      <c r="BJ74" s="59">
        <f t="shared" si="92"/>
        <v>248.83008816685089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77.599091248079162</v>
      </c>
      <c r="BQ74" s="21">
        <f>EXP(-LN(2)/25)*BQ73+(1-EXP(-LN(2)/25))/(LN(2)/25)*Calculateur!BL74*Calculateur!BN74*VLOOKUP('Données projet'!$B$11,Paramètres!$A$1:$I$89,3,0)*0.475*44/12</f>
        <v>33.770831060707764</v>
      </c>
      <c r="BR74" s="21">
        <f>EXP(-LN(2)/2)*BR73+(1-EXP(-LN(2)/2))/(LN(2)/2)*BL74*BO74*VLOOKUP('Données projet'!$B$11,Paramètres!$A$1:$I$89,3,0)*0.475*44/12</f>
        <v>0.11235971057592249</v>
      </c>
      <c r="BS74" s="22">
        <f t="shared" si="63"/>
        <v>111.48228201936284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2.2737367544323206E-13</v>
      </c>
      <c r="BZ74" s="13">
        <f>BY74*VLOOKUP('Données projet'!$B$12,Paramètres!$A$1:$I$89,3,0)*VLOOKUP('Données projet'!$B$12,Paramètres!$A$1:$I$89,5,0)</f>
        <v>1.0049916454590858E-13</v>
      </c>
      <c r="CA74" s="13">
        <f t="shared" si="93"/>
        <v>1.5089081593838289E-12</v>
      </c>
      <c r="CB74" s="20">
        <f t="shared" si="64"/>
        <v>2.8030510891776262E-12</v>
      </c>
      <c r="CC74" s="59">
        <f t="shared" si="65"/>
        <v>293.3333333333361</v>
      </c>
      <c r="CD74" s="59">
        <f ca="1">AVERAGE(OFFSET($CC$3,0,0,'Données projet'!$E$12+1,1))-AVERAGE(OFFSET($H$3,0,0,'Données projet'!$E$12+1,1))</f>
        <v>220.26537310502334</v>
      </c>
      <c r="CE74" s="59">
        <f t="shared" si="94"/>
        <v>233.26853625122016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73.288030623185875</v>
      </c>
      <c r="CL74" s="21">
        <f>EXP(-LN(2)/25)*CL73+(1-EXP(-LN(2)/25))/(LN(2)/25)*Calculateur!CG74*Calculateur!CI74*VLOOKUP('Données projet'!$B$12,Paramètres!$A$1:$I$89,3,0)*0.475*44/12</f>
        <v>31.89467377955733</v>
      </c>
      <c r="CM74" s="21">
        <f>EXP(-LN(2)/2)*CM73+(1-EXP(-LN(2)/2))/(LN(2)/2)*CG74*CJ74*VLOOKUP('Données projet'!$B$12,Paramètres!$A$1:$I$89,3,0)*0.475*44/12</f>
        <v>0.10611750443281572</v>
      </c>
      <c r="CN74" s="22">
        <f t="shared" si="66"/>
        <v>105.28882190717603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-3.4106051316484809E-13</v>
      </c>
      <c r="O75" s="13">
        <f>N75*VLOOKUP('Données projet'!$B$9,Paramètres!$A$1:$I$89,3,0)*VLOOKUP('Données projet'!$B$9,Paramètres!$A$1:$I$89,5,0)</f>
        <v>-1.5961632016114892E-13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263.37813242097957</v>
      </c>
      <c r="T75" s="59">
        <f t="shared" si="88"/>
        <v>314.89350816766904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78.853913891898529</v>
      </c>
      <c r="AA75" s="21">
        <f>EXP(-LN(2)/25)*AA74+(1-EXP(-LN(2)/25))/(LN(2)/25)*Calculateur!V75*Calculateur!X75*VLOOKUP('Données projet'!$B$9,Paramètres!$A$1:$I$89,3,0)*0.475*44/12</f>
        <v>32.154017153761323</v>
      </c>
      <c r="AB75" s="21">
        <f>EXP(-LN(2)/2)*AB74+(1-EXP(-LN(2)/2))/(LN(2)/2)*V75*Y75*VLOOKUP('Données projet'!$B$9,Paramètres!$A$1:$I$89,3,0)*0.475*44/12</f>
        <v>3.0828314099790359E-2</v>
      </c>
      <c r="AC75" s="22">
        <f t="shared" si="57"/>
        <v>111.03875935975965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18</v>
      </c>
      <c r="AI75" s="13">
        <f>IF('Données projet'!$A$62&gt;35,AI74+AH75-AQ74,IF(A75&lt;'Données projet'!$A$62,$AF$205^A75,IF(A75='Données projet'!$A$62,'Données projet'!$B$62,AI74+AH75-AQ74)))</f>
        <v>814</v>
      </c>
      <c r="AJ75" s="13">
        <f>AI75*VLOOKUP('Données projet'!$B$10,Paramètres!$A$1:$I$89,3,0)*VLOOKUP('Données projet'!$B$10,Paramètres!$A$1:$I$89,5,0)</f>
        <v>328.04200000000003</v>
      </c>
      <c r="AK75" s="13">
        <f t="shared" si="89"/>
        <v>77.024223325762577</v>
      </c>
      <c r="AL75" s="20">
        <f t="shared" si="58"/>
        <v>705.49033895903665</v>
      </c>
      <c r="AM75" s="59">
        <f t="shared" si="59"/>
        <v>998.82367229237002</v>
      </c>
      <c r="AN75" s="59">
        <f ca="1">AVERAGE(OFFSET($AM$3,0,0,'Données projet'!$E$10+1,1))-AVERAGE(OFFSET($H$3,0,0,'Données projet'!$E$10+1,1))</f>
        <v>344.29957955721721</v>
      </c>
      <c r="AO75" s="59">
        <f t="shared" si="90"/>
        <v>297.12790038882594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66.789274195982514</v>
      </c>
      <c r="AV75" s="21">
        <f>EXP(-LN(2)/25)*AV74+(1-EXP(-LN(2)/25))/(LN(2)/25)*Calculateur!AQ75*Calculateur!AS75*VLOOKUP('Données projet'!$B$10,Paramètres!$A$1:$I$89,3,0)*0.475*44/12</f>
        <v>26.099136189152386</v>
      </c>
      <c r="AW75" s="21">
        <f>EXP(-LN(2)/2)*AW74+(1-EXP(-LN(2)/2))/(LN(2)/2)*AQ75*AT75*VLOOKUP('Données projet'!$B$10,Paramètres!$A$1:$I$89,3,0)*0.475*44/12</f>
        <v>2.9763732620395857</v>
      </c>
      <c r="AX75" s="21">
        <f t="shared" si="60"/>
        <v>95.864783647174491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2.2737367544323206E-13</v>
      </c>
      <c r="BE75" s="13">
        <f>BD75*VLOOKUP('Données projet'!$B$11,Paramètres!$A$1:$I$89,3,0)*VLOOKUP('Données projet'!$B$11,Paramètres!$A$1:$I$89,5,0)</f>
        <v>1.064108801074326E-13</v>
      </c>
      <c r="BF75" s="13">
        <f t="shared" si="91"/>
        <v>1.5870730813698654E-12</v>
      </c>
      <c r="BG75" s="20">
        <f t="shared" si="61"/>
        <v>2.9494845662396269E-12</v>
      </c>
      <c r="BH75" s="59">
        <f t="shared" si="62"/>
        <v>293.33333333333627</v>
      </c>
      <c r="BI75" s="59">
        <f ca="1">AVERAGE(OFFSET($BH$3,0,0,'Données projet'!$E$11+1,1))-AVERAGE(OFFSET($H$3,0,0,'Données projet'!$E$11+1,1))</f>
        <v>234.83702199169585</v>
      </c>
      <c r="BJ75" s="59">
        <f t="shared" si="92"/>
        <v>248.83008816685089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76.077420399476466</v>
      </c>
      <c r="BQ75" s="21">
        <f>EXP(-LN(2)/25)*BQ74+(1-EXP(-LN(2)/25))/(LN(2)/25)*Calculateur!BL75*Calculateur!BN75*VLOOKUP('Données projet'!$B$11,Paramètres!$A$1:$I$89,3,0)*0.475*44/12</f>
        <v>32.847365909421889</v>
      </c>
      <c r="BR75" s="21">
        <f>EXP(-LN(2)/2)*BR74+(1-EXP(-LN(2)/2))/(LN(2)/2)*BL75*BO75*VLOOKUP('Données projet'!$B$11,Paramètres!$A$1:$I$89,3,0)*0.475*44/12</f>
        <v>7.9450313280392634E-2</v>
      </c>
      <c r="BS75" s="22">
        <f t="shared" si="63"/>
        <v>109.00423662217874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2.2737367544323206E-13</v>
      </c>
      <c r="BZ75" s="13">
        <f>BY75*VLOOKUP('Données projet'!$B$12,Paramètres!$A$1:$I$89,3,0)*VLOOKUP('Données projet'!$B$12,Paramètres!$A$1:$I$89,5,0)</f>
        <v>1.0049916454590858E-13</v>
      </c>
      <c r="CA75" s="13">
        <f t="shared" si="93"/>
        <v>1.5089081593838289E-12</v>
      </c>
      <c r="CB75" s="20">
        <f t="shared" si="64"/>
        <v>2.8030510891776262E-12</v>
      </c>
      <c r="CC75" s="59">
        <f t="shared" si="65"/>
        <v>293.3333333333361</v>
      </c>
      <c r="CD75" s="59">
        <f ca="1">AVERAGE(OFFSET($CC$3,0,0,'Données projet'!$E$12+1,1))-AVERAGE(OFFSET($H$3,0,0,'Données projet'!$E$12+1,1))</f>
        <v>220.26537310502334</v>
      </c>
      <c r="CE75" s="59">
        <f t="shared" si="94"/>
        <v>233.26853625122016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71.850897043949999</v>
      </c>
      <c r="CL75" s="21">
        <f>EXP(-LN(2)/25)*CL74+(1-EXP(-LN(2)/25))/(LN(2)/25)*Calculateur!CG75*Calculateur!CI75*VLOOKUP('Données projet'!$B$12,Paramètres!$A$1:$I$89,3,0)*0.475*44/12</f>
        <v>31.022512247787336</v>
      </c>
      <c r="CM75" s="21">
        <f>EXP(-LN(2)/2)*CM74+(1-EXP(-LN(2)/2))/(LN(2)/2)*CG75*CJ75*VLOOKUP('Données projet'!$B$12,Paramètres!$A$1:$I$89,3,0)*0.475*44/12</f>
        <v>7.5036406987037507E-2</v>
      </c>
      <c r="CN75" s="22">
        <f t="shared" si="66"/>
        <v>102.94844569872437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-3.4106051316484809E-13</v>
      </c>
      <c r="O76" s="13">
        <f>N76*VLOOKUP('Données projet'!$B$9,Paramètres!$A$1:$I$89,3,0)*VLOOKUP('Données projet'!$B$9,Paramètres!$A$1:$I$89,5,0)</f>
        <v>-1.5961632016114892E-13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263.37813242097957</v>
      </c>
      <c r="T76" s="59">
        <f t="shared" si="88"/>
        <v>314.89350816766904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77.307636736616772</v>
      </c>
      <c r="AA76" s="21">
        <f>EXP(-LN(2)/25)*AA75+(1-EXP(-LN(2)/25))/(LN(2)/25)*Calculateur!V76*Calculateur!X76*VLOOKUP('Données projet'!$B$9,Paramètres!$A$1:$I$89,3,0)*0.475*44/12</f>
        <v>31.274763863785445</v>
      </c>
      <c r="AB76" s="21">
        <f>EXP(-LN(2)/2)*AB75+(1-EXP(-LN(2)/2))/(LN(2)/2)*V76*Y76*VLOOKUP('Données projet'!$B$9,Paramètres!$A$1:$I$89,3,0)*0.475*44/12</f>
        <v>2.1798909952510621E-2</v>
      </c>
      <c r="AC76" s="22">
        <f t="shared" si="57"/>
        <v>108.60419951035473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18</v>
      </c>
      <c r="AI76" s="13">
        <f>IF('Données projet'!$A$62&gt;35,AI75+AH76-AQ75,IF(A76&lt;'Données projet'!$A$62,$AF$205^A76,IF(A76='Données projet'!$A$62,'Données projet'!$B$62,AI75+AH76-AQ75)))</f>
        <v>832</v>
      </c>
      <c r="AJ76" s="13">
        <f>AI76*VLOOKUP('Données projet'!$B$10,Paramètres!$A$1:$I$89,3,0)*VLOOKUP('Données projet'!$B$10,Paramètres!$A$1:$I$89,5,0)</f>
        <v>335.29600000000005</v>
      </c>
      <c r="AK76" s="13">
        <f t="shared" si="89"/>
        <v>78.527283611849413</v>
      </c>
      <c r="AL76" s="20">
        <f t="shared" si="58"/>
        <v>720.74221895730443</v>
      </c>
      <c r="AM76" s="59">
        <f t="shared" si="59"/>
        <v>1014.0755522906377</v>
      </c>
      <c r="AN76" s="59">
        <f ca="1">AVERAGE(OFFSET($AM$3,0,0,'Données projet'!$E$10+1,1))-AVERAGE(OFFSET($H$3,0,0,'Données projet'!$E$10+1,1))</f>
        <v>344.29957955721721</v>
      </c>
      <c r="AO76" s="59">
        <f t="shared" si="90"/>
        <v>297.12790038882594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65.479577266434063</v>
      </c>
      <c r="AV76" s="21">
        <f>EXP(-LN(2)/25)*AV75+(1-EXP(-LN(2)/25))/(LN(2)/25)*Calculateur!AQ76*Calculateur!AS76*VLOOKUP('Données projet'!$B$10,Paramètres!$A$1:$I$89,3,0)*0.475*44/12</f>
        <v>25.385453937566091</v>
      </c>
      <c r="AW76" s="21">
        <f>EXP(-LN(2)/2)*AW75+(1-EXP(-LN(2)/2))/(LN(2)/2)*AQ76*AT76*VLOOKUP('Données projet'!$B$10,Paramètres!$A$1:$I$89,3,0)*0.475*44/12</f>
        <v>2.1046137169305164</v>
      </c>
      <c r="AX76" s="21">
        <f t="shared" si="60"/>
        <v>92.969644920930676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2.2737367544323206E-13</v>
      </c>
      <c r="BE76" s="13">
        <f>BD76*VLOOKUP('Données projet'!$B$11,Paramètres!$A$1:$I$89,3,0)*VLOOKUP('Données projet'!$B$11,Paramètres!$A$1:$I$89,5,0)</f>
        <v>1.064108801074326E-13</v>
      </c>
      <c r="BF76" s="13">
        <f t="shared" si="91"/>
        <v>1.5870730813698654E-12</v>
      </c>
      <c r="BG76" s="20">
        <f t="shared" si="61"/>
        <v>2.9494845662396269E-12</v>
      </c>
      <c r="BH76" s="59">
        <f t="shared" si="62"/>
        <v>293.33333333333627</v>
      </c>
      <c r="BI76" s="59">
        <f ca="1">AVERAGE(OFFSET($BH$3,0,0,'Données projet'!$E$11+1,1))-AVERAGE(OFFSET($H$3,0,0,'Données projet'!$E$11+1,1))</f>
        <v>234.83702199169585</v>
      </c>
      <c r="BJ76" s="59">
        <f t="shared" si="92"/>
        <v>248.83008816685089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74.58558858808729</v>
      </c>
      <c r="BQ76" s="21">
        <f>EXP(-LN(2)/25)*BQ75+(1-EXP(-LN(2)/25))/(LN(2)/25)*Calculateur!BL76*Calculateur!BN76*VLOOKUP('Données projet'!$B$11,Paramètres!$A$1:$I$89,3,0)*0.475*44/12</f>
        <v>31.949152961260847</v>
      </c>
      <c r="BR76" s="21">
        <f>EXP(-LN(2)/2)*BR75+(1-EXP(-LN(2)/2))/(LN(2)/2)*BL76*BO76*VLOOKUP('Données projet'!$B$11,Paramètres!$A$1:$I$89,3,0)*0.475*44/12</f>
        <v>5.6179855287961246E-2</v>
      </c>
      <c r="BS76" s="22">
        <f t="shared" si="63"/>
        <v>106.59092140463611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2.2737367544323206E-13</v>
      </c>
      <c r="BZ76" s="13">
        <f>BY76*VLOOKUP('Données projet'!$B$12,Paramètres!$A$1:$I$89,3,0)*VLOOKUP('Données projet'!$B$12,Paramètres!$A$1:$I$89,5,0)</f>
        <v>1.0049916454590858E-13</v>
      </c>
      <c r="CA76" s="13">
        <f t="shared" si="93"/>
        <v>1.5089081593838289E-12</v>
      </c>
      <c r="CB76" s="20">
        <f t="shared" si="64"/>
        <v>2.8030510891776262E-12</v>
      </c>
      <c r="CC76" s="59">
        <f t="shared" si="65"/>
        <v>293.3333333333361</v>
      </c>
      <c r="CD76" s="59">
        <f ca="1">AVERAGE(OFFSET($CC$3,0,0,'Données projet'!$E$12+1,1))-AVERAGE(OFFSET($H$3,0,0,'Données projet'!$E$12+1,1))</f>
        <v>220.26537310502334</v>
      </c>
      <c r="CE76" s="59">
        <f t="shared" si="94"/>
        <v>233.26853625122016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70.441944777638</v>
      </c>
      <c r="CL76" s="21">
        <f>EXP(-LN(2)/25)*CL75+(1-EXP(-LN(2)/25))/(LN(2)/25)*Calculateur!CG76*Calculateur!CI76*VLOOKUP('Données projet'!$B$12,Paramètres!$A$1:$I$89,3,0)*0.475*44/12</f>
        <v>30.174200018968577</v>
      </c>
      <c r="CM76" s="21">
        <f>EXP(-LN(2)/2)*CM75+(1-EXP(-LN(2)/2))/(LN(2)/2)*CG76*CJ76*VLOOKUP('Données projet'!$B$12,Paramètres!$A$1:$I$89,3,0)*0.475*44/12</f>
        <v>5.3058752216407858E-2</v>
      </c>
      <c r="CN76" s="22">
        <f t="shared" si="66"/>
        <v>100.66920354882298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-3.4106051316484809E-13</v>
      </c>
      <c r="O77" s="13">
        <f>N77*VLOOKUP('Données projet'!$B$9,Paramètres!$A$1:$I$89,3,0)*VLOOKUP('Données projet'!$B$9,Paramètres!$A$1:$I$89,5,0)</f>
        <v>-1.5961632016114892E-13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263.37813242097957</v>
      </c>
      <c r="T77" s="59">
        <f t="shared" si="88"/>
        <v>314.89350816766904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75.791681133214155</v>
      </c>
      <c r="AA77" s="21">
        <f>EXP(-LN(2)/25)*AA76+(1-EXP(-LN(2)/25))/(LN(2)/25)*Calculateur!V77*Calculateur!X77*VLOOKUP('Données projet'!$B$9,Paramètres!$A$1:$I$89,3,0)*0.475*44/12</f>
        <v>30.41955380126188</v>
      </c>
      <c r="AB77" s="21">
        <f>EXP(-LN(2)/2)*AB76+(1-EXP(-LN(2)/2))/(LN(2)/2)*V77*Y77*VLOOKUP('Données projet'!$B$9,Paramètres!$A$1:$I$89,3,0)*0.475*44/12</f>
        <v>1.5414157049895181E-2</v>
      </c>
      <c r="AC77" s="22">
        <f t="shared" si="57"/>
        <v>106.22664909152593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18</v>
      </c>
      <c r="AI77" s="13">
        <f>IF('Données projet'!$A$62&gt;35,AI76+AH77-AQ76,IF(A77&lt;'Données projet'!$A$62,$AF$205^A77,IF(A77='Données projet'!$A$62,'Données projet'!$B$62,AI76+AH77-AQ76)))</f>
        <v>850</v>
      </c>
      <c r="AJ77" s="13">
        <f>AI77*VLOOKUP('Données projet'!$B$10,Paramètres!$A$1:$I$89,3,0)*VLOOKUP('Données projet'!$B$10,Paramètres!$A$1:$I$89,5,0)</f>
        <v>342.55</v>
      </c>
      <c r="AK77" s="13">
        <f t="shared" si="89"/>
        <v>80.026563237696905</v>
      </c>
      <c r="AL77" s="20">
        <f t="shared" si="58"/>
        <v>735.98751430565551</v>
      </c>
      <c r="AM77" s="59">
        <f t="shared" si="59"/>
        <v>1029.3208476389889</v>
      </c>
      <c r="AN77" s="59">
        <f ca="1">AVERAGE(OFFSET($AM$3,0,0,'Données projet'!$E$10+1,1))-AVERAGE(OFFSET($H$3,0,0,'Données projet'!$E$10+1,1))</f>
        <v>344.29957955721721</v>
      </c>
      <c r="AO77" s="59">
        <f t="shared" si="90"/>
        <v>297.12790038882594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64.195562694837818</v>
      </c>
      <c r="AV77" s="21">
        <f>EXP(-LN(2)/25)*AV76+(1-EXP(-LN(2)/25))/(LN(2)/25)*Calculateur!AQ77*Calculateur!AS77*VLOOKUP('Données projet'!$B$10,Paramètres!$A$1:$I$89,3,0)*0.475*44/12</f>
        <v>24.691287364680342</v>
      </c>
      <c r="AW77" s="21">
        <f>EXP(-LN(2)/2)*AW76+(1-EXP(-LN(2)/2))/(LN(2)/2)*AQ77*AT77*VLOOKUP('Données projet'!$B$10,Paramètres!$A$1:$I$89,3,0)*0.475*44/12</f>
        <v>1.4881866310197931</v>
      </c>
      <c r="AX77" s="21">
        <f t="shared" si="60"/>
        <v>90.375036690537954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2.2737367544323206E-13</v>
      </c>
      <c r="BE77" s="13">
        <f>BD77*VLOOKUP('Données projet'!$B$11,Paramètres!$A$1:$I$89,3,0)*VLOOKUP('Données projet'!$B$11,Paramètres!$A$1:$I$89,5,0)</f>
        <v>1.064108801074326E-13</v>
      </c>
      <c r="BF77" s="13">
        <f t="shared" si="91"/>
        <v>1.5870730813698654E-12</v>
      </c>
      <c r="BG77" s="20">
        <f t="shared" si="61"/>
        <v>2.9494845662396269E-12</v>
      </c>
      <c r="BH77" s="59">
        <f t="shared" si="62"/>
        <v>293.33333333333627</v>
      </c>
      <c r="BI77" s="59">
        <f ca="1">AVERAGE(OFFSET($BH$3,0,0,'Données projet'!$E$11+1,1))-AVERAGE(OFFSET($H$3,0,0,'Données projet'!$E$11+1,1))</f>
        <v>234.83702199169585</v>
      </c>
      <c r="BJ77" s="59">
        <f t="shared" si="92"/>
        <v>248.83008816685089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73.123010688591904</v>
      </c>
      <c r="BQ77" s="21">
        <f>EXP(-LN(2)/25)*BQ76+(1-EXP(-LN(2)/25))/(LN(2)/25)*Calculateur!BL77*Calculateur!BN77*VLOOKUP('Données projet'!$B$11,Paramètres!$A$1:$I$89,3,0)*0.475*44/12</f>
        <v>31.075501693402234</v>
      </c>
      <c r="BR77" s="21">
        <f>EXP(-LN(2)/2)*BR76+(1-EXP(-LN(2)/2))/(LN(2)/2)*BL77*BO77*VLOOKUP('Données projet'!$B$11,Paramètres!$A$1:$I$89,3,0)*0.475*44/12</f>
        <v>3.9725156640196317E-2</v>
      </c>
      <c r="BS77" s="22">
        <f t="shared" si="63"/>
        <v>104.23823753863434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2.2737367544323206E-13</v>
      </c>
      <c r="BZ77" s="13">
        <f>BY77*VLOOKUP('Données projet'!$B$12,Paramètres!$A$1:$I$89,3,0)*VLOOKUP('Données projet'!$B$12,Paramètres!$A$1:$I$89,5,0)</f>
        <v>1.0049916454590858E-13</v>
      </c>
      <c r="CA77" s="13">
        <f t="shared" si="93"/>
        <v>1.5089081593838289E-12</v>
      </c>
      <c r="CB77" s="20">
        <f t="shared" si="64"/>
        <v>2.8030510891776262E-12</v>
      </c>
      <c r="CC77" s="59">
        <f t="shared" si="65"/>
        <v>293.3333333333361</v>
      </c>
      <c r="CD77" s="59">
        <f ca="1">AVERAGE(OFFSET($CC$3,0,0,'Données projet'!$E$12+1,1))-AVERAGE(OFFSET($H$3,0,0,'Données projet'!$E$12+1,1))</f>
        <v>220.26537310502334</v>
      </c>
      <c r="CE77" s="59">
        <f t="shared" si="94"/>
        <v>233.26853625122016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69.06062120589236</v>
      </c>
      <c r="CL77" s="21">
        <f>EXP(-LN(2)/25)*CL76+(1-EXP(-LN(2)/25))/(LN(2)/25)*Calculateur!CG77*Calculateur!CI77*VLOOKUP('Données projet'!$B$12,Paramètres!$A$1:$I$89,3,0)*0.475*44/12</f>
        <v>29.349084932657668</v>
      </c>
      <c r="CM77" s="21">
        <f>EXP(-LN(2)/2)*CM76+(1-EXP(-LN(2)/2))/(LN(2)/2)*CG77*CJ77*VLOOKUP('Données projet'!$B$12,Paramètres!$A$1:$I$89,3,0)*0.475*44/12</f>
        <v>3.7518203493518754E-2</v>
      </c>
      <c r="CN77" s="22">
        <f t="shared" si="66"/>
        <v>98.447224342043555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-3.4106051316484809E-13</v>
      </c>
      <c r="O78" s="13">
        <f>N78*VLOOKUP('Données projet'!$B$9,Paramètres!$A$1:$I$89,3,0)*VLOOKUP('Données projet'!$B$9,Paramètres!$A$1:$I$89,5,0)</f>
        <v>-1.5961632016114892E-13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263.37813242097957</v>
      </c>
      <c r="T78" s="59">
        <f t="shared" si="88"/>
        <v>314.89350816766904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74.30545249455264</v>
      </c>
      <c r="AA78" s="21">
        <f>EXP(-LN(2)/25)*AA77+(1-EXP(-LN(2)/25))/(LN(2)/25)*Calculateur!V78*Calculateur!X78*VLOOKUP('Données projet'!$B$9,Paramètres!$A$1:$I$89,3,0)*0.475*44/12</f>
        <v>29.587729502871564</v>
      </c>
      <c r="AB78" s="21">
        <f>EXP(-LN(2)/2)*AB77+(1-EXP(-LN(2)/2))/(LN(2)/2)*V78*Y78*VLOOKUP('Données projet'!$B$9,Paramètres!$A$1:$I$89,3,0)*0.475*44/12</f>
        <v>1.0899454976255312E-2</v>
      </c>
      <c r="AC78" s="22">
        <f t="shared" si="57"/>
        <v>103.90408145240046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868</v>
      </c>
      <c r="AG78" s="12">
        <f>VLOOKUP(A78,'Données projet'!$A$61:$I$81,9,0)</f>
        <v>18</v>
      </c>
      <c r="AH78" s="12">
        <f t="array" ref="AH78">INDEX(AG:AG,MIN(IF(ISNUMBER(AG78:AG274),ROW(AG78:AG274),"")))</f>
        <v>18</v>
      </c>
      <c r="AI78" s="13">
        <f>IF('Données projet'!$A$62&gt;35,AI77+AH78-AQ77,IF(A78&lt;'Données projet'!$A$62,$AF$205^A78,IF(A78='Données projet'!$A$62,'Données projet'!$B$62,AI77+AH78-AQ77)))</f>
        <v>868</v>
      </c>
      <c r="AJ78" s="13">
        <f>AI78*VLOOKUP('Données projet'!$B$10,Paramètres!$A$1:$I$89,3,0)*VLOOKUP('Données projet'!$B$10,Paramètres!$A$1:$I$89,5,0)</f>
        <v>349.80399999999997</v>
      </c>
      <c r="AK78" s="13">
        <f t="shared" si="89"/>
        <v>81.522151486857879</v>
      </c>
      <c r="AL78" s="20">
        <f t="shared" si="58"/>
        <v>751.22638050627745</v>
      </c>
      <c r="AM78" s="59">
        <f t="shared" si="59"/>
        <v>1044.5597138396108</v>
      </c>
      <c r="AN78" s="59">
        <f ca="1">AVERAGE(OFFSET($AM$3,0,0,'Données projet'!$E$10+1,1))-AVERAGE(OFFSET($H$3,0,0,'Données projet'!$E$10+1,1))</f>
        <v>344.29957955721721</v>
      </c>
      <c r="AO78" s="59">
        <f t="shared" si="90"/>
        <v>297.12790038882594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50</v>
      </c>
      <c r="AR78" s="16">
        <f>IF(ISNA(VLOOKUP(A78,'Données projet'!$A$61:$I$81,5,0)),0%,VLOOKUP(A78,'Données projet'!$A$61:$I$81,5,0)*VLOOKUP('Données projet'!$B$10,Paramètres!$A$1:$I$89,7,0))</f>
        <v>0.33</v>
      </c>
      <c r="AS78" s="16">
        <f>IF(ISNA(VLOOKUP(A78,'Données projet'!$A$61:$I$81,6,0)),0%,VLOOKUP(A78,'Données projet'!$A$61:$I$81,6,0)*VLOOKUP('Données projet'!$B$10,Paramètres!$A$1:$I$89,7,0))</f>
        <v>0.11000000000000001</v>
      </c>
      <c r="AT78" s="16">
        <f>IF(ISNA(VLOOKUP(A78,'Données projet'!$A$61:$I$81,7,0)),0%,VLOOKUP(A78,'Données projet'!$A$61:$I$81,7,0))</f>
        <v>0.2</v>
      </c>
      <c r="AU78" s="21">
        <f>EXP(-LN(2)/35)*AU77+(1-EXP(-LN(2)/35))/(LN(2)/35)*AQ78*AR78*VLOOKUP('Données projet'!$B$10,Paramètres!$A$1:$I$89,3,0)*0.475*44/12</f>
        <v>71.757717212264239</v>
      </c>
      <c r="AV78" s="21">
        <f>EXP(-LN(2)/25)*AV77+(1-EXP(-LN(2)/25))/(LN(2)/25)*Calculateur!AQ78*Calculateur!AS78*VLOOKUP('Données projet'!$B$10,Paramètres!$A$1:$I$89,3,0)*0.475*44/12</f>
        <v>26.944855728698268</v>
      </c>
      <c r="AW78" s="21">
        <f>EXP(-LN(2)/2)*AW77+(1-EXP(-LN(2)/2))/(LN(2)/2)*AQ78*AT78*VLOOKUP('Données projet'!$B$10,Paramètres!$A$1:$I$89,3,0)*0.475*44/12</f>
        <v>5.6152030174969152</v>
      </c>
      <c r="AX78" s="21">
        <f t="shared" si="60"/>
        <v>104.31777595845942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2.2737367544323206E-13</v>
      </c>
      <c r="BE78" s="13">
        <f>BD78*VLOOKUP('Données projet'!$B$11,Paramètres!$A$1:$I$89,3,0)*VLOOKUP('Données projet'!$B$11,Paramètres!$A$1:$I$89,5,0)</f>
        <v>1.064108801074326E-13</v>
      </c>
      <c r="BF78" s="13">
        <f t="shared" si="91"/>
        <v>1.5870730813698654E-12</v>
      </c>
      <c r="BG78" s="20">
        <f t="shared" si="61"/>
        <v>2.9494845662396269E-12</v>
      </c>
      <c r="BH78" s="59">
        <f t="shared" si="62"/>
        <v>293.33333333333627</v>
      </c>
      <c r="BI78" s="59">
        <f ca="1">AVERAGE(OFFSET($BH$3,0,0,'Données projet'!$E$11+1,1))-AVERAGE(OFFSET($H$3,0,0,'Données projet'!$E$11+1,1))</f>
        <v>234.83702199169585</v>
      </c>
      <c r="BJ78" s="59">
        <f t="shared" si="92"/>
        <v>248.83008816685089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71.689113049621184</v>
      </c>
      <c r="BQ78" s="21">
        <f>EXP(-LN(2)/25)*BQ77+(1-EXP(-LN(2)/25))/(LN(2)/25)*Calculateur!BL78*Calculateur!BN78*VLOOKUP('Données projet'!$B$11,Paramètres!$A$1:$I$89,3,0)*0.475*44/12</f>
        <v>30.225740465406542</v>
      </c>
      <c r="BR78" s="21">
        <f>EXP(-LN(2)/2)*BR77+(1-EXP(-LN(2)/2))/(LN(2)/2)*BL78*BO78*VLOOKUP('Données projet'!$B$11,Paramètres!$A$1:$I$89,3,0)*0.475*44/12</f>
        <v>2.8089927643980623E-2</v>
      </c>
      <c r="BS78" s="22">
        <f t="shared" si="63"/>
        <v>101.94294344267171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2.2737367544323206E-13</v>
      </c>
      <c r="BZ78" s="13">
        <f>BY78*VLOOKUP('Données projet'!$B$12,Paramètres!$A$1:$I$89,3,0)*VLOOKUP('Données projet'!$B$12,Paramètres!$A$1:$I$89,5,0)</f>
        <v>1.0049916454590858E-13</v>
      </c>
      <c r="CA78" s="13">
        <f t="shared" si="93"/>
        <v>1.5089081593838289E-12</v>
      </c>
      <c r="CB78" s="20">
        <f t="shared" si="64"/>
        <v>2.8030510891776262E-12</v>
      </c>
      <c r="CC78" s="59">
        <f t="shared" si="65"/>
        <v>293.3333333333361</v>
      </c>
      <c r="CD78" s="59">
        <f ca="1">AVERAGE(OFFSET($CC$3,0,0,'Données projet'!$E$12+1,1))-AVERAGE(OFFSET($H$3,0,0,'Données projet'!$E$12+1,1))</f>
        <v>220.26537310502334</v>
      </c>
      <c r="CE78" s="59">
        <f t="shared" si="94"/>
        <v>233.26853625122016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67.70638454686447</v>
      </c>
      <c r="CL78" s="21">
        <f>EXP(-LN(2)/25)*CL77+(1-EXP(-LN(2)/25))/(LN(2)/25)*Calculateur!CG78*Calculateur!CI78*VLOOKUP('Données projet'!$B$12,Paramètres!$A$1:$I$89,3,0)*0.475*44/12</f>
        <v>28.546532661772847</v>
      </c>
      <c r="CM78" s="21">
        <f>EXP(-LN(2)/2)*CM77+(1-EXP(-LN(2)/2))/(LN(2)/2)*CG78*CJ78*VLOOKUP('Données projet'!$B$12,Paramètres!$A$1:$I$89,3,0)*0.475*44/12</f>
        <v>2.6529376108203929E-2</v>
      </c>
      <c r="CN78" s="22">
        <f t="shared" si="66"/>
        <v>96.279446584745514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-3.4106051316484809E-13</v>
      </c>
      <c r="O79" s="13">
        <f>N79*VLOOKUP('Données projet'!$B$9,Paramètres!$A$1:$I$89,3,0)*VLOOKUP('Données projet'!$B$9,Paramètres!$A$1:$I$89,5,0)</f>
        <v>-1.5961632016114892E-13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263.37813242097957</v>
      </c>
      <c r="T79" s="59">
        <f t="shared" si="88"/>
        <v>314.89350816766904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72.848367892985323</v>
      </c>
      <c r="AA79" s="21">
        <f>EXP(-LN(2)/25)*AA78+(1-EXP(-LN(2)/25))/(LN(2)/25)*Calculateur!V79*Calculateur!X79*VLOOKUP('Données projet'!$B$9,Paramètres!$A$1:$I$89,3,0)*0.475*44/12</f>
        <v>28.778651483664472</v>
      </c>
      <c r="AB79" s="21">
        <f>EXP(-LN(2)/2)*AB78+(1-EXP(-LN(2)/2))/(LN(2)/2)*V79*Y79*VLOOKUP('Données projet'!$B$9,Paramètres!$A$1:$I$89,3,0)*0.475*44/12</f>
        <v>7.7070785249475924E-3</v>
      </c>
      <c r="AC79" s="22">
        <f t="shared" si="57"/>
        <v>101.63472645517474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16.600000000000001</v>
      </c>
      <c r="AI79" s="13">
        <f>IF('Données projet'!$A$62&gt;35,AI78+AH79-AQ78,IF(A79&lt;'Données projet'!$A$62,$AF$205^A79,IF(A79='Données projet'!$A$62,'Données projet'!$B$62,AI78+AH79-AQ78)))</f>
        <v>834.6</v>
      </c>
      <c r="AJ79" s="13">
        <f>AI79*VLOOKUP('Données projet'!$B$10,Paramètres!$A$1:$I$89,3,0)*VLOOKUP('Données projet'!$B$10,Paramètres!$A$1:$I$89,5,0)</f>
        <v>336.34379999999999</v>
      </c>
      <c r="AK79" s="13">
        <f t="shared" si="89"/>
        <v>78.744077682922594</v>
      </c>
      <c r="AL79" s="20">
        <f t="shared" si="58"/>
        <v>722.9447202977567</v>
      </c>
      <c r="AM79" s="59">
        <f t="shared" si="59"/>
        <v>1016.27805363109</v>
      </c>
      <c r="AN79" s="59">
        <f ca="1">AVERAGE(OFFSET($AM$3,0,0,'Données projet'!$E$10+1,1))-AVERAGE(OFFSET($H$3,0,0,'Données projet'!$E$10+1,1))</f>
        <v>344.29957955721721</v>
      </c>
      <c r="AO79" s="59">
        <f t="shared" si="90"/>
        <v>297.12790038882594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70.350592145617512</v>
      </c>
      <c r="AV79" s="21">
        <f>EXP(-LN(2)/25)*AV78+(1-EXP(-LN(2)/25))/(LN(2)/25)*Calculateur!AQ79*Calculateur!AS79*VLOOKUP('Données projet'!$B$10,Paramètres!$A$1:$I$89,3,0)*0.475*44/12</f>
        <v>26.208047231828633</v>
      </c>
      <c r="AW79" s="21">
        <f>EXP(-LN(2)/2)*AW78+(1-EXP(-LN(2)/2))/(LN(2)/2)*AQ79*AT79*VLOOKUP('Données projet'!$B$10,Paramètres!$A$1:$I$89,3,0)*0.475*44/12</f>
        <v>3.970548131411233</v>
      </c>
      <c r="AX79" s="21">
        <f t="shared" si="60"/>
        <v>100.52918750885738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2.2737367544323206E-13</v>
      </c>
      <c r="BE79" s="13">
        <f>BD79*VLOOKUP('Données projet'!$B$11,Paramètres!$A$1:$I$89,3,0)*VLOOKUP('Données projet'!$B$11,Paramètres!$A$1:$I$89,5,0)</f>
        <v>1.064108801074326E-13</v>
      </c>
      <c r="BF79" s="13">
        <f t="shared" si="91"/>
        <v>1.5870730813698654E-12</v>
      </c>
      <c r="BG79" s="20">
        <f t="shared" si="61"/>
        <v>2.9494845662396269E-12</v>
      </c>
      <c r="BH79" s="59">
        <f t="shared" si="62"/>
        <v>293.33333333333627</v>
      </c>
      <c r="BI79" s="59">
        <f ca="1">AVERAGE(OFFSET($BH$3,0,0,'Données projet'!$E$11+1,1))-AVERAGE(OFFSET($H$3,0,0,'Données projet'!$E$11+1,1))</f>
        <v>234.83702199169585</v>
      </c>
      <c r="BJ79" s="59">
        <f t="shared" si="92"/>
        <v>248.83008816685089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70.283333268759492</v>
      </c>
      <c r="BQ79" s="21">
        <f>EXP(-LN(2)/25)*BQ78+(1-EXP(-LN(2)/25))/(LN(2)/25)*Calculateur!BL79*Calculateur!BN79*VLOOKUP('Données projet'!$B$11,Paramètres!$A$1:$I$89,3,0)*0.475*44/12</f>
        <v>29.399216002877392</v>
      </c>
      <c r="BR79" s="21">
        <f>EXP(-LN(2)/2)*BR78+(1-EXP(-LN(2)/2))/(LN(2)/2)*BL79*BO79*VLOOKUP('Données projet'!$B$11,Paramètres!$A$1:$I$89,3,0)*0.475*44/12</f>
        <v>1.9862578320098159E-2</v>
      </c>
      <c r="BS79" s="22">
        <f t="shared" si="63"/>
        <v>99.702411849956988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2.2737367544323206E-13</v>
      </c>
      <c r="BZ79" s="13">
        <f>BY79*VLOOKUP('Données projet'!$B$12,Paramètres!$A$1:$I$89,3,0)*VLOOKUP('Données projet'!$B$12,Paramètres!$A$1:$I$89,5,0)</f>
        <v>1.0049916454590858E-13</v>
      </c>
      <c r="CA79" s="13">
        <f t="shared" si="93"/>
        <v>1.5089081593838289E-12</v>
      </c>
      <c r="CB79" s="20">
        <f t="shared" si="64"/>
        <v>2.8030510891776262E-12</v>
      </c>
      <c r="CC79" s="59">
        <f t="shared" si="65"/>
        <v>293.3333333333361</v>
      </c>
      <c r="CD79" s="59">
        <f ca="1">AVERAGE(OFFSET($CC$3,0,0,'Données projet'!$E$12+1,1))-AVERAGE(OFFSET($H$3,0,0,'Données projet'!$E$12+1,1))</f>
        <v>220.26537310502334</v>
      </c>
      <c r="CE79" s="59">
        <f t="shared" si="94"/>
        <v>233.26853625122016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66.378703642717312</v>
      </c>
      <c r="CL79" s="21">
        <f>EXP(-LN(2)/25)*CL78+(1-EXP(-LN(2)/25))/(LN(2)/25)*Calculateur!CG79*Calculateur!CI79*VLOOKUP('Données projet'!$B$12,Paramètres!$A$1:$I$89,3,0)*0.475*44/12</f>
        <v>27.765926224939761</v>
      </c>
      <c r="CM79" s="21">
        <f>EXP(-LN(2)/2)*CM78+(1-EXP(-LN(2)/2))/(LN(2)/2)*CG79*CJ79*VLOOKUP('Données projet'!$B$12,Paramètres!$A$1:$I$89,3,0)*0.475*44/12</f>
        <v>1.8759101746759377E-2</v>
      </c>
      <c r="CN79" s="22">
        <f t="shared" si="66"/>
        <v>94.163388969403826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-3.4106051316484809E-13</v>
      </c>
      <c r="O80" s="13">
        <f>N80*VLOOKUP('Données projet'!$B$9,Paramètres!$A$1:$I$89,3,0)*VLOOKUP('Données projet'!$B$9,Paramètres!$A$1:$I$89,5,0)</f>
        <v>-1.5961632016114892E-13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263.37813242097957</v>
      </c>
      <c r="T80" s="59">
        <f t="shared" si="88"/>
        <v>314.89350816766904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71.419855831720895</v>
      </c>
      <c r="AA80" s="21">
        <f>EXP(-LN(2)/25)*AA79+(1-EXP(-LN(2)/25))/(LN(2)/25)*Calculateur!V80*Calculateur!X80*VLOOKUP('Données projet'!$B$9,Paramètres!$A$1:$I$89,3,0)*0.475*44/12</f>
        <v>27.99169774544016</v>
      </c>
      <c r="AB80" s="21">
        <f>EXP(-LN(2)/2)*AB79+(1-EXP(-LN(2)/2))/(LN(2)/2)*V80*Y80*VLOOKUP('Données projet'!$B$9,Paramètres!$A$1:$I$89,3,0)*0.475*44/12</f>
        <v>5.4497274881276569E-3</v>
      </c>
      <c r="AC80" s="22">
        <f t="shared" si="57"/>
        <v>99.417003304649185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16.600000000000001</v>
      </c>
      <c r="AI80" s="13">
        <f>IF('Données projet'!$A$62&gt;35,AI79+AH80-AQ79,IF(A80&lt;'Données projet'!$A$62,$AF$205^A80,IF(A80='Données projet'!$A$62,'Données projet'!$B$62,AI79+AH80-AQ79)))</f>
        <v>851.2</v>
      </c>
      <c r="AJ80" s="13">
        <f>AI80*VLOOKUP('Données projet'!$B$10,Paramètres!$A$1:$I$89,3,0)*VLOOKUP('Données projet'!$B$10,Paramètres!$A$1:$I$89,5,0)</f>
        <v>343.03360000000004</v>
      </c>
      <c r="AK80" s="13">
        <f t="shared" si="89"/>
        <v>80.126382999117652</v>
      </c>
      <c r="AL80" s="20">
        <f t="shared" si="58"/>
        <v>737.00363705679649</v>
      </c>
      <c r="AM80" s="59">
        <f t="shared" si="59"/>
        <v>1030.3369703901299</v>
      </c>
      <c r="AN80" s="59">
        <f ca="1">AVERAGE(OFFSET($AM$3,0,0,'Données projet'!$E$10+1,1))-AVERAGE(OFFSET($H$3,0,0,'Données projet'!$E$10+1,1))</f>
        <v>344.29957955721721</v>
      </c>
      <c r="AO80" s="59">
        <f t="shared" si="90"/>
        <v>297.12790038882594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68.971059943266184</v>
      </c>
      <c r="AV80" s="21">
        <f>EXP(-LN(2)/25)*AV79+(1-EXP(-LN(2)/25))/(LN(2)/25)*Calculateur!AQ80*Calculateur!AS80*VLOOKUP('Données projet'!$B$10,Paramètres!$A$1:$I$89,3,0)*0.475*44/12</f>
        <v>25.491386802052975</v>
      </c>
      <c r="AW80" s="21">
        <f>EXP(-LN(2)/2)*AW79+(1-EXP(-LN(2)/2))/(LN(2)/2)*AQ80*AT80*VLOOKUP('Données projet'!$B$10,Paramètres!$A$1:$I$89,3,0)*0.475*44/12</f>
        <v>2.807601508748458</v>
      </c>
      <c r="AX80" s="21">
        <f t="shared" si="60"/>
        <v>97.270048254067618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2.2737367544323206E-13</v>
      </c>
      <c r="BE80" s="13">
        <f>BD80*VLOOKUP('Données projet'!$B$11,Paramètres!$A$1:$I$89,3,0)*VLOOKUP('Données projet'!$B$11,Paramètres!$A$1:$I$89,5,0)</f>
        <v>1.064108801074326E-13</v>
      </c>
      <c r="BF80" s="13">
        <f t="shared" si="91"/>
        <v>1.5870730813698654E-12</v>
      </c>
      <c r="BG80" s="20">
        <f t="shared" si="61"/>
        <v>2.9494845662396269E-12</v>
      </c>
      <c r="BH80" s="59">
        <f t="shared" si="62"/>
        <v>293.33333333333627</v>
      </c>
      <c r="BI80" s="59">
        <f ca="1">AVERAGE(OFFSET($BH$3,0,0,'Données projet'!$E$11+1,1))-AVERAGE(OFFSET($H$3,0,0,'Données projet'!$E$11+1,1))</f>
        <v>234.83702199169585</v>
      </c>
      <c r="BJ80" s="59">
        <f t="shared" si="92"/>
        <v>248.83008816685089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68.905119971959493</v>
      </c>
      <c r="BQ80" s="21">
        <f>EXP(-LN(2)/25)*BQ79+(1-EXP(-LN(2)/25))/(LN(2)/25)*Calculateur!BL80*Calculateur!BN80*VLOOKUP('Données projet'!$B$11,Paramètres!$A$1:$I$89,3,0)*0.475*44/12</f>
        <v>28.595292895241133</v>
      </c>
      <c r="BR80" s="21">
        <f>EXP(-LN(2)/2)*BR79+(1-EXP(-LN(2)/2))/(LN(2)/2)*BL80*BO80*VLOOKUP('Données projet'!$B$11,Paramètres!$A$1:$I$89,3,0)*0.475*44/12</f>
        <v>1.4044963821990311E-2</v>
      </c>
      <c r="BS80" s="22">
        <f t="shared" si="63"/>
        <v>97.514457831022611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2.2737367544323206E-13</v>
      </c>
      <c r="BZ80" s="13">
        <f>BY80*VLOOKUP('Données projet'!$B$12,Paramètres!$A$1:$I$89,3,0)*VLOOKUP('Données projet'!$B$12,Paramètres!$A$1:$I$89,5,0)</f>
        <v>1.0049916454590858E-13</v>
      </c>
      <c r="CA80" s="13">
        <f t="shared" si="93"/>
        <v>1.5089081593838289E-12</v>
      </c>
      <c r="CB80" s="20">
        <f t="shared" si="64"/>
        <v>2.8030510891776262E-12</v>
      </c>
      <c r="CC80" s="59">
        <f t="shared" si="65"/>
        <v>293.3333333333361</v>
      </c>
      <c r="CD80" s="59">
        <f ca="1">AVERAGE(OFFSET($CC$3,0,0,'Données projet'!$E$12+1,1))-AVERAGE(OFFSET($H$3,0,0,'Données projet'!$E$12+1,1))</f>
        <v>220.26537310502334</v>
      </c>
      <c r="CE80" s="59">
        <f t="shared" si="94"/>
        <v>233.26853625122016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65.077057751295087</v>
      </c>
      <c r="CL80" s="21">
        <f>EXP(-LN(2)/25)*CL79+(1-EXP(-LN(2)/25))/(LN(2)/25)*Calculateur!CG80*Calculateur!CI80*VLOOKUP('Données projet'!$B$12,Paramètres!$A$1:$I$89,3,0)*0.475*44/12</f>
        <v>27.006665512172184</v>
      </c>
      <c r="CM80" s="21">
        <f>EXP(-LN(2)/2)*CM79+(1-EXP(-LN(2)/2))/(LN(2)/2)*CG80*CJ80*VLOOKUP('Données projet'!$B$12,Paramètres!$A$1:$I$89,3,0)*0.475*44/12</f>
        <v>1.3264688054101964E-2</v>
      </c>
      <c r="CN80" s="22">
        <f t="shared" si="66"/>
        <v>92.096987951521385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-3.4106051316484809E-13</v>
      </c>
      <c r="O81" s="13">
        <f>N81*VLOOKUP('Données projet'!$B$9,Paramètres!$A$1:$I$89,3,0)*VLOOKUP('Données projet'!$B$9,Paramètres!$A$1:$I$89,5,0)</f>
        <v>-1.5961632016114892E-13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263.37813242097957</v>
      </c>
      <c r="T81" s="59">
        <f t="shared" si="88"/>
        <v>314.89350816766904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70.019356020671538</v>
      </c>
      <c r="AA81" s="21">
        <f>EXP(-LN(2)/25)*AA80+(1-EXP(-LN(2)/25))/(LN(2)/25)*Calculateur!V81*Calculateur!X81*VLOOKUP('Données projet'!$B$9,Paramètres!$A$1:$I$89,3,0)*0.475*44/12</f>
        <v>27.226263298571691</v>
      </c>
      <c r="AB81" s="21">
        <f>EXP(-LN(2)/2)*AB80+(1-EXP(-LN(2)/2))/(LN(2)/2)*V81*Y81*VLOOKUP('Données projet'!$B$9,Paramètres!$A$1:$I$89,3,0)*0.475*44/12</f>
        <v>3.8535392624737966E-3</v>
      </c>
      <c r="AC81" s="22">
        <f t="shared" si="57"/>
        <v>97.249472858505712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16.600000000000001</v>
      </c>
      <c r="AI81" s="13">
        <f>IF('Données projet'!$A$62&gt;35,AI80+AH81-AQ80,IF(A81&lt;'Données projet'!$A$62,$AF$205^A81,IF(A81='Données projet'!$A$62,'Données projet'!$B$62,AI80+AH81-AQ80)))</f>
        <v>867.80000000000007</v>
      </c>
      <c r="AJ81" s="13">
        <f>AI81*VLOOKUP('Données projet'!$B$10,Paramètres!$A$1:$I$89,3,0)*VLOOKUP('Données projet'!$B$10,Paramètres!$A$1:$I$89,5,0)</f>
        <v>349.72340000000003</v>
      </c>
      <c r="AK81" s="13">
        <f t="shared" si="89"/>
        <v>81.505553805035575</v>
      </c>
      <c r="AL81" s="20">
        <f t="shared" si="58"/>
        <v>751.05709454377029</v>
      </c>
      <c r="AM81" s="59">
        <f t="shared" si="59"/>
        <v>1044.3904278771035</v>
      </c>
      <c r="AN81" s="59">
        <f ca="1">AVERAGE(OFFSET($AM$3,0,0,'Données projet'!$E$10+1,1))-AVERAGE(OFFSET($H$3,0,0,'Données projet'!$E$10+1,1))</f>
        <v>344.29957955721721</v>
      </c>
      <c r="AO81" s="59">
        <f t="shared" si="90"/>
        <v>297.12790038882594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67.618579525971413</v>
      </c>
      <c r="AV81" s="21">
        <f>EXP(-LN(2)/25)*AV80+(1-EXP(-LN(2)/25))/(LN(2)/25)*Calculateur!AQ81*Calculateur!AS81*VLOOKUP('Données projet'!$B$10,Paramètres!$A$1:$I$89,3,0)*0.475*44/12</f>
        <v>24.794323489417067</v>
      </c>
      <c r="AW81" s="21">
        <f>EXP(-LN(2)/2)*AW80+(1-EXP(-LN(2)/2))/(LN(2)/2)*AQ81*AT81*VLOOKUP('Données projet'!$B$10,Paramètres!$A$1:$I$89,3,0)*0.475*44/12</f>
        <v>1.9852740657056167</v>
      </c>
      <c r="AX81" s="21">
        <f t="shared" si="60"/>
        <v>94.39817708109409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2.2737367544323206E-13</v>
      </c>
      <c r="BE81" s="13">
        <f>BD81*VLOOKUP('Données projet'!$B$11,Paramètres!$A$1:$I$89,3,0)*VLOOKUP('Données projet'!$B$11,Paramètres!$A$1:$I$89,5,0)</f>
        <v>1.064108801074326E-13</v>
      </c>
      <c r="BF81" s="13">
        <f t="shared" si="91"/>
        <v>1.5870730813698654E-12</v>
      </c>
      <c r="BG81" s="20">
        <f t="shared" si="61"/>
        <v>2.9494845662396269E-12</v>
      </c>
      <c r="BH81" s="59">
        <f t="shared" si="62"/>
        <v>293.33333333333627</v>
      </c>
      <c r="BI81" s="59">
        <f ca="1">AVERAGE(OFFSET($BH$3,0,0,'Données projet'!$E$11+1,1))-AVERAGE(OFFSET($H$3,0,0,'Données projet'!$E$11+1,1))</f>
        <v>234.83702199169585</v>
      </c>
      <c r="BJ81" s="59">
        <f t="shared" si="92"/>
        <v>248.83008816685089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67.553932597282639</v>
      </c>
      <c r="BQ81" s="21">
        <f>EXP(-LN(2)/25)*BQ80+(1-EXP(-LN(2)/25))/(LN(2)/25)*Calculateur!BL81*Calculateur!BN81*VLOOKUP('Données projet'!$B$11,Paramètres!$A$1:$I$89,3,0)*0.475*44/12</f>
        <v>27.813353107259665</v>
      </c>
      <c r="BR81" s="21">
        <f>EXP(-LN(2)/2)*BR80+(1-EXP(-LN(2)/2))/(LN(2)/2)*BL81*BO81*VLOOKUP('Données projet'!$B$11,Paramètres!$A$1:$I$89,3,0)*0.475*44/12</f>
        <v>9.9312891600490793E-3</v>
      </c>
      <c r="BS81" s="22">
        <f t="shared" si="63"/>
        <v>95.377216993702348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2.2737367544323206E-13</v>
      </c>
      <c r="BZ81" s="13">
        <f>BY81*VLOOKUP('Données projet'!$B$12,Paramètres!$A$1:$I$89,3,0)*VLOOKUP('Données projet'!$B$12,Paramètres!$A$1:$I$89,5,0)</f>
        <v>1.0049916454590858E-13</v>
      </c>
      <c r="CA81" s="13">
        <f t="shared" si="93"/>
        <v>1.5089081593838289E-12</v>
      </c>
      <c r="CB81" s="20">
        <f t="shared" si="64"/>
        <v>2.8030510891776262E-12</v>
      </c>
      <c r="CC81" s="59">
        <f t="shared" si="65"/>
        <v>293.3333333333361</v>
      </c>
      <c r="CD81" s="59">
        <f ca="1">AVERAGE(OFFSET($CC$3,0,0,'Données projet'!$E$12+1,1))-AVERAGE(OFFSET($H$3,0,0,'Données projet'!$E$12+1,1))</f>
        <v>220.26537310502334</v>
      </c>
      <c r="CE81" s="59">
        <f t="shared" si="94"/>
        <v>233.26853625122016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63.80093634187805</v>
      </c>
      <c r="CL81" s="21">
        <f>EXP(-LN(2)/25)*CL80+(1-EXP(-LN(2)/25))/(LN(2)/25)*Calculateur!CG81*Calculateur!CI81*VLOOKUP('Données projet'!$B$12,Paramètres!$A$1:$I$89,3,0)*0.475*44/12</f>
        <v>26.268166823523021</v>
      </c>
      <c r="CM81" s="21">
        <f>EXP(-LN(2)/2)*CM80+(1-EXP(-LN(2)/2))/(LN(2)/2)*CG81*CJ81*VLOOKUP('Données projet'!$B$12,Paramètres!$A$1:$I$89,3,0)*0.475*44/12</f>
        <v>9.3795508733796884E-3</v>
      </c>
      <c r="CN81" s="22">
        <f t="shared" si="66"/>
        <v>90.078482716274451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-3.4106051316484809E-13</v>
      </c>
      <c r="O82" s="13">
        <f>N82*VLOOKUP('Données projet'!$B$9,Paramètres!$A$1:$I$89,3,0)*VLOOKUP('Données projet'!$B$9,Paramètres!$A$1:$I$89,5,0)</f>
        <v>-1.5961632016114892E-13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263.37813242097957</v>
      </c>
      <c r="T82" s="59">
        <f t="shared" si="88"/>
        <v>314.89350816766904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68.646319156696322</v>
      </c>
      <c r="AA82" s="21">
        <f>EXP(-LN(2)/25)*AA81+(1-EXP(-LN(2)/25))/(LN(2)/25)*Calculateur!V82*Calculateur!X82*VLOOKUP('Données projet'!$B$9,Paramètres!$A$1:$I$89,3,0)*0.475*44/12</f>
        <v>26.481759696905289</v>
      </c>
      <c r="AB82" s="21">
        <f>EXP(-LN(2)/2)*AB81+(1-EXP(-LN(2)/2))/(LN(2)/2)*V82*Y82*VLOOKUP('Données projet'!$B$9,Paramètres!$A$1:$I$89,3,0)*0.475*44/12</f>
        <v>2.7248637440638289E-3</v>
      </c>
      <c r="AC82" s="22">
        <f t="shared" si="57"/>
        <v>95.130803717345671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16.600000000000001</v>
      </c>
      <c r="AI82" s="13">
        <f>IF('Données projet'!$A$62&gt;35,AI81+AH82-AQ81,IF(A82&lt;'Données projet'!$A$62,$AF$205^A82,IF(A82='Données projet'!$A$62,'Données projet'!$B$62,AI81+AH82-AQ81)))</f>
        <v>884.40000000000009</v>
      </c>
      <c r="AJ82" s="13">
        <f>AI82*VLOOKUP('Données projet'!$B$10,Paramètres!$A$1:$I$89,3,0)*VLOOKUP('Données projet'!$B$10,Paramètres!$A$1:$I$89,5,0)</f>
        <v>356.41320000000007</v>
      </c>
      <c r="AK82" s="13">
        <f t="shared" si="89"/>
        <v>82.881656973243366</v>
      </c>
      <c r="AL82" s="20">
        <f t="shared" si="58"/>
        <v>765.10520922839896</v>
      </c>
      <c r="AM82" s="59">
        <f t="shared" si="59"/>
        <v>1058.4385425617322</v>
      </c>
      <c r="AN82" s="59">
        <f ca="1">AVERAGE(OFFSET($AM$3,0,0,'Données projet'!$E$10+1,1))-AVERAGE(OFFSET($H$3,0,0,'Données projet'!$E$10+1,1))</f>
        <v>344.29957955721721</v>
      </c>
      <c r="AO82" s="59">
        <f t="shared" si="90"/>
        <v>297.12790038882594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66.292620424728185</v>
      </c>
      <c r="AV82" s="21">
        <f>EXP(-LN(2)/25)*AV81+(1-EXP(-LN(2)/25))/(LN(2)/25)*Calculateur!AQ82*Calculateur!AS82*VLOOKUP('Données projet'!$B$10,Paramètres!$A$1:$I$89,3,0)*0.475*44/12</f>
        <v>24.116321409722154</v>
      </c>
      <c r="AW82" s="21">
        <f>EXP(-LN(2)/2)*AW81+(1-EXP(-LN(2)/2))/(LN(2)/2)*AQ82*AT82*VLOOKUP('Données projet'!$B$10,Paramètres!$A$1:$I$89,3,0)*0.475*44/12</f>
        <v>1.4038007543742292</v>
      </c>
      <c r="AX82" s="21">
        <f t="shared" si="60"/>
        <v>91.812742588824563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2.2737367544323206E-13</v>
      </c>
      <c r="BE82" s="13">
        <f>BD82*VLOOKUP('Données projet'!$B$11,Paramètres!$A$1:$I$89,3,0)*VLOOKUP('Données projet'!$B$11,Paramètres!$A$1:$I$89,5,0)</f>
        <v>1.064108801074326E-13</v>
      </c>
      <c r="BF82" s="13">
        <f t="shared" si="91"/>
        <v>1.5870730813698654E-12</v>
      </c>
      <c r="BG82" s="20">
        <f t="shared" si="61"/>
        <v>2.9494845662396269E-12</v>
      </c>
      <c r="BH82" s="59">
        <f t="shared" si="62"/>
        <v>293.33333333333627</v>
      </c>
      <c r="BI82" s="59">
        <f ca="1">AVERAGE(OFFSET($BH$3,0,0,'Données projet'!$E$11+1,1))-AVERAGE(OFFSET($H$3,0,0,'Données projet'!$E$11+1,1))</f>
        <v>234.83702199169585</v>
      </c>
      <c r="BJ82" s="59">
        <f t="shared" si="92"/>
        <v>248.83008816685089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66.229241182880273</v>
      </c>
      <c r="BQ82" s="21">
        <f>EXP(-LN(2)/25)*BQ81+(1-EXP(-LN(2)/25))/(LN(2)/25)*Calculateur!BL82*Calculateur!BN82*VLOOKUP('Données projet'!$B$11,Paramètres!$A$1:$I$89,3,0)*0.475*44/12</f>
        <v>27.052795503900978</v>
      </c>
      <c r="BR82" s="21">
        <f>EXP(-LN(2)/2)*BR81+(1-EXP(-LN(2)/2))/(LN(2)/2)*BL82*BO82*VLOOKUP('Données projet'!$B$11,Paramètres!$A$1:$I$89,3,0)*0.475*44/12</f>
        <v>7.0224819109951557E-3</v>
      </c>
      <c r="BS82" s="22">
        <f t="shared" si="63"/>
        <v>93.289059168692248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2.2737367544323206E-13</v>
      </c>
      <c r="BZ82" s="13">
        <f>BY82*VLOOKUP('Données projet'!$B$12,Paramètres!$A$1:$I$89,3,0)*VLOOKUP('Données projet'!$B$12,Paramètres!$A$1:$I$89,5,0)</f>
        <v>1.0049916454590858E-13</v>
      </c>
      <c r="CA82" s="13">
        <f t="shared" si="93"/>
        <v>1.5089081593838289E-12</v>
      </c>
      <c r="CB82" s="20">
        <f t="shared" si="64"/>
        <v>2.8030510891776262E-12</v>
      </c>
      <c r="CC82" s="59">
        <f t="shared" si="65"/>
        <v>293.3333333333361</v>
      </c>
      <c r="CD82" s="59">
        <f ca="1">AVERAGE(OFFSET($CC$3,0,0,'Données projet'!$E$12+1,1))-AVERAGE(OFFSET($H$3,0,0,'Données projet'!$E$12+1,1))</f>
        <v>220.26537310502334</v>
      </c>
      <c r="CE82" s="59">
        <f t="shared" si="94"/>
        <v>233.26853625122016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62.549838894942482</v>
      </c>
      <c r="CL82" s="21">
        <f>EXP(-LN(2)/25)*CL81+(1-EXP(-LN(2)/25))/(LN(2)/25)*Calculateur!CG82*Calculateur!CI82*VLOOKUP('Données projet'!$B$12,Paramètres!$A$1:$I$89,3,0)*0.475*44/12</f>
        <v>25.549862420350927</v>
      </c>
      <c r="CM82" s="21">
        <f>EXP(-LN(2)/2)*CM81+(1-EXP(-LN(2)/2))/(LN(2)/2)*CG82*CJ82*VLOOKUP('Données projet'!$B$12,Paramètres!$A$1:$I$89,3,0)*0.475*44/12</f>
        <v>6.6323440270509822E-3</v>
      </c>
      <c r="CN82" s="22">
        <f t="shared" si="66"/>
        <v>88.106333659320455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-3.4106051316484809E-13</v>
      </c>
      <c r="O83" s="13">
        <f>N83*VLOOKUP('Données projet'!$B$9,Paramètres!$A$1:$I$89,3,0)*VLOOKUP('Données projet'!$B$9,Paramètres!$A$1:$I$89,5,0)</f>
        <v>-1.5961632016114892E-13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263.37813242097957</v>
      </c>
      <c r="T83" s="59">
        <f t="shared" si="88"/>
        <v>314.89350816766904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67.300206708153866</v>
      </c>
      <c r="AA83" s="21">
        <f>EXP(-LN(2)/25)*AA82+(1-EXP(-LN(2)/25))/(LN(2)/25)*Calculateur!V83*Calculateur!X83*VLOOKUP('Données projet'!$B$9,Paramètres!$A$1:$I$89,3,0)*0.475*44/12</f>
        <v>25.757614585378196</v>
      </c>
      <c r="AB83" s="21">
        <f>EXP(-LN(2)/2)*AB82+(1-EXP(-LN(2)/2))/(LN(2)/2)*V83*Y83*VLOOKUP('Données projet'!$B$9,Paramètres!$A$1:$I$89,3,0)*0.475*44/12</f>
        <v>1.9267696312368985E-3</v>
      </c>
      <c r="AC83" s="22">
        <f t="shared" si="57"/>
        <v>93.059748063163298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901</v>
      </c>
      <c r="AG83" s="12">
        <f>VLOOKUP(A83,'Données projet'!$A$61:$I$81,9,0)</f>
        <v>16.600000000000001</v>
      </c>
      <c r="AH83" s="12">
        <f t="array" ref="AH83">INDEX(AG:AG,MIN(IF(ISNUMBER(AG83:AG279),ROW(AG83:AG279),"")))</f>
        <v>16.600000000000001</v>
      </c>
      <c r="AI83" s="13">
        <f>IF('Données projet'!$A$62&gt;35,AI82+AH83-AQ82,IF(A83&lt;'Données projet'!$A$62,$AF$205^A83,IF(A83='Données projet'!$A$62,'Données projet'!$B$62,AI82+AH83-AQ82)))</f>
        <v>901.00000000000011</v>
      </c>
      <c r="AJ83" s="13">
        <f>AI83*VLOOKUP('Données projet'!$B$10,Paramètres!$A$1:$I$89,3,0)*VLOOKUP('Données projet'!$B$10,Paramètres!$A$1:$I$89,5,0)</f>
        <v>363.10300000000007</v>
      </c>
      <c r="AK83" s="13">
        <f t="shared" si="89"/>
        <v>84.254756722270031</v>
      </c>
      <c r="AL83" s="20">
        <f t="shared" si="58"/>
        <v>779.14809295795374</v>
      </c>
      <c r="AM83" s="59">
        <f t="shared" si="59"/>
        <v>1072.4814262912871</v>
      </c>
      <c r="AN83" s="59">
        <f ca="1">AVERAGE(OFFSET($AM$3,0,0,'Données projet'!$E$10+1,1))-AVERAGE(OFFSET($H$3,0,0,'Données projet'!$E$10+1,1))</f>
        <v>344.29957955721721</v>
      </c>
      <c r="AO83" s="59">
        <f t="shared" si="90"/>
        <v>297.12790038882594</v>
      </c>
      <c r="AP83" s="15" t="str">
        <f>IF(ISNA(VLOOKUP(A83,'Données projet'!$A$61:$I$81,3,0)),0,VLOOKUP(A83,'Données projet'!$A$61:$I$81,3,0))</f>
        <v>CR</v>
      </c>
      <c r="AQ83" s="15">
        <f>IF(ISNA(VLOOKUP(A83,'Données projet'!$A$61:$I$81,4,0)),0,VLOOKUP(A83,'Données projet'!$A$61:$I$81,4,0))</f>
        <v>901</v>
      </c>
      <c r="AR83" s="16">
        <f>IF(ISNA(VLOOKUP(A83,'Données projet'!$A$61:$I$81,5,0)),0%,VLOOKUP(A83,'Données projet'!$A$61:$I$81,5,0)*VLOOKUP('Données projet'!$B$10,Paramètres!$A$1:$I$89,7,0))</f>
        <v>0.33</v>
      </c>
      <c r="AS83" s="16">
        <f>IF(ISNA(VLOOKUP(A83,'Données projet'!$A$61:$I$81,6,0)),0%,VLOOKUP(A83,'Données projet'!$A$61:$I$81,6,0)*VLOOKUP('Données projet'!$B$10,Paramètres!$A$1:$I$89,7,0))</f>
        <v>0.11000000000000001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223.94690861564806</v>
      </c>
      <c r="AV83" s="21">
        <f>EXP(-LN(2)/25)*AV82+(1-EXP(-LN(2)/25))/(LN(2)/25)*Calculateur!AQ83*Calculateur!AS83*VLOOKUP('Données projet'!$B$10,Paramètres!$A$1:$I$89,3,0)*0.475*44/12</f>
        <v>76.232986869203017</v>
      </c>
      <c r="AW83" s="21">
        <f>EXP(-LN(2)/2)*AW82+(1-EXP(-LN(2)/2))/(LN(2)/2)*AQ83*AT83*VLOOKUP('Données projet'!$B$10,Paramètres!$A$1:$I$89,3,0)*0.475*44/12</f>
        <v>83.216025818603271</v>
      </c>
      <c r="AX83" s="21">
        <f t="shared" si="60"/>
        <v>383.39592130345432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2.2737367544323206E-13</v>
      </c>
      <c r="BE83" s="13">
        <f>BD83*VLOOKUP('Données projet'!$B$11,Paramètres!$A$1:$I$89,3,0)*VLOOKUP('Données projet'!$B$11,Paramètres!$A$1:$I$89,5,0)</f>
        <v>1.064108801074326E-13</v>
      </c>
      <c r="BF83" s="13">
        <f t="shared" si="91"/>
        <v>1.5870730813698654E-12</v>
      </c>
      <c r="BG83" s="20">
        <f t="shared" si="61"/>
        <v>2.9494845662396269E-12</v>
      </c>
      <c r="BH83" s="59">
        <f t="shared" si="62"/>
        <v>293.33333333333627</v>
      </c>
      <c r="BI83" s="59">
        <f ca="1">AVERAGE(OFFSET($BH$3,0,0,'Données projet'!$E$11+1,1))-AVERAGE(OFFSET($H$3,0,0,'Données projet'!$E$11+1,1))</f>
        <v>234.83702199169585</v>
      </c>
      <c r="BJ83" s="59">
        <f t="shared" si="92"/>
        <v>248.83008816685089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64.930526159132356</v>
      </c>
      <c r="BQ83" s="21">
        <f>EXP(-LN(2)/25)*BQ82+(1-EXP(-LN(2)/25))/(LN(2)/25)*Calculateur!BL83*Calculateur!BN83*VLOOKUP('Données projet'!$B$11,Paramètres!$A$1:$I$89,3,0)*0.475*44/12</f>
        <v>26.31303538820212</v>
      </c>
      <c r="BR83" s="21">
        <f>EXP(-LN(2)/2)*BR82+(1-EXP(-LN(2)/2))/(LN(2)/2)*BL83*BO83*VLOOKUP('Données projet'!$B$11,Paramètres!$A$1:$I$89,3,0)*0.475*44/12</f>
        <v>4.9656445800245396E-3</v>
      </c>
      <c r="BS83" s="22">
        <f t="shared" si="63"/>
        <v>91.248527191914505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2.2737367544323206E-13</v>
      </c>
      <c r="BZ83" s="13">
        <f>BY83*VLOOKUP('Données projet'!$B$12,Paramètres!$A$1:$I$89,3,0)*VLOOKUP('Données projet'!$B$12,Paramètres!$A$1:$I$89,5,0)</f>
        <v>1.0049916454590858E-13</v>
      </c>
      <c r="CA83" s="13">
        <f t="shared" si="93"/>
        <v>1.5089081593838289E-12</v>
      </c>
      <c r="CB83" s="20">
        <f t="shared" si="64"/>
        <v>2.8030510891776262E-12</v>
      </c>
      <c r="CC83" s="59">
        <f t="shared" si="65"/>
        <v>293.3333333333361</v>
      </c>
      <c r="CD83" s="59">
        <f ca="1">AVERAGE(OFFSET($CC$3,0,0,'Données projet'!$E$12+1,1))-AVERAGE(OFFSET($H$3,0,0,'Données projet'!$E$12+1,1))</f>
        <v>220.26537310502334</v>
      </c>
      <c r="CE83" s="59">
        <f t="shared" si="94"/>
        <v>233.26853625122016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61.323274705847226</v>
      </c>
      <c r="CL83" s="21">
        <f>EXP(-LN(2)/25)*CL82+(1-EXP(-LN(2)/25))/(LN(2)/25)*Calculateur!CG83*Calculateur!CI83*VLOOKUP('Données projet'!$B$12,Paramètres!$A$1:$I$89,3,0)*0.475*44/12</f>
        <v>24.85120008885756</v>
      </c>
      <c r="CM83" s="21">
        <f>EXP(-LN(2)/2)*CM82+(1-EXP(-LN(2)/2))/(LN(2)/2)*CG83*CJ83*VLOOKUP('Données projet'!$B$12,Paramètres!$A$1:$I$89,3,0)*0.475*44/12</f>
        <v>4.6897754366898442E-3</v>
      </c>
      <c r="CN83" s="22">
        <f t="shared" si="66"/>
        <v>86.179164570141481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-1.5961632016114892E-13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263.37813242097957</v>
      </c>
      <c r="T84" s="59">
        <f t="shared" si="88"/>
        <v>314.89350816766904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65.980490703679806</v>
      </c>
      <c r="AA84" s="21">
        <f>EXP(-LN(2)/25)*AA83+(1-EXP(-LN(2)/25))/(LN(2)/25)*Calculateur!V84*Calculateur!X84*VLOOKUP('Données projet'!$B$9,Paramètres!$A$1:$I$89,3,0)*0.475*44/12</f>
        <v>25.053271260006948</v>
      </c>
      <c r="AB84" s="21">
        <f>EXP(-LN(2)/2)*AB83+(1-EXP(-LN(2)/2))/(LN(2)/2)*V84*Y84*VLOOKUP('Données projet'!$B$9,Paramètres!$A$1:$I$89,3,0)*0.475*44/12</f>
        <v>1.3624318720319147E-3</v>
      </c>
      <c r="AC84" s="22">
        <f t="shared" si="57"/>
        <v>91.035124395558796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1.1368683772161603E-13</v>
      </c>
      <c r="AJ84" s="13">
        <f>AI84*VLOOKUP('Données projet'!$B$10,Paramètres!$A$1:$I$89,3,0)*VLOOKUP('Données projet'!$B$10,Paramètres!$A$1:$I$89,5,0)</f>
        <v>4.5815795601811263E-14</v>
      </c>
      <c r="AK84" s="13">
        <f t="shared" si="89"/>
        <v>7.5374618042508364E-13</v>
      </c>
      <c r="AL84" s="20">
        <f t="shared" si="58"/>
        <v>1.392570441580175E-12</v>
      </c>
      <c r="AM84" s="59">
        <f t="shared" si="59"/>
        <v>293.33333333333468</v>
      </c>
      <c r="AN84" s="59">
        <f ca="1">AVERAGE(OFFSET($AM$3,0,0,'Données projet'!$E$10+1,1))-AVERAGE(OFFSET($H$3,0,0,'Données projet'!$E$10+1,1))</f>
        <v>344.29957955721721</v>
      </c>
      <c r="AO84" s="59">
        <f t="shared" si="90"/>
        <v>297.12790038882594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219.55544633182191</v>
      </c>
      <c r="AV84" s="21">
        <f>EXP(-LN(2)/25)*AV83+(1-EXP(-LN(2)/25))/(LN(2)/25)*Calculateur!AQ84*Calculateur!AS84*VLOOKUP('Données projet'!$B$10,Paramètres!$A$1:$I$89,3,0)*0.475*44/12</f>
        <v>74.148391834346114</v>
      </c>
      <c r="AW84" s="21">
        <f>EXP(-LN(2)/2)*AW83+(1-EXP(-LN(2)/2))/(LN(2)/2)*AQ84*AT84*VLOOKUP('Données projet'!$B$10,Paramètres!$A$1:$I$89,3,0)*0.475*44/12</f>
        <v>58.842616159729197</v>
      </c>
      <c r="AX84" s="21">
        <f t="shared" si="60"/>
        <v>352.54645432589717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2.2737367544323206E-13</v>
      </c>
      <c r="BE84" s="13">
        <f>BD84*VLOOKUP('Données projet'!$B$11,Paramètres!$A$1:$I$89,3,0)*VLOOKUP('Données projet'!$B$11,Paramètres!$A$1:$I$89,5,0)</f>
        <v>1.064108801074326E-13</v>
      </c>
      <c r="BF84" s="13">
        <f t="shared" si="91"/>
        <v>1.5870730813698654E-12</v>
      </c>
      <c r="BG84" s="20">
        <f t="shared" si="61"/>
        <v>2.9494845662396269E-12</v>
      </c>
      <c r="BH84" s="59">
        <f t="shared" si="62"/>
        <v>293.33333333333627</v>
      </c>
      <c r="BI84" s="59">
        <f ca="1">AVERAGE(OFFSET($BH$3,0,0,'Données projet'!$E$11+1,1))-AVERAGE(OFFSET($H$3,0,0,'Données projet'!$E$11+1,1))</f>
        <v>234.83702199169585</v>
      </c>
      <c r="BJ84" s="59">
        <f t="shared" si="92"/>
        <v>248.83008816685089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63.657278144862183</v>
      </c>
      <c r="BQ84" s="21">
        <f>EXP(-LN(2)/25)*BQ83+(1-EXP(-LN(2)/25))/(LN(2)/25)*Calculateur!BL84*Calculateur!BN84*VLOOKUP('Données projet'!$B$11,Paramètres!$A$1:$I$89,3,0)*0.475*44/12</f>
        <v>25.59350405176934</v>
      </c>
      <c r="BR84" s="21">
        <f>EXP(-LN(2)/2)*BR83+(1-EXP(-LN(2)/2))/(LN(2)/2)*BL84*BO84*VLOOKUP('Données projet'!$B$11,Paramètres!$A$1:$I$89,3,0)*0.475*44/12</f>
        <v>3.5112409554975779E-3</v>
      </c>
      <c r="BS84" s="22">
        <f t="shared" si="63"/>
        <v>89.254293437587023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2.2737367544323206E-13</v>
      </c>
      <c r="BZ84" s="13">
        <f>BY84*VLOOKUP('Données projet'!$B$12,Paramètres!$A$1:$I$89,3,0)*VLOOKUP('Données projet'!$B$12,Paramètres!$A$1:$I$89,5,0)</f>
        <v>1.0049916454590858E-13</v>
      </c>
      <c r="CA84" s="13">
        <f t="shared" si="93"/>
        <v>1.5089081593838289E-12</v>
      </c>
      <c r="CB84" s="20">
        <f t="shared" si="64"/>
        <v>2.8030510891776262E-12</v>
      </c>
      <c r="CC84" s="59">
        <f t="shared" si="65"/>
        <v>293.3333333333361</v>
      </c>
      <c r="CD84" s="59">
        <f ca="1">AVERAGE(OFFSET($CC$3,0,0,'Données projet'!$E$12+1,1))-AVERAGE(OFFSET($H$3,0,0,'Données projet'!$E$12+1,1))</f>
        <v>220.26537310502334</v>
      </c>
      <c r="CE84" s="59">
        <f t="shared" si="94"/>
        <v>233.26853625122016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60.120762692369844</v>
      </c>
      <c r="CL84" s="21">
        <f>EXP(-LN(2)/25)*CL83+(1-EXP(-LN(2)/25))/(LN(2)/25)*Calculateur!CG84*Calculateur!CI84*VLOOKUP('Données projet'!$B$12,Paramètres!$A$1:$I$89,3,0)*0.475*44/12</f>
        <v>24.171642715559937</v>
      </c>
      <c r="CM84" s="21">
        <f>EXP(-LN(2)/2)*CM83+(1-EXP(-LN(2)/2))/(LN(2)/2)*CG84*CJ84*VLOOKUP('Données projet'!$B$12,Paramètres!$A$1:$I$89,3,0)*0.475*44/12</f>
        <v>3.3161720135254911E-3</v>
      </c>
      <c r="CN84" s="22">
        <f t="shared" si="66"/>
        <v>84.295721579943304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-1.5961632016114892E-13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263.37813242097957</v>
      </c>
      <c r="T85" s="59">
        <f t="shared" si="88"/>
        <v>314.89350816766904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64.686653525106195</v>
      </c>
      <c r="AA85" s="21">
        <f>EXP(-LN(2)/25)*AA84+(1-EXP(-LN(2)/25))/(LN(2)/25)*Calculateur!V85*Calculateur!X85*VLOOKUP('Données projet'!$B$9,Paramètres!$A$1:$I$89,3,0)*0.475*44/12</f>
        <v>24.368188239907784</v>
      </c>
      <c r="AB85" s="21">
        <f>EXP(-LN(2)/2)*AB84+(1-EXP(-LN(2)/2))/(LN(2)/2)*V85*Y85*VLOOKUP('Données projet'!$B$9,Paramètres!$A$1:$I$89,3,0)*0.475*44/12</f>
        <v>9.6338481561844948E-4</v>
      </c>
      <c r="AC85" s="22">
        <f t="shared" si="57"/>
        <v>89.055805149829595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1.1368683772161603E-13</v>
      </c>
      <c r="AJ85" s="13">
        <f>AI85*VLOOKUP('Données projet'!$B$10,Paramètres!$A$1:$I$89,3,0)*VLOOKUP('Données projet'!$B$10,Paramètres!$A$1:$I$89,5,0)</f>
        <v>4.5815795601811263E-14</v>
      </c>
      <c r="AK85" s="13">
        <f t="shared" si="89"/>
        <v>7.5374618042508364E-13</v>
      </c>
      <c r="AL85" s="20">
        <f t="shared" si="58"/>
        <v>1.392570441580175E-12</v>
      </c>
      <c r="AM85" s="59">
        <f t="shared" si="59"/>
        <v>293.33333333333468</v>
      </c>
      <c r="AN85" s="59">
        <f ca="1">AVERAGE(OFFSET($AM$3,0,0,'Données projet'!$E$10+1,1))-AVERAGE(OFFSET($H$3,0,0,'Données projet'!$E$10+1,1))</f>
        <v>344.29957955721721</v>
      </c>
      <c r="AO85" s="59">
        <f t="shared" si="90"/>
        <v>297.12790038882594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215.25009794485408</v>
      </c>
      <c r="AV85" s="21">
        <f>EXP(-LN(2)/25)*AV84+(1-EXP(-LN(2)/25))/(LN(2)/25)*Calculateur!AQ85*Calculateur!AS85*VLOOKUP('Données projet'!$B$10,Paramètres!$A$1:$I$89,3,0)*0.475*44/12</f>
        <v>72.12080016034146</v>
      </c>
      <c r="AW85" s="21">
        <f>EXP(-LN(2)/2)*AW84+(1-EXP(-LN(2)/2))/(LN(2)/2)*AQ85*AT85*VLOOKUP('Données projet'!$B$10,Paramètres!$A$1:$I$89,3,0)*0.475*44/12</f>
        <v>41.608012909301642</v>
      </c>
      <c r="AX85" s="21">
        <f t="shared" si="60"/>
        <v>328.97891101449716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2.2737367544323206E-13</v>
      </c>
      <c r="BE85" s="13">
        <f>BD85*VLOOKUP('Données projet'!$B$11,Paramètres!$A$1:$I$89,3,0)*VLOOKUP('Données projet'!$B$11,Paramètres!$A$1:$I$89,5,0)</f>
        <v>1.064108801074326E-13</v>
      </c>
      <c r="BF85" s="13">
        <f t="shared" si="91"/>
        <v>1.5870730813698654E-12</v>
      </c>
      <c r="BG85" s="20">
        <f t="shared" si="61"/>
        <v>2.9494845662396269E-12</v>
      </c>
      <c r="BH85" s="59">
        <f t="shared" si="62"/>
        <v>293.33333333333627</v>
      </c>
      <c r="BI85" s="59">
        <f ca="1">AVERAGE(OFFSET($BH$3,0,0,'Données projet'!$E$11+1,1))-AVERAGE(OFFSET($H$3,0,0,'Données projet'!$E$11+1,1))</f>
        <v>234.83702199169585</v>
      </c>
      <c r="BJ85" s="59">
        <f t="shared" si="92"/>
        <v>248.83008816685089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62.408997747547247</v>
      </c>
      <c r="BQ85" s="21">
        <f>EXP(-LN(2)/25)*BQ84+(1-EXP(-LN(2)/25))/(LN(2)/25)*Calculateur!BL85*Calculateur!BN85*VLOOKUP('Données projet'!$B$11,Paramètres!$A$1:$I$89,3,0)*0.475*44/12</f>
        <v>24.893648337569825</v>
      </c>
      <c r="BR85" s="21">
        <f>EXP(-LN(2)/2)*BR84+(1-EXP(-LN(2)/2))/(LN(2)/2)*BL85*BO85*VLOOKUP('Données projet'!$B$11,Paramètres!$A$1:$I$89,3,0)*0.475*44/12</f>
        <v>2.4828222900122698E-3</v>
      </c>
      <c r="BS85" s="22">
        <f t="shared" si="63"/>
        <v>87.305128907407081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2.2737367544323206E-13</v>
      </c>
      <c r="BZ85" s="13">
        <f>BY85*VLOOKUP('Données projet'!$B$12,Paramètres!$A$1:$I$89,3,0)*VLOOKUP('Données projet'!$B$12,Paramètres!$A$1:$I$89,5,0)</f>
        <v>1.0049916454590858E-13</v>
      </c>
      <c r="CA85" s="13">
        <f t="shared" si="93"/>
        <v>1.5089081593838289E-12</v>
      </c>
      <c r="CB85" s="20">
        <f t="shared" si="64"/>
        <v>2.8030510891776262E-12</v>
      </c>
      <c r="CC85" s="59">
        <f t="shared" si="65"/>
        <v>293.3333333333361</v>
      </c>
      <c r="CD85" s="59">
        <f ca="1">AVERAGE(OFFSET($CC$3,0,0,'Données projet'!$E$12+1,1))-AVERAGE(OFFSET($H$3,0,0,'Données projet'!$E$12+1,1))</f>
        <v>220.26537310502334</v>
      </c>
      <c r="CE85" s="59">
        <f t="shared" si="94"/>
        <v>233.26853625122016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58.94183120601685</v>
      </c>
      <c r="CL85" s="21">
        <f>EXP(-LN(2)/25)*CL84+(1-EXP(-LN(2)/25))/(LN(2)/25)*Calculateur!CG85*Calculateur!CI85*VLOOKUP('Données projet'!$B$12,Paramètres!$A$1:$I$89,3,0)*0.475*44/12</f>
        <v>23.510667874371507</v>
      </c>
      <c r="CM85" s="21">
        <f>EXP(-LN(2)/2)*CM84+(1-EXP(-LN(2)/2))/(LN(2)/2)*CG85*CJ85*VLOOKUP('Données projet'!$B$12,Paramètres!$A$1:$I$89,3,0)*0.475*44/12</f>
        <v>2.3448877183449221E-3</v>
      </c>
      <c r="CN85" s="22">
        <f t="shared" si="66"/>
        <v>82.454843968106701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-1.5961632016114892E-13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263.37813242097957</v>
      </c>
      <c r="T86" s="59">
        <f t="shared" si="88"/>
        <v>314.89350816766904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63.418187704441657</v>
      </c>
      <c r="AA86" s="21">
        <f>EXP(-LN(2)/25)*AA85+(1-EXP(-LN(2)/25))/(LN(2)/25)*Calculateur!V86*Calculateur!X86*VLOOKUP('Données projet'!$B$9,Paramètres!$A$1:$I$89,3,0)*0.475*44/12</f>
        <v>23.701838851020181</v>
      </c>
      <c r="AB86" s="21">
        <f>EXP(-LN(2)/2)*AB85+(1-EXP(-LN(2)/2))/(LN(2)/2)*V86*Y86*VLOOKUP('Données projet'!$B$9,Paramètres!$A$1:$I$89,3,0)*0.475*44/12</f>
        <v>6.8121593601595744E-4</v>
      </c>
      <c r="AC86" s="22">
        <f t="shared" si="57"/>
        <v>87.120707771397846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1.1368683772161603E-13</v>
      </c>
      <c r="AJ86" s="13">
        <f>AI86*VLOOKUP('Données projet'!$B$10,Paramètres!$A$1:$I$89,3,0)*VLOOKUP('Données projet'!$B$10,Paramètres!$A$1:$I$89,5,0)</f>
        <v>4.5815795601811263E-14</v>
      </c>
      <c r="AK86" s="13">
        <f t="shared" si="89"/>
        <v>7.5374618042508364E-13</v>
      </c>
      <c r="AL86" s="20">
        <f t="shared" si="58"/>
        <v>1.392570441580175E-12</v>
      </c>
      <c r="AM86" s="59">
        <f t="shared" si="59"/>
        <v>293.33333333333468</v>
      </c>
      <c r="AN86" s="59">
        <f ca="1">AVERAGE(OFFSET($AM$3,0,0,'Données projet'!$E$10+1,1))-AVERAGE(OFFSET($H$3,0,0,'Données projet'!$E$10+1,1))</f>
        <v>344.29957955721721</v>
      </c>
      <c r="AO86" s="59">
        <f t="shared" si="90"/>
        <v>297.12790038882594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211.02917481375147</v>
      </c>
      <c r="AV86" s="21">
        <f>EXP(-LN(2)/25)*AV85+(1-EXP(-LN(2)/25))/(LN(2)/25)*Calculateur!AQ86*Calculateur!AS86*VLOOKUP('Données projet'!$B$10,Paramètres!$A$1:$I$89,3,0)*0.475*44/12</f>
        <v>70.148653087288878</v>
      </c>
      <c r="AW86" s="21">
        <f>EXP(-LN(2)/2)*AW85+(1-EXP(-LN(2)/2))/(LN(2)/2)*AQ86*AT86*VLOOKUP('Données projet'!$B$10,Paramètres!$A$1:$I$89,3,0)*0.475*44/12</f>
        <v>29.421308079864602</v>
      </c>
      <c r="AX86" s="21">
        <f t="shared" si="60"/>
        <v>310.59913598090498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2.2737367544323206E-13</v>
      </c>
      <c r="BE86" s="13">
        <f>BD86*VLOOKUP('Données projet'!$B$11,Paramètres!$A$1:$I$89,3,0)*VLOOKUP('Données projet'!$B$11,Paramètres!$A$1:$I$89,5,0)</f>
        <v>1.064108801074326E-13</v>
      </c>
      <c r="BF86" s="13">
        <f t="shared" si="91"/>
        <v>1.5870730813698654E-12</v>
      </c>
      <c r="BG86" s="20">
        <f t="shared" si="61"/>
        <v>2.9494845662396269E-12</v>
      </c>
      <c r="BH86" s="59">
        <f t="shared" si="62"/>
        <v>293.33333333333627</v>
      </c>
      <c r="BI86" s="59">
        <f ca="1">AVERAGE(OFFSET($BH$3,0,0,'Données projet'!$E$11+1,1))-AVERAGE(OFFSET($H$3,0,0,'Données projet'!$E$11+1,1))</f>
        <v>234.83702199169585</v>
      </c>
      <c r="BJ86" s="59">
        <f t="shared" si="92"/>
        <v>248.83008816685089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61.18519536744779</v>
      </c>
      <c r="BQ86" s="21">
        <f>EXP(-LN(2)/25)*BQ85+(1-EXP(-LN(2)/25))/(LN(2)/25)*Calculateur!BL86*Calculateur!BN86*VLOOKUP('Données projet'!$B$11,Paramètres!$A$1:$I$89,3,0)*0.475*44/12</f>
        <v>24.212930214678906</v>
      </c>
      <c r="BR86" s="21">
        <f>EXP(-LN(2)/2)*BR85+(1-EXP(-LN(2)/2))/(LN(2)/2)*BL86*BO86*VLOOKUP('Données projet'!$B$11,Paramètres!$A$1:$I$89,3,0)*0.475*44/12</f>
        <v>1.7556204777487889E-3</v>
      </c>
      <c r="BS86" s="22">
        <f t="shared" si="63"/>
        <v>85.399881202604448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2.2737367544323206E-13</v>
      </c>
      <c r="BZ86" s="13">
        <f>BY86*VLOOKUP('Données projet'!$B$12,Paramètres!$A$1:$I$89,3,0)*VLOOKUP('Données projet'!$B$12,Paramètres!$A$1:$I$89,5,0)</f>
        <v>1.0049916454590858E-13</v>
      </c>
      <c r="CA86" s="13">
        <f t="shared" si="93"/>
        <v>1.5089081593838289E-12</v>
      </c>
      <c r="CB86" s="20">
        <f t="shared" si="64"/>
        <v>2.8030510891776262E-12</v>
      </c>
      <c r="CC86" s="59">
        <f t="shared" si="65"/>
        <v>293.3333333333361</v>
      </c>
      <c r="CD86" s="59">
        <f ca="1">AVERAGE(OFFSET($CC$3,0,0,'Données projet'!$E$12+1,1))-AVERAGE(OFFSET($H$3,0,0,'Données projet'!$E$12+1,1))</f>
        <v>220.26537310502334</v>
      </c>
      <c r="CE86" s="59">
        <f t="shared" si="94"/>
        <v>233.26853625122016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57.786017847034032</v>
      </c>
      <c r="CL86" s="21">
        <f>EXP(-LN(2)/25)*CL85+(1-EXP(-LN(2)/25))/(LN(2)/25)*Calculateur!CG86*Calculateur!CI86*VLOOKUP('Données projet'!$B$12,Paramètres!$A$1:$I$89,3,0)*0.475*44/12</f>
        <v>22.867767424974527</v>
      </c>
      <c r="CM86" s="21">
        <f>EXP(-LN(2)/2)*CM85+(1-EXP(-LN(2)/2))/(LN(2)/2)*CG86*CJ86*VLOOKUP('Données projet'!$B$12,Paramètres!$A$1:$I$89,3,0)*0.475*44/12</f>
        <v>1.6580860067627456E-3</v>
      </c>
      <c r="CN86" s="22">
        <f t="shared" si="66"/>
        <v>80.655443358015319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-1.5961632016114892E-13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263.37813242097957</v>
      </c>
      <c r="T87" s="59">
        <f t="shared" si="88"/>
        <v>314.89350816766904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62.174595724832599</v>
      </c>
      <c r="AA87" s="21">
        <f>EXP(-LN(2)/25)*AA86+(1-EXP(-LN(2)/25))/(LN(2)/25)*Calculateur!V87*Calculateur!X87*VLOOKUP('Données projet'!$B$9,Paramètres!$A$1:$I$89,3,0)*0.475*44/12</f>
        <v>23.0537108212135</v>
      </c>
      <c r="AB87" s="21">
        <f>EXP(-LN(2)/2)*AB86+(1-EXP(-LN(2)/2))/(LN(2)/2)*V87*Y87*VLOOKUP('Données projet'!$B$9,Paramètres!$A$1:$I$89,3,0)*0.475*44/12</f>
        <v>4.8169240780922479E-4</v>
      </c>
      <c r="AC87" s="22">
        <f t="shared" si="57"/>
        <v>85.228788238453902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1.1368683772161603E-13</v>
      </c>
      <c r="AJ87" s="13">
        <f>AI87*VLOOKUP('Données projet'!$B$10,Paramètres!$A$1:$I$89,3,0)*VLOOKUP('Données projet'!$B$10,Paramètres!$A$1:$I$89,5,0)</f>
        <v>4.5815795601811263E-14</v>
      </c>
      <c r="AK87" s="13">
        <f t="shared" si="89"/>
        <v>7.5374618042508364E-13</v>
      </c>
      <c r="AL87" s="20">
        <f t="shared" si="58"/>
        <v>1.392570441580175E-12</v>
      </c>
      <c r="AM87" s="59">
        <f t="shared" si="59"/>
        <v>293.33333333333468</v>
      </c>
      <c r="AN87" s="59">
        <f ca="1">AVERAGE(OFFSET($AM$3,0,0,'Données projet'!$E$10+1,1))-AVERAGE(OFFSET($H$3,0,0,'Données projet'!$E$10+1,1))</f>
        <v>344.29957955721721</v>
      </c>
      <c r="AO87" s="59">
        <f t="shared" si="90"/>
        <v>297.12790038882594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206.89102141074088</v>
      </c>
      <c r="AV87" s="21">
        <f>EXP(-LN(2)/25)*AV86+(1-EXP(-LN(2)/25))/(LN(2)/25)*Calculateur!AQ87*Calculateur!AS87*VLOOKUP('Données projet'!$B$10,Paramètres!$A$1:$I$89,3,0)*0.475*44/12</f>
        <v>68.230434479659621</v>
      </c>
      <c r="AW87" s="21">
        <f>EXP(-LN(2)/2)*AW86+(1-EXP(-LN(2)/2))/(LN(2)/2)*AQ87*AT87*VLOOKUP('Données projet'!$B$10,Paramètres!$A$1:$I$89,3,0)*0.475*44/12</f>
        <v>20.804006454650825</v>
      </c>
      <c r="AX87" s="21">
        <f t="shared" si="60"/>
        <v>295.92546234505136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2.2737367544323206E-13</v>
      </c>
      <c r="BE87" s="13">
        <f>BD87*VLOOKUP('Données projet'!$B$11,Paramètres!$A$1:$I$89,3,0)*VLOOKUP('Données projet'!$B$11,Paramètres!$A$1:$I$89,5,0)</f>
        <v>1.064108801074326E-13</v>
      </c>
      <c r="BF87" s="13">
        <f t="shared" si="91"/>
        <v>1.5870730813698654E-12</v>
      </c>
      <c r="BG87" s="20">
        <f t="shared" si="61"/>
        <v>2.9494845662396269E-12</v>
      </c>
      <c r="BH87" s="59">
        <f t="shared" si="62"/>
        <v>293.33333333333627</v>
      </c>
      <c r="BI87" s="59">
        <f ca="1">AVERAGE(OFFSET($BH$3,0,0,'Données projet'!$E$11+1,1))-AVERAGE(OFFSET($H$3,0,0,'Données projet'!$E$11+1,1))</f>
        <v>234.83702199169585</v>
      </c>
      <c r="BJ87" s="59">
        <f t="shared" si="92"/>
        <v>248.83008816685089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59.985391005576339</v>
      </c>
      <c r="BQ87" s="21">
        <f>EXP(-LN(2)/25)*BQ86+(1-EXP(-LN(2)/25))/(LN(2)/25)*Calculateur!BL87*Calculateur!BN87*VLOOKUP('Données projet'!$B$11,Paramètres!$A$1:$I$89,3,0)*0.475*44/12</f>
        <v>23.550826364655851</v>
      </c>
      <c r="BR87" s="21">
        <f>EXP(-LN(2)/2)*BR86+(1-EXP(-LN(2)/2))/(LN(2)/2)*BL87*BO87*VLOOKUP('Données projet'!$B$11,Paramètres!$A$1:$I$89,3,0)*0.475*44/12</f>
        <v>1.2414111450061349E-3</v>
      </c>
      <c r="BS87" s="22">
        <f t="shared" si="63"/>
        <v>83.537458781377197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2.2737367544323206E-13</v>
      </c>
      <c r="BZ87" s="13">
        <f>BY87*VLOOKUP('Données projet'!$B$12,Paramètres!$A$1:$I$89,3,0)*VLOOKUP('Données projet'!$B$12,Paramètres!$A$1:$I$89,5,0)</f>
        <v>1.0049916454590858E-13</v>
      </c>
      <c r="CA87" s="13">
        <f t="shared" si="93"/>
        <v>1.5089081593838289E-12</v>
      </c>
      <c r="CB87" s="20">
        <f t="shared" si="64"/>
        <v>2.8030510891776262E-12</v>
      </c>
      <c r="CC87" s="59">
        <f t="shared" si="65"/>
        <v>293.3333333333361</v>
      </c>
      <c r="CD87" s="59">
        <f ca="1">AVERAGE(OFFSET($CC$3,0,0,'Données projet'!$E$12+1,1))-AVERAGE(OFFSET($H$3,0,0,'Données projet'!$E$12+1,1))</f>
        <v>220.26537310502334</v>
      </c>
      <c r="CE87" s="59">
        <f t="shared" si="94"/>
        <v>233.26853625122016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56.652869283044332</v>
      </c>
      <c r="CL87" s="21">
        <f>EXP(-LN(2)/25)*CL86+(1-EXP(-LN(2)/25))/(LN(2)/25)*Calculateur!CG87*Calculateur!CI87*VLOOKUP('Données projet'!$B$12,Paramètres!$A$1:$I$89,3,0)*0.475*44/12</f>
        <v>22.242447122174976</v>
      </c>
      <c r="CM87" s="21">
        <f>EXP(-LN(2)/2)*CM86+(1-EXP(-LN(2)/2))/(LN(2)/2)*CG87*CJ87*VLOOKUP('Données projet'!$B$12,Paramètres!$A$1:$I$89,3,0)*0.475*44/12</f>
        <v>1.1724438591724611E-3</v>
      </c>
      <c r="CN87" s="22">
        <f t="shared" si="66"/>
        <v>78.89648884907848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-1.5961632016114892E-13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263.37813242097957</v>
      </c>
      <c r="T88" s="59">
        <f t="shared" si="88"/>
        <v>314.89350816766904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60.95538982542746</v>
      </c>
      <c r="AA88" s="21">
        <f>EXP(-LN(2)/25)*AA87+(1-EXP(-LN(2)/25))/(LN(2)/25)*Calculateur!V88*Calculateur!X88*VLOOKUP('Données projet'!$B$9,Paramètres!$A$1:$I$89,3,0)*0.475*44/12</f>
        <v>22.423305886465453</v>
      </c>
      <c r="AB88" s="21">
        <f>EXP(-LN(2)/2)*AB87+(1-EXP(-LN(2)/2))/(LN(2)/2)*V88*Y88*VLOOKUP('Données projet'!$B$9,Paramètres!$A$1:$I$89,3,0)*0.475*44/12</f>
        <v>3.4060796800797877E-4</v>
      </c>
      <c r="AC88" s="22">
        <f t="shared" si="57"/>
        <v>83.37903631986093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1.1368683772161603E-13</v>
      </c>
      <c r="AJ88" s="13">
        <f>AI88*VLOOKUP('Données projet'!$B$10,Paramètres!$A$1:$I$89,3,0)*VLOOKUP('Données projet'!$B$10,Paramètres!$A$1:$I$89,5,0)</f>
        <v>4.5815795601811263E-14</v>
      </c>
      <c r="AK88" s="13">
        <f t="shared" si="89"/>
        <v>7.5374618042508364E-13</v>
      </c>
      <c r="AL88" s="20">
        <f t="shared" si="58"/>
        <v>1.392570441580175E-12</v>
      </c>
      <c r="AM88" s="59">
        <f t="shared" si="59"/>
        <v>293.33333333333468</v>
      </c>
      <c r="AN88" s="59">
        <f ca="1">AVERAGE(OFFSET($AM$3,0,0,'Données projet'!$E$10+1,1))-AVERAGE(OFFSET($H$3,0,0,'Données projet'!$E$10+1,1))</f>
        <v>344.29957955721721</v>
      </c>
      <c r="AO88" s="59">
        <f t="shared" si="90"/>
        <v>297.12790038882594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202.83401467193897</v>
      </c>
      <c r="AV88" s="21">
        <f>EXP(-LN(2)/25)*AV87+(1-EXP(-LN(2)/25))/(LN(2)/25)*Calculateur!AQ88*Calculateur!AS88*VLOOKUP('Données projet'!$B$10,Paramètres!$A$1:$I$89,3,0)*0.475*44/12</f>
        <v>66.364669660730726</v>
      </c>
      <c r="AW88" s="21">
        <f>EXP(-LN(2)/2)*AW87+(1-EXP(-LN(2)/2))/(LN(2)/2)*AQ88*AT88*VLOOKUP('Données projet'!$B$10,Paramètres!$A$1:$I$89,3,0)*0.475*44/12</f>
        <v>14.710654039932304</v>
      </c>
      <c r="AX88" s="21">
        <f t="shared" si="60"/>
        <v>283.90933837260201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2.2737367544323206E-13</v>
      </c>
      <c r="BE88" s="13">
        <f>BD88*VLOOKUP('Données projet'!$B$11,Paramètres!$A$1:$I$89,3,0)*VLOOKUP('Données projet'!$B$11,Paramètres!$A$1:$I$89,5,0)</f>
        <v>1.064108801074326E-13</v>
      </c>
      <c r="BF88" s="13">
        <f t="shared" si="91"/>
        <v>1.5870730813698654E-12</v>
      </c>
      <c r="BG88" s="20">
        <f t="shared" si="61"/>
        <v>2.9494845662396269E-12</v>
      </c>
      <c r="BH88" s="59">
        <f t="shared" si="62"/>
        <v>293.33333333333627</v>
      </c>
      <c r="BI88" s="59">
        <f ca="1">AVERAGE(OFFSET($BH$3,0,0,'Données projet'!$E$11+1,1))-AVERAGE(OFFSET($H$3,0,0,'Données projet'!$E$11+1,1))</f>
        <v>234.83702199169585</v>
      </c>
      <c r="BJ88" s="59">
        <f t="shared" si="92"/>
        <v>248.83008816685089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58.809114075432788</v>
      </c>
      <c r="BQ88" s="21">
        <f>EXP(-LN(2)/25)*BQ87+(1-EXP(-LN(2)/25))/(LN(2)/25)*Calculateur!BL88*Calculateur!BN88*VLOOKUP('Données projet'!$B$11,Paramètres!$A$1:$I$89,3,0)*0.475*44/12</f>
        <v>22.906827779230206</v>
      </c>
      <c r="BR88" s="21">
        <f>EXP(-LN(2)/2)*BR87+(1-EXP(-LN(2)/2))/(LN(2)/2)*BL88*BO88*VLOOKUP('Données projet'!$B$11,Paramètres!$A$1:$I$89,3,0)*0.475*44/12</f>
        <v>8.7781023887439447E-4</v>
      </c>
      <c r="BS88" s="22">
        <f t="shared" si="63"/>
        <v>81.716819664901863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2.2737367544323206E-13</v>
      </c>
      <c r="BZ88" s="13">
        <f>BY88*VLOOKUP('Données projet'!$B$12,Paramètres!$A$1:$I$89,3,0)*VLOOKUP('Données projet'!$B$12,Paramètres!$A$1:$I$89,5,0)</f>
        <v>1.0049916454590858E-13</v>
      </c>
      <c r="CA88" s="13">
        <f t="shared" si="93"/>
        <v>1.5089081593838289E-12</v>
      </c>
      <c r="CB88" s="20">
        <f t="shared" si="64"/>
        <v>2.8030510891776262E-12</v>
      </c>
      <c r="CC88" s="59">
        <f t="shared" si="65"/>
        <v>293.3333333333361</v>
      </c>
      <c r="CD88" s="59">
        <f ca="1">AVERAGE(OFFSET($CC$3,0,0,'Données projet'!$E$12+1,1))-AVERAGE(OFFSET($H$3,0,0,'Données projet'!$E$12+1,1))</f>
        <v>220.26537310502334</v>
      </c>
      <c r="CE88" s="59">
        <f t="shared" si="94"/>
        <v>233.26853625122016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55.541941071242086</v>
      </c>
      <c r="CL88" s="21">
        <f>EXP(-LN(2)/25)*CL87+(1-EXP(-LN(2)/25))/(LN(2)/25)*Calculateur!CG88*Calculateur!CI88*VLOOKUP('Données projet'!$B$12,Paramètres!$A$1:$I$89,3,0)*0.475*44/12</f>
        <v>21.634226235939643</v>
      </c>
      <c r="CM88" s="21">
        <f>EXP(-LN(2)/2)*CM87+(1-EXP(-LN(2)/2))/(LN(2)/2)*CG88*CJ88*VLOOKUP('Données projet'!$B$12,Paramètres!$A$1:$I$89,3,0)*0.475*44/12</f>
        <v>8.2904300338137278E-4</v>
      </c>
      <c r="CN88" s="22">
        <f t="shared" si="66"/>
        <v>77.176996350185107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-1.5961632016114892E-13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263.37813242097957</v>
      </c>
      <c r="T89" s="59">
        <f t="shared" si="88"/>
        <v>314.89350816766904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59.760091810067486</v>
      </c>
      <c r="AA89" s="21">
        <f>EXP(-LN(2)/25)*AA88+(1-EXP(-LN(2)/25))/(LN(2)/25)*Calculateur!V89*Calculateur!X89*VLOOKUP('Données projet'!$B$9,Paramètres!$A$1:$I$89,3,0)*0.475*44/12</f>
        <v>21.810139407809647</v>
      </c>
      <c r="AB89" s="21">
        <f>EXP(-LN(2)/2)*AB88+(1-EXP(-LN(2)/2))/(LN(2)/2)*V89*Y89*VLOOKUP('Données projet'!$B$9,Paramètres!$A$1:$I$89,3,0)*0.475*44/12</f>
        <v>2.4084620390461245E-4</v>
      </c>
      <c r="AC89" s="22">
        <f t="shared" si="57"/>
        <v>81.570472064081045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1.1368683772161603E-13</v>
      </c>
      <c r="AJ89" s="13">
        <f>AI89*VLOOKUP('Données projet'!$B$10,Paramètres!$A$1:$I$89,3,0)*VLOOKUP('Données projet'!$B$10,Paramètres!$A$1:$I$89,5,0)</f>
        <v>4.5815795601811263E-14</v>
      </c>
      <c r="AK89" s="13">
        <f t="shared" si="89"/>
        <v>7.5374618042508364E-13</v>
      </c>
      <c r="AL89" s="20">
        <f t="shared" si="58"/>
        <v>1.392570441580175E-12</v>
      </c>
      <c r="AM89" s="59">
        <f t="shared" si="59"/>
        <v>293.33333333333468</v>
      </c>
      <c r="AN89" s="59">
        <f ca="1">AVERAGE(OFFSET($AM$3,0,0,'Données projet'!$E$10+1,1))-AVERAGE(OFFSET($H$3,0,0,'Données projet'!$E$10+1,1))</f>
        <v>344.29957955721721</v>
      </c>
      <c r="AO89" s="59">
        <f t="shared" si="90"/>
        <v>297.12790038882594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198.85656336075522</v>
      </c>
      <c r="AV89" s="21">
        <f>EXP(-LN(2)/25)*AV88+(1-EXP(-LN(2)/25))/(LN(2)/25)*Calculateur!AQ89*Calculateur!AS89*VLOOKUP('Données projet'!$B$10,Paramètres!$A$1:$I$89,3,0)*0.475*44/12</f>
        <v>64.549924278891751</v>
      </c>
      <c r="AW89" s="21">
        <f>EXP(-LN(2)/2)*AW88+(1-EXP(-LN(2)/2))/(LN(2)/2)*AQ89*AT89*VLOOKUP('Données projet'!$B$10,Paramètres!$A$1:$I$89,3,0)*0.475*44/12</f>
        <v>10.402003227325414</v>
      </c>
      <c r="AX89" s="21">
        <f t="shared" si="60"/>
        <v>273.80849086697236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2.2737367544323206E-13</v>
      </c>
      <c r="BE89" s="13">
        <f>BD89*VLOOKUP('Données projet'!$B$11,Paramètres!$A$1:$I$89,3,0)*VLOOKUP('Données projet'!$B$11,Paramètres!$A$1:$I$89,5,0)</f>
        <v>1.064108801074326E-13</v>
      </c>
      <c r="BF89" s="13">
        <f t="shared" si="91"/>
        <v>1.5870730813698654E-12</v>
      </c>
      <c r="BG89" s="20">
        <f t="shared" si="61"/>
        <v>2.9494845662396269E-12</v>
      </c>
      <c r="BH89" s="59">
        <f t="shared" si="62"/>
        <v>293.33333333333627</v>
      </c>
      <c r="BI89" s="59">
        <f ca="1">AVERAGE(OFFSET($BH$3,0,0,'Données projet'!$E$11+1,1))-AVERAGE(OFFSET($H$3,0,0,'Données projet'!$E$11+1,1))</f>
        <v>234.83702199169585</v>
      </c>
      <c r="BJ89" s="59">
        <f t="shared" si="92"/>
        <v>248.83008816685089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57.65590321843127</v>
      </c>
      <c r="BQ89" s="21">
        <f>EXP(-LN(2)/25)*BQ88+(1-EXP(-LN(2)/25))/(LN(2)/25)*Calculateur!BL89*Calculateur!BN89*VLOOKUP('Données projet'!$B$11,Paramètres!$A$1:$I$89,3,0)*0.475*44/12</f>
        <v>22.280439368989438</v>
      </c>
      <c r="BR89" s="21">
        <f>EXP(-LN(2)/2)*BR88+(1-EXP(-LN(2)/2))/(LN(2)/2)*BL89*BO89*VLOOKUP('Données projet'!$B$11,Paramètres!$A$1:$I$89,3,0)*0.475*44/12</f>
        <v>6.2070557250306746E-4</v>
      </c>
      <c r="BS89" s="22">
        <f t="shared" si="63"/>
        <v>79.936963292993212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2.2737367544323206E-13</v>
      </c>
      <c r="BZ89" s="13">
        <f>BY89*VLOOKUP('Données projet'!$B$12,Paramètres!$A$1:$I$89,3,0)*VLOOKUP('Données projet'!$B$12,Paramètres!$A$1:$I$89,5,0)</f>
        <v>1.0049916454590858E-13</v>
      </c>
      <c r="CA89" s="13">
        <f t="shared" si="93"/>
        <v>1.5089081593838289E-12</v>
      </c>
      <c r="CB89" s="20">
        <f t="shared" si="64"/>
        <v>2.8030510891776262E-12</v>
      </c>
      <c r="CC89" s="59">
        <f t="shared" si="65"/>
        <v>293.3333333333361</v>
      </c>
      <c r="CD89" s="59">
        <f ca="1">AVERAGE(OFFSET($CC$3,0,0,'Données projet'!$E$12+1,1))-AVERAGE(OFFSET($H$3,0,0,'Données projet'!$E$12+1,1))</f>
        <v>220.26537310502334</v>
      </c>
      <c r="CE89" s="59">
        <f t="shared" si="94"/>
        <v>233.26853625122016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54.452797484073983</v>
      </c>
      <c r="CL89" s="21">
        <f>EXP(-LN(2)/25)*CL88+(1-EXP(-LN(2)/25))/(LN(2)/25)*Calculateur!CG89*Calculateur!CI89*VLOOKUP('Données projet'!$B$12,Paramètres!$A$1:$I$89,3,0)*0.475*44/12</f>
        <v>21.042637181823363</v>
      </c>
      <c r="CM89" s="21">
        <f>EXP(-LN(2)/2)*CM88+(1-EXP(-LN(2)/2))/(LN(2)/2)*CG89*CJ89*VLOOKUP('Données projet'!$B$12,Paramètres!$A$1:$I$89,3,0)*0.475*44/12</f>
        <v>5.8622192958623053E-4</v>
      </c>
      <c r="CN89" s="22">
        <f t="shared" si="66"/>
        <v>75.49602088782693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-1.5961632016114892E-13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263.37813242097957</v>
      </c>
      <c r="T90" s="59">
        <f t="shared" si="88"/>
        <v>314.89350816766904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58.588232859728926</v>
      </c>
      <c r="AA90" s="21">
        <f>EXP(-LN(2)/25)*AA89+(1-EXP(-LN(2)/25))/(LN(2)/25)*Calculateur!V90*Calculateur!X90*VLOOKUP('Données projet'!$B$9,Paramètres!$A$1:$I$89,3,0)*0.475*44/12</f>
        <v>21.21373999875771</v>
      </c>
      <c r="AB90" s="21">
        <f>EXP(-LN(2)/2)*AB89+(1-EXP(-LN(2)/2))/(LN(2)/2)*V90*Y90*VLOOKUP('Données projet'!$B$9,Paramètres!$A$1:$I$89,3,0)*0.475*44/12</f>
        <v>1.7030398400398941E-4</v>
      </c>
      <c r="AC90" s="22">
        <f t="shared" si="57"/>
        <v>79.802143162470642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1.1368683772161603E-13</v>
      </c>
      <c r="AJ90" s="13">
        <f>AI90*VLOOKUP('Données projet'!$B$10,Paramètres!$A$1:$I$89,3,0)*VLOOKUP('Données projet'!$B$10,Paramètres!$A$1:$I$89,5,0)</f>
        <v>4.5815795601811263E-14</v>
      </c>
      <c r="AK90" s="13">
        <f t="shared" si="89"/>
        <v>7.5374618042508364E-13</v>
      </c>
      <c r="AL90" s="20">
        <f t="shared" si="58"/>
        <v>1.392570441580175E-12</v>
      </c>
      <c r="AM90" s="59">
        <f t="shared" si="59"/>
        <v>293.33333333333468</v>
      </c>
      <c r="AN90" s="59">
        <f ca="1">AVERAGE(OFFSET($AM$3,0,0,'Données projet'!$E$10+1,1))-AVERAGE(OFFSET($H$3,0,0,'Données projet'!$E$10+1,1))</f>
        <v>344.29957955721721</v>
      </c>
      <c r="AO90" s="59">
        <f t="shared" si="90"/>
        <v>297.12790038882594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194.957107443778</v>
      </c>
      <c r="AV90" s="21">
        <f>EXP(-LN(2)/25)*AV89+(1-EXP(-LN(2)/25))/(LN(2)/25)*Calculateur!AQ90*Calculateur!AS90*VLOOKUP('Données projet'!$B$10,Paramètres!$A$1:$I$89,3,0)*0.475*44/12</f>
        <v>62.784803204952468</v>
      </c>
      <c r="AW90" s="21">
        <f>EXP(-LN(2)/2)*AW89+(1-EXP(-LN(2)/2))/(LN(2)/2)*AQ90*AT90*VLOOKUP('Données projet'!$B$10,Paramètres!$A$1:$I$89,3,0)*0.475*44/12</f>
        <v>7.3553270199661531</v>
      </c>
      <c r="AX90" s="21">
        <f t="shared" si="60"/>
        <v>265.09723766869661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2.2737367544323206E-13</v>
      </c>
      <c r="BE90" s="13">
        <f>BD90*VLOOKUP('Données projet'!$B$11,Paramètres!$A$1:$I$89,3,0)*VLOOKUP('Données projet'!$B$11,Paramètres!$A$1:$I$89,5,0)</f>
        <v>1.064108801074326E-13</v>
      </c>
      <c r="BF90" s="13">
        <f t="shared" si="91"/>
        <v>1.5870730813698654E-12</v>
      </c>
      <c r="BG90" s="20">
        <f t="shared" si="61"/>
        <v>2.9494845662396269E-12</v>
      </c>
      <c r="BH90" s="59">
        <f t="shared" si="62"/>
        <v>293.33333333333627</v>
      </c>
      <c r="BI90" s="59">
        <f ca="1">AVERAGE(OFFSET($BH$3,0,0,'Données projet'!$E$11+1,1))-AVERAGE(OFFSET($H$3,0,0,'Données projet'!$E$11+1,1))</f>
        <v>234.83702199169585</v>
      </c>
      <c r="BJ90" s="59">
        <f t="shared" si="92"/>
        <v>248.83008816685089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56.525306122946382</v>
      </c>
      <c r="BQ90" s="21">
        <f>EXP(-LN(2)/25)*BQ89+(1-EXP(-LN(2)/25))/(LN(2)/25)*Calculateur!BL90*Calculateur!BN90*VLOOKUP('Données projet'!$B$11,Paramètres!$A$1:$I$89,3,0)*0.475*44/12</f>
        <v>21.671179582767039</v>
      </c>
      <c r="BR90" s="21">
        <f>EXP(-LN(2)/2)*BR89+(1-EXP(-LN(2)/2))/(LN(2)/2)*BL90*BO90*VLOOKUP('Données projet'!$B$11,Paramètres!$A$1:$I$89,3,0)*0.475*44/12</f>
        <v>4.3890511943719723E-4</v>
      </c>
      <c r="BS90" s="22">
        <f t="shared" si="63"/>
        <v>78.196924610832866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2.2737367544323206E-13</v>
      </c>
      <c r="BZ90" s="13">
        <f>BY90*VLOOKUP('Données projet'!$B$12,Paramètres!$A$1:$I$89,3,0)*VLOOKUP('Données projet'!$B$12,Paramètres!$A$1:$I$89,5,0)</f>
        <v>1.0049916454590858E-13</v>
      </c>
      <c r="CA90" s="13">
        <f t="shared" si="93"/>
        <v>1.5089081593838289E-12</v>
      </c>
      <c r="CB90" s="20">
        <f t="shared" si="64"/>
        <v>2.8030510891776262E-12</v>
      </c>
      <c r="CC90" s="59">
        <f t="shared" si="65"/>
        <v>293.3333333333361</v>
      </c>
      <c r="CD90" s="59">
        <f ca="1">AVERAGE(OFFSET($CC$3,0,0,'Données projet'!$E$12+1,1))-AVERAGE(OFFSET($H$3,0,0,'Données projet'!$E$12+1,1))</f>
        <v>220.26537310502334</v>
      </c>
      <c r="CE90" s="59">
        <f t="shared" si="94"/>
        <v>233.26853625122016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53.385011338338252</v>
      </c>
      <c r="CL90" s="21">
        <f>EXP(-LN(2)/25)*CL89+(1-EXP(-LN(2)/25))/(LN(2)/25)*Calculateur!CG90*Calculateur!CI90*VLOOKUP('Données projet'!$B$12,Paramètres!$A$1:$I$89,3,0)*0.475*44/12</f>
        <v>20.467225161502206</v>
      </c>
      <c r="CM90" s="21">
        <f>EXP(-LN(2)/2)*CM89+(1-EXP(-LN(2)/2))/(LN(2)/2)*CG90*CJ90*VLOOKUP('Données projet'!$B$12,Paramètres!$A$1:$I$89,3,0)*0.475*44/12</f>
        <v>4.1452150169068639E-4</v>
      </c>
      <c r="CN90" s="22">
        <f t="shared" si="66"/>
        <v>73.852651021342155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-1.5961632016114892E-13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263.37813242097957</v>
      </c>
      <c r="T91" s="59">
        <f t="shared" si="88"/>
        <v>314.89350816766904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57.439353348643117</v>
      </c>
      <c r="AA91" s="21">
        <f>EXP(-LN(2)/25)*AA90+(1-EXP(-LN(2)/25))/(LN(2)/25)*Calculateur!V91*Calculateur!X91*VLOOKUP('Données projet'!$B$9,Paramètres!$A$1:$I$89,3,0)*0.475*44/12</f>
        <v>20.633649162909578</v>
      </c>
      <c r="AB91" s="21">
        <f>EXP(-LN(2)/2)*AB90+(1-EXP(-LN(2)/2))/(LN(2)/2)*V91*Y91*VLOOKUP('Données projet'!$B$9,Paramètres!$A$1:$I$89,3,0)*0.475*44/12</f>
        <v>1.2042310195230624E-4</v>
      </c>
      <c r="AC91" s="22">
        <f t="shared" si="57"/>
        <v>78.073122934654634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1.1368683772161603E-13</v>
      </c>
      <c r="AJ91" s="13">
        <f>AI91*VLOOKUP('Données projet'!$B$10,Paramètres!$A$1:$I$89,3,0)*VLOOKUP('Données projet'!$B$10,Paramètres!$A$1:$I$89,5,0)</f>
        <v>4.5815795601811263E-14</v>
      </c>
      <c r="AK91" s="13">
        <f t="shared" si="89"/>
        <v>7.5374618042508364E-13</v>
      </c>
      <c r="AL91" s="20">
        <f t="shared" si="58"/>
        <v>1.392570441580175E-12</v>
      </c>
      <c r="AM91" s="59">
        <f t="shared" si="59"/>
        <v>293.33333333333468</v>
      </c>
      <c r="AN91" s="59">
        <f ca="1">AVERAGE(OFFSET($AM$3,0,0,'Données projet'!$E$10+1,1))-AVERAGE(OFFSET($H$3,0,0,'Données projet'!$E$10+1,1))</f>
        <v>344.29957955721721</v>
      </c>
      <c r="AO91" s="59">
        <f t="shared" si="90"/>
        <v>297.12790038882594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191.13411747889947</v>
      </c>
      <c r="AV91" s="21">
        <f>EXP(-LN(2)/25)*AV90+(1-EXP(-LN(2)/25))/(LN(2)/25)*Calculateur!AQ91*Calculateur!AS91*VLOOKUP('Données projet'!$B$10,Paramètres!$A$1:$I$89,3,0)*0.475*44/12</f>
        <v>61.067949459603739</v>
      </c>
      <c r="AW91" s="21">
        <f>EXP(-LN(2)/2)*AW90+(1-EXP(-LN(2)/2))/(LN(2)/2)*AQ91*AT91*VLOOKUP('Données projet'!$B$10,Paramètres!$A$1:$I$89,3,0)*0.475*44/12</f>
        <v>5.201001613662708</v>
      </c>
      <c r="AX91" s="21">
        <f t="shared" si="60"/>
        <v>257.40306855216591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2.2737367544323206E-13</v>
      </c>
      <c r="BE91" s="13">
        <f>BD91*VLOOKUP('Données projet'!$B$11,Paramètres!$A$1:$I$89,3,0)*VLOOKUP('Données projet'!$B$11,Paramètres!$A$1:$I$89,5,0)</f>
        <v>1.064108801074326E-13</v>
      </c>
      <c r="BF91" s="13">
        <f t="shared" si="91"/>
        <v>1.5870730813698654E-12</v>
      </c>
      <c r="BG91" s="20">
        <f t="shared" si="61"/>
        <v>2.9494845662396269E-12</v>
      </c>
      <c r="BH91" s="59">
        <f t="shared" si="62"/>
        <v>293.33333333333627</v>
      </c>
      <c r="BI91" s="59">
        <f ca="1">AVERAGE(OFFSET($BH$3,0,0,'Données projet'!$E$11+1,1))-AVERAGE(OFFSET($H$3,0,0,'Données projet'!$E$11+1,1))</f>
        <v>234.83702199169585</v>
      </c>
      <c r="BJ91" s="59">
        <f t="shared" si="92"/>
        <v>248.83008816685089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55.416879346907812</v>
      </c>
      <c r="BQ91" s="21">
        <f>EXP(-LN(2)/25)*BQ90+(1-EXP(-LN(2)/25))/(LN(2)/25)*Calculateur!BL91*Calculateur!BN91*VLOOKUP('Données projet'!$B$11,Paramètres!$A$1:$I$89,3,0)*0.475*44/12</f>
        <v>21.078580037438471</v>
      </c>
      <c r="BR91" s="21">
        <f>EXP(-LN(2)/2)*BR90+(1-EXP(-LN(2)/2))/(LN(2)/2)*BL91*BO91*VLOOKUP('Données projet'!$B$11,Paramètres!$A$1:$I$89,3,0)*0.475*44/12</f>
        <v>3.1035278625153373E-4</v>
      </c>
      <c r="BS91" s="22">
        <f t="shared" si="63"/>
        <v>76.495769737132534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2.2737367544323206E-13</v>
      </c>
      <c r="BZ91" s="13">
        <f>BY91*VLOOKUP('Données projet'!$B$12,Paramètres!$A$1:$I$89,3,0)*VLOOKUP('Données projet'!$B$12,Paramètres!$A$1:$I$89,5,0)</f>
        <v>1.0049916454590858E-13</v>
      </c>
      <c r="CA91" s="13">
        <f t="shared" si="93"/>
        <v>1.5089081593838289E-12</v>
      </c>
      <c r="CB91" s="20">
        <f t="shared" si="64"/>
        <v>2.8030510891776262E-12</v>
      </c>
      <c r="CC91" s="59">
        <f t="shared" si="65"/>
        <v>293.3333333333361</v>
      </c>
      <c r="CD91" s="59">
        <f ca="1">AVERAGE(OFFSET($CC$3,0,0,'Données projet'!$E$12+1,1))-AVERAGE(OFFSET($H$3,0,0,'Données projet'!$E$12+1,1))</f>
        <v>220.26537310502334</v>
      </c>
      <c r="CE91" s="59">
        <f t="shared" si="94"/>
        <v>233.26853625122016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52.338163827635164</v>
      </c>
      <c r="CL91" s="21">
        <f>EXP(-LN(2)/25)*CL90+(1-EXP(-LN(2)/25))/(LN(2)/25)*Calculateur!CG91*Calculateur!CI91*VLOOKUP('Données projet'!$B$12,Paramètres!$A$1:$I$89,3,0)*0.475*44/12</f>
        <v>19.907547813136336</v>
      </c>
      <c r="CM91" s="21">
        <f>EXP(-LN(2)/2)*CM90+(1-EXP(-LN(2)/2))/(LN(2)/2)*CG91*CJ91*VLOOKUP('Données projet'!$B$12,Paramètres!$A$1:$I$89,3,0)*0.475*44/12</f>
        <v>2.9311096479311526E-4</v>
      </c>
      <c r="CN91" s="22">
        <f t="shared" si="66"/>
        <v>72.246004751736294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-1.5961632016114892E-13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263.37813242097957</v>
      </c>
      <c r="T92" s="59">
        <f t="shared" si="88"/>
        <v>314.89350816766904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56.313002664022392</v>
      </c>
      <c r="AA92" s="21">
        <f>EXP(-LN(2)/25)*AA91+(1-EXP(-LN(2)/25))/(LN(2)/25)*Calculateur!V92*Calculateur!X92*VLOOKUP('Données projet'!$B$9,Paramètres!$A$1:$I$89,3,0)*0.475*44/12</f>
        <v>20.069420941473364</v>
      </c>
      <c r="AB92" s="21">
        <f>EXP(-LN(2)/2)*AB91+(1-EXP(-LN(2)/2))/(LN(2)/2)*V92*Y92*VLOOKUP('Données projet'!$B$9,Paramètres!$A$1:$I$89,3,0)*0.475*44/12</f>
        <v>8.5151992001994721E-5</v>
      </c>
      <c r="AC92" s="22">
        <f t="shared" si="57"/>
        <v>76.382508757487756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1.1368683772161603E-13</v>
      </c>
      <c r="AJ92" s="13">
        <f>AI92*VLOOKUP('Données projet'!$B$10,Paramètres!$A$1:$I$89,3,0)*VLOOKUP('Données projet'!$B$10,Paramètres!$A$1:$I$89,5,0)</f>
        <v>4.5815795601811263E-14</v>
      </c>
      <c r="AK92" s="13">
        <f t="shared" si="89"/>
        <v>7.5374618042508364E-13</v>
      </c>
      <c r="AL92" s="20">
        <f t="shared" si="58"/>
        <v>1.392570441580175E-12</v>
      </c>
      <c r="AM92" s="59">
        <f t="shared" si="59"/>
        <v>293.33333333333468</v>
      </c>
      <c r="AN92" s="59">
        <f ca="1">AVERAGE(OFFSET($AM$3,0,0,'Données projet'!$E$10+1,1))-AVERAGE(OFFSET($H$3,0,0,'Données projet'!$E$10+1,1))</f>
        <v>344.29957955721721</v>
      </c>
      <c r="AO92" s="59">
        <f t="shared" si="90"/>
        <v>297.12790038882594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187.38609401543857</v>
      </c>
      <c r="AV92" s="21">
        <f>EXP(-LN(2)/25)*AV91+(1-EXP(-LN(2)/25))/(LN(2)/25)*Calculateur!AQ92*Calculateur!AS92*VLOOKUP('Données projet'!$B$10,Paramètres!$A$1:$I$89,3,0)*0.475*44/12</f>
        <v>59.398043170206982</v>
      </c>
      <c r="AW92" s="21">
        <f>EXP(-LN(2)/2)*AW91+(1-EXP(-LN(2)/2))/(LN(2)/2)*AQ92*AT92*VLOOKUP('Données projet'!$B$10,Paramètres!$A$1:$I$89,3,0)*0.475*44/12</f>
        <v>3.6776635099830775</v>
      </c>
      <c r="AX92" s="21">
        <f t="shared" si="60"/>
        <v>250.46180069562865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2.2737367544323206E-13</v>
      </c>
      <c r="BE92" s="13">
        <f>BD92*VLOOKUP('Données projet'!$B$11,Paramètres!$A$1:$I$89,3,0)*VLOOKUP('Données projet'!$B$11,Paramètres!$A$1:$I$89,5,0)</f>
        <v>1.064108801074326E-13</v>
      </c>
      <c r="BF92" s="13">
        <f t="shared" si="91"/>
        <v>1.5870730813698654E-12</v>
      </c>
      <c r="BG92" s="20">
        <f t="shared" si="61"/>
        <v>2.9494845662396269E-12</v>
      </c>
      <c r="BH92" s="59">
        <f t="shared" si="62"/>
        <v>293.33333333333627</v>
      </c>
      <c r="BI92" s="59">
        <f ca="1">AVERAGE(OFFSET($BH$3,0,0,'Données projet'!$E$11+1,1))-AVERAGE(OFFSET($H$3,0,0,'Données projet'!$E$11+1,1))</f>
        <v>234.83702199169585</v>
      </c>
      <c r="BJ92" s="59">
        <f t="shared" si="92"/>
        <v>248.83008816685089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54.330188143873784</v>
      </c>
      <c r="BQ92" s="21">
        <f>EXP(-LN(2)/25)*BQ91+(1-EXP(-LN(2)/25))/(LN(2)/25)*Calculateur!BL92*Calculateur!BN92*VLOOKUP('Données projet'!$B$11,Paramètres!$A$1:$I$89,3,0)*0.475*44/12</f>
        <v>20.502185157840366</v>
      </c>
      <c r="BR92" s="21">
        <f>EXP(-LN(2)/2)*BR91+(1-EXP(-LN(2)/2))/(LN(2)/2)*BL92*BO92*VLOOKUP('Données projet'!$B$11,Paramètres!$A$1:$I$89,3,0)*0.475*44/12</f>
        <v>2.1945255971859862E-4</v>
      </c>
      <c r="BS92" s="22">
        <f t="shared" si="63"/>
        <v>74.832592754273861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2.2737367544323206E-13</v>
      </c>
      <c r="BZ92" s="13">
        <f>BY92*VLOOKUP('Données projet'!$B$12,Paramètres!$A$1:$I$89,3,0)*VLOOKUP('Données projet'!$B$12,Paramètres!$A$1:$I$89,5,0)</f>
        <v>1.0049916454590858E-13</v>
      </c>
      <c r="CA92" s="13">
        <f t="shared" si="93"/>
        <v>1.5089081593838289E-12</v>
      </c>
      <c r="CB92" s="20">
        <f t="shared" si="64"/>
        <v>2.8030510891776262E-12</v>
      </c>
      <c r="CC92" s="59">
        <f t="shared" si="65"/>
        <v>293.3333333333361</v>
      </c>
      <c r="CD92" s="59">
        <f ca="1">AVERAGE(OFFSET($CC$3,0,0,'Données projet'!$E$12+1,1))-AVERAGE(OFFSET($H$3,0,0,'Données projet'!$E$12+1,1))</f>
        <v>220.26537310502334</v>
      </c>
      <c r="CE92" s="59">
        <f t="shared" si="94"/>
        <v>233.26853625122016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51.311844358103023</v>
      </c>
      <c r="CL92" s="21">
        <f>EXP(-LN(2)/25)*CL91+(1-EXP(-LN(2)/25))/(LN(2)/25)*Calculateur!CG92*Calculateur!CI92*VLOOKUP('Données projet'!$B$12,Paramètres!$A$1:$I$89,3,0)*0.475*44/12</f>
        <v>19.363174871293683</v>
      </c>
      <c r="CM92" s="21">
        <f>EXP(-LN(2)/2)*CM91+(1-EXP(-LN(2)/2))/(LN(2)/2)*CG92*CJ92*VLOOKUP('Données projet'!$B$12,Paramètres!$A$1:$I$89,3,0)*0.475*44/12</f>
        <v>2.0726075084534319E-4</v>
      </c>
      <c r="CN92" s="22">
        <f t="shared" si="66"/>
        <v>70.675226490147551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-1.5961632016114892E-13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263.37813242097957</v>
      </c>
      <c r="T93" s="59">
        <f t="shared" si="88"/>
        <v>314.89350816766904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55.208739029321002</v>
      </c>
      <c r="AA93" s="21">
        <f>EXP(-LN(2)/25)*AA92+(1-EXP(-LN(2)/25))/(LN(2)/25)*Calculateur!V93*Calculateur!X93*VLOOKUP('Données projet'!$B$9,Paramètres!$A$1:$I$89,3,0)*0.475*44/12</f>
        <v>19.520621570423796</v>
      </c>
      <c r="AB93" s="21">
        <f>EXP(-LN(2)/2)*AB92+(1-EXP(-LN(2)/2))/(LN(2)/2)*V93*Y93*VLOOKUP('Données projet'!$B$9,Paramètres!$A$1:$I$89,3,0)*0.475*44/12</f>
        <v>6.0211550976153133E-5</v>
      </c>
      <c r="AC93" s="22">
        <f t="shared" si="57"/>
        <v>74.729420811295768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1.1368683772161603E-13</v>
      </c>
      <c r="AJ93" s="13">
        <f>AI93*VLOOKUP('Données projet'!$B$10,Paramètres!$A$1:$I$89,3,0)*VLOOKUP('Données projet'!$B$10,Paramètres!$A$1:$I$89,5,0)</f>
        <v>4.5815795601811263E-14</v>
      </c>
      <c r="AK93" s="13">
        <f t="shared" si="89"/>
        <v>7.5374618042508364E-13</v>
      </c>
      <c r="AL93" s="20">
        <f t="shared" si="58"/>
        <v>1.392570441580175E-12</v>
      </c>
      <c r="AM93" s="59">
        <f t="shared" si="59"/>
        <v>293.33333333333468</v>
      </c>
      <c r="AN93" s="59">
        <f ca="1">AVERAGE(OFFSET($AM$3,0,0,'Données projet'!$E$10+1,1))-AVERAGE(OFFSET($H$3,0,0,'Données projet'!$E$10+1,1))</f>
        <v>344.29957955721721</v>
      </c>
      <c r="AO93" s="59">
        <f t="shared" si="90"/>
        <v>297.12790038882594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183.71156700602756</v>
      </c>
      <c r="AV93" s="21">
        <f>EXP(-LN(2)/25)*AV92+(1-EXP(-LN(2)/25))/(LN(2)/25)*Calculateur!AQ93*Calculateur!AS93*VLOOKUP('Données projet'!$B$10,Paramètres!$A$1:$I$89,3,0)*0.475*44/12</f>
        <v>57.773800556110338</v>
      </c>
      <c r="AW93" s="21">
        <f>EXP(-LN(2)/2)*AW92+(1-EXP(-LN(2)/2))/(LN(2)/2)*AQ93*AT93*VLOOKUP('Données projet'!$B$10,Paramètres!$A$1:$I$89,3,0)*0.475*44/12</f>
        <v>2.6005008068313544</v>
      </c>
      <c r="AX93" s="21">
        <f t="shared" si="60"/>
        <v>244.08586836896924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2.2737367544323206E-13</v>
      </c>
      <c r="BE93" s="13">
        <f>BD93*VLOOKUP('Données projet'!$B$11,Paramètres!$A$1:$I$89,3,0)*VLOOKUP('Données projet'!$B$11,Paramètres!$A$1:$I$89,5,0)</f>
        <v>1.064108801074326E-13</v>
      </c>
      <c r="BF93" s="13">
        <f t="shared" si="91"/>
        <v>1.5870730813698654E-12</v>
      </c>
      <c r="BG93" s="20">
        <f t="shared" si="61"/>
        <v>2.9494845662396269E-12</v>
      </c>
      <c r="BH93" s="59">
        <f t="shared" si="62"/>
        <v>293.33333333333627</v>
      </c>
      <c r="BI93" s="59">
        <f ca="1">AVERAGE(OFFSET($BH$3,0,0,'Données projet'!$E$11+1,1))-AVERAGE(OFFSET($H$3,0,0,'Données projet'!$E$11+1,1))</f>
        <v>234.83702199169585</v>
      </c>
      <c r="BJ93" s="59">
        <f t="shared" si="92"/>
        <v>248.83008816685089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53.264806292515068</v>
      </c>
      <c r="BQ93" s="21">
        <f>EXP(-LN(2)/25)*BQ92+(1-EXP(-LN(2)/25))/(LN(2)/25)*Calculateur!BL93*Calculateur!BN93*VLOOKUP('Données projet'!$B$11,Paramètres!$A$1:$I$89,3,0)*0.475*44/12</f>
        <v>19.941551826536163</v>
      </c>
      <c r="BR93" s="21">
        <f>EXP(-LN(2)/2)*BR92+(1-EXP(-LN(2)/2))/(LN(2)/2)*BL93*BO93*VLOOKUP('Données projet'!$B$11,Paramètres!$A$1:$I$89,3,0)*0.475*44/12</f>
        <v>1.5517639312576686E-4</v>
      </c>
      <c r="BS93" s="22">
        <f t="shared" si="63"/>
        <v>73.206513295444353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2.2737367544323206E-13</v>
      </c>
      <c r="BZ93" s="13">
        <f>BY93*VLOOKUP('Données projet'!$B$12,Paramètres!$A$1:$I$89,3,0)*VLOOKUP('Données projet'!$B$12,Paramètres!$A$1:$I$89,5,0)</f>
        <v>1.0049916454590858E-13</v>
      </c>
      <c r="CA93" s="13">
        <f t="shared" si="93"/>
        <v>1.5089081593838289E-12</v>
      </c>
      <c r="CB93" s="20">
        <f t="shared" si="64"/>
        <v>2.8030510891776262E-12</v>
      </c>
      <c r="CC93" s="59">
        <f t="shared" si="65"/>
        <v>293.3333333333361</v>
      </c>
      <c r="CD93" s="59">
        <f ca="1">AVERAGE(OFFSET($CC$3,0,0,'Données projet'!$E$12+1,1))-AVERAGE(OFFSET($H$3,0,0,'Données projet'!$E$12+1,1))</f>
        <v>220.26537310502334</v>
      </c>
      <c r="CE93" s="59">
        <f t="shared" si="94"/>
        <v>233.26853625122016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50.305650387375344</v>
      </c>
      <c r="CL93" s="21">
        <f>EXP(-LN(2)/25)*CL92+(1-EXP(-LN(2)/25))/(LN(2)/25)*Calculateur!CG93*Calculateur!CI93*VLOOKUP('Données projet'!$B$12,Paramètres!$A$1:$I$89,3,0)*0.475*44/12</f>
        <v>18.833687836173045</v>
      </c>
      <c r="CM93" s="21">
        <f>EXP(-LN(2)/2)*CM92+(1-EXP(-LN(2)/2))/(LN(2)/2)*CG93*CJ93*VLOOKUP('Données projet'!$B$12,Paramètres!$A$1:$I$89,3,0)*0.475*44/12</f>
        <v>1.4655548239655763E-4</v>
      </c>
      <c r="CN93" s="22">
        <f t="shared" si="66"/>
        <v>69.139484779030795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-1.5961632016114892E-13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263.37813242097957</v>
      </c>
      <c r="T94" s="59">
        <f t="shared" si="88"/>
        <v>314.89350816766904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54.126129330961795</v>
      </c>
      <c r="AA94" s="21">
        <f>EXP(-LN(2)/25)*AA93+(1-EXP(-LN(2)/25))/(LN(2)/25)*Calculateur!V94*Calculateur!X94*VLOOKUP('Données projet'!$B$9,Paramètres!$A$1:$I$89,3,0)*0.475*44/12</f>
        <v>18.986829147035685</v>
      </c>
      <c r="AB94" s="21">
        <f>EXP(-LN(2)/2)*AB93+(1-EXP(-LN(2)/2))/(LN(2)/2)*V94*Y94*VLOOKUP('Données projet'!$B$9,Paramètres!$A$1:$I$89,3,0)*0.475*44/12</f>
        <v>4.2575996000997367E-5</v>
      </c>
      <c r="AC94" s="22">
        <f t="shared" si="57"/>
        <v>73.113001053993486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1.1368683772161603E-13</v>
      </c>
      <c r="AJ94" s="13">
        <f>AI94*VLOOKUP('Données projet'!$B$10,Paramètres!$A$1:$I$89,3,0)*VLOOKUP('Données projet'!$B$10,Paramètres!$A$1:$I$89,5,0)</f>
        <v>4.5815795601811263E-14</v>
      </c>
      <c r="AK94" s="13">
        <f t="shared" si="89"/>
        <v>7.5374618042508364E-13</v>
      </c>
      <c r="AL94" s="20">
        <f t="shared" si="58"/>
        <v>1.392570441580175E-12</v>
      </c>
      <c r="AM94" s="59">
        <f t="shared" si="59"/>
        <v>293.33333333333468</v>
      </c>
      <c r="AN94" s="59">
        <f ca="1">AVERAGE(OFFSET($AM$3,0,0,'Données projet'!$E$10+1,1))-AVERAGE(OFFSET($H$3,0,0,'Données projet'!$E$10+1,1))</f>
        <v>344.29957955721721</v>
      </c>
      <c r="AO94" s="59">
        <f t="shared" si="90"/>
        <v>297.12790038882594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180.10909523003093</v>
      </c>
      <c r="AV94" s="21">
        <f>EXP(-LN(2)/25)*AV93+(1-EXP(-LN(2)/25))/(LN(2)/25)*Calculateur!AQ94*Calculateur!AS94*VLOOKUP('Données projet'!$B$10,Paramètres!$A$1:$I$89,3,0)*0.475*44/12</f>
        <v>56.193972941711372</v>
      </c>
      <c r="AW94" s="21">
        <f>EXP(-LN(2)/2)*AW93+(1-EXP(-LN(2)/2))/(LN(2)/2)*AQ94*AT94*VLOOKUP('Données projet'!$B$10,Paramètres!$A$1:$I$89,3,0)*0.475*44/12</f>
        <v>1.8388317549915389</v>
      </c>
      <c r="AX94" s="21">
        <f t="shared" si="60"/>
        <v>238.14189992673383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2.2737367544323206E-13</v>
      </c>
      <c r="BE94" s="13">
        <f>BD94*VLOOKUP('Données projet'!$B$11,Paramètres!$A$1:$I$89,3,0)*VLOOKUP('Données projet'!$B$11,Paramètres!$A$1:$I$89,5,0)</f>
        <v>1.064108801074326E-13</v>
      </c>
      <c r="BF94" s="13">
        <f t="shared" si="91"/>
        <v>1.5870730813698654E-12</v>
      </c>
      <c r="BG94" s="20">
        <f t="shared" si="61"/>
        <v>2.9494845662396269E-12</v>
      </c>
      <c r="BH94" s="59">
        <f t="shared" si="62"/>
        <v>293.33333333333627</v>
      </c>
      <c r="BI94" s="59">
        <f ca="1">AVERAGE(OFFSET($BH$3,0,0,'Données projet'!$E$11+1,1))-AVERAGE(OFFSET($H$3,0,0,'Données projet'!$E$11+1,1))</f>
        <v>234.83702199169585</v>
      </c>
      <c r="BJ94" s="59">
        <f t="shared" si="92"/>
        <v>248.83008816685089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52.220315929442734</v>
      </c>
      <c r="BQ94" s="21">
        <f>EXP(-LN(2)/25)*BQ93+(1-EXP(-LN(2)/25))/(LN(2)/25)*Calculateur!BL94*Calculateur!BN94*VLOOKUP('Données projet'!$B$11,Paramètres!$A$1:$I$89,3,0)*0.475*44/12</f>
        <v>19.396249043158896</v>
      </c>
      <c r="BR94" s="21">
        <f>EXP(-LN(2)/2)*BR93+(1-EXP(-LN(2)/2))/(LN(2)/2)*BL94*BO94*VLOOKUP('Données projet'!$B$11,Paramètres!$A$1:$I$89,3,0)*0.475*44/12</f>
        <v>1.0972627985929931E-4</v>
      </c>
      <c r="BS94" s="22">
        <f t="shared" si="63"/>
        <v>71.616674698881482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2.2737367544323206E-13</v>
      </c>
      <c r="BZ94" s="13">
        <f>BY94*VLOOKUP('Données projet'!$B$12,Paramètres!$A$1:$I$89,3,0)*VLOOKUP('Données projet'!$B$12,Paramètres!$A$1:$I$89,5,0)</f>
        <v>1.0049916454590858E-13</v>
      </c>
      <c r="CA94" s="13">
        <f t="shared" si="93"/>
        <v>1.5089081593838289E-12</v>
      </c>
      <c r="CB94" s="20">
        <f t="shared" si="64"/>
        <v>2.8030510891776262E-12</v>
      </c>
      <c r="CC94" s="59">
        <f t="shared" si="65"/>
        <v>293.3333333333361</v>
      </c>
      <c r="CD94" s="59">
        <f ca="1">AVERAGE(OFFSET($CC$3,0,0,'Données projet'!$E$12+1,1))-AVERAGE(OFFSET($H$3,0,0,'Données projet'!$E$12+1,1))</f>
        <v>220.26537310502334</v>
      </c>
      <c r="CE94" s="59">
        <f t="shared" si="94"/>
        <v>233.26853625122016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49.319187266695913</v>
      </c>
      <c r="CL94" s="21">
        <f>EXP(-LN(2)/25)*CL93+(1-EXP(-LN(2)/25))/(LN(2)/25)*Calculateur!CG94*Calculateur!CI94*VLOOKUP('Données projet'!$B$12,Paramètres!$A$1:$I$89,3,0)*0.475*44/12</f>
        <v>18.318679651872294</v>
      </c>
      <c r="CM94" s="21">
        <f>EXP(-LN(2)/2)*CM93+(1-EXP(-LN(2)/2))/(LN(2)/2)*CG94*CJ94*VLOOKUP('Données projet'!$B$12,Paramètres!$A$1:$I$89,3,0)*0.475*44/12</f>
        <v>1.036303754226716E-4</v>
      </c>
      <c r="CN94" s="22">
        <f t="shared" si="66"/>
        <v>67.637970548943628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-1.5961632016114892E-13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263.37813242097957</v>
      </c>
      <c r="T95" s="59">
        <f t="shared" si="88"/>
        <v>314.89350816766904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53.064748948460696</v>
      </c>
      <c r="AA95" s="21">
        <f>EXP(-LN(2)/25)*AA94+(1-EXP(-LN(2)/25))/(LN(2)/25)*Calculateur!V95*Calculateur!X95*VLOOKUP('Données projet'!$B$9,Paramètres!$A$1:$I$89,3,0)*0.475*44/12</f>
        <v>18.467633305536044</v>
      </c>
      <c r="AB95" s="21">
        <f>EXP(-LN(2)/2)*AB94+(1-EXP(-LN(2)/2))/(LN(2)/2)*V95*Y95*VLOOKUP('Données projet'!$B$9,Paramètres!$A$1:$I$89,3,0)*0.475*44/12</f>
        <v>3.010577548807657E-5</v>
      </c>
      <c r="AC95" s="22">
        <f t="shared" si="57"/>
        <v>71.532412359772238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1.1368683772161603E-13</v>
      </c>
      <c r="AJ95" s="13">
        <f>AI95*VLOOKUP('Données projet'!$B$10,Paramètres!$A$1:$I$89,3,0)*VLOOKUP('Données projet'!$B$10,Paramètres!$A$1:$I$89,5,0)</f>
        <v>4.5815795601811263E-14</v>
      </c>
      <c r="AK95" s="13">
        <f t="shared" si="89"/>
        <v>7.5374618042508364E-13</v>
      </c>
      <c r="AL95" s="20">
        <f t="shared" si="58"/>
        <v>1.392570441580175E-12</v>
      </c>
      <c r="AM95" s="59">
        <f t="shared" si="59"/>
        <v>293.33333333333468</v>
      </c>
      <c r="AN95" s="59">
        <f ca="1">AVERAGE(OFFSET($AM$3,0,0,'Données projet'!$E$10+1,1))-AVERAGE(OFFSET($H$3,0,0,'Données projet'!$E$10+1,1))</f>
        <v>344.29957955721721</v>
      </c>
      <c r="AO95" s="59">
        <f t="shared" si="90"/>
        <v>297.12790038882594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176.57726572827076</v>
      </c>
      <c r="AV95" s="21">
        <f>EXP(-LN(2)/25)*AV94+(1-EXP(-LN(2)/25))/(LN(2)/25)*Calculateur!AQ95*Calculateur!AS95*VLOOKUP('Données projet'!$B$10,Paramètres!$A$1:$I$89,3,0)*0.475*44/12</f>
        <v>54.65734579650767</v>
      </c>
      <c r="AW95" s="21">
        <f>EXP(-LN(2)/2)*AW94+(1-EXP(-LN(2)/2))/(LN(2)/2)*AQ95*AT95*VLOOKUP('Données projet'!$B$10,Paramètres!$A$1:$I$89,3,0)*0.475*44/12</f>
        <v>1.3002504034156774</v>
      </c>
      <c r="AX95" s="21">
        <f t="shared" si="60"/>
        <v>232.53486192819409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2.2737367544323206E-13</v>
      </c>
      <c r="BE95" s="13">
        <f>BD95*VLOOKUP('Données projet'!$B$11,Paramètres!$A$1:$I$89,3,0)*VLOOKUP('Données projet'!$B$11,Paramètres!$A$1:$I$89,5,0)</f>
        <v>1.064108801074326E-13</v>
      </c>
      <c r="BF95" s="13">
        <f t="shared" si="91"/>
        <v>1.5870730813698654E-12</v>
      </c>
      <c r="BG95" s="20">
        <f t="shared" si="61"/>
        <v>2.9494845662396269E-12</v>
      </c>
      <c r="BH95" s="59">
        <f t="shared" si="62"/>
        <v>293.33333333333627</v>
      </c>
      <c r="BI95" s="59">
        <f ca="1">AVERAGE(OFFSET($BH$3,0,0,'Données projet'!$E$11+1,1))-AVERAGE(OFFSET($H$3,0,0,'Données projet'!$E$11+1,1))</f>
        <v>234.83702199169585</v>
      </c>
      <c r="BJ95" s="59">
        <f t="shared" si="92"/>
        <v>248.83008816685089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51.196307385314029</v>
      </c>
      <c r="BQ95" s="21">
        <f>EXP(-LN(2)/25)*BQ94+(1-EXP(-LN(2)/25))/(LN(2)/25)*Calculateur!BL95*Calculateur!BN95*VLOOKUP('Données projet'!$B$11,Paramètres!$A$1:$I$89,3,0)*0.475*44/12</f>
        <v>18.865857593069311</v>
      </c>
      <c r="BR95" s="21">
        <f>EXP(-LN(2)/2)*BR94+(1-EXP(-LN(2)/2))/(LN(2)/2)*BL95*BO95*VLOOKUP('Données projet'!$B$11,Paramètres!$A$1:$I$89,3,0)*0.475*44/12</f>
        <v>7.7588196562883432E-5</v>
      </c>
      <c r="BS95" s="22">
        <f t="shared" si="63"/>
        <v>70.062242566579897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2.2737367544323206E-13</v>
      </c>
      <c r="BZ95" s="13">
        <f>BY95*VLOOKUP('Données projet'!$B$12,Paramètres!$A$1:$I$89,3,0)*VLOOKUP('Données projet'!$B$12,Paramètres!$A$1:$I$89,5,0)</f>
        <v>1.0049916454590858E-13</v>
      </c>
      <c r="CA95" s="13">
        <f t="shared" si="93"/>
        <v>1.5089081593838289E-12</v>
      </c>
      <c r="CB95" s="20">
        <f t="shared" si="64"/>
        <v>2.8030510891776262E-12</v>
      </c>
      <c r="CC95" s="59">
        <f t="shared" si="65"/>
        <v>293.3333333333361</v>
      </c>
      <c r="CD95" s="59">
        <f ca="1">AVERAGE(OFFSET($CC$3,0,0,'Données projet'!$E$12+1,1))-AVERAGE(OFFSET($H$3,0,0,'Données projet'!$E$12+1,1))</f>
        <v>220.26537310502334</v>
      </c>
      <c r="CE95" s="59">
        <f t="shared" si="94"/>
        <v>233.26853625122016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48.352068086129911</v>
      </c>
      <c r="CL95" s="21">
        <f>EXP(-LN(2)/25)*CL94+(1-EXP(-LN(2)/25))/(LN(2)/25)*Calculateur!CG95*Calculateur!CI95*VLOOKUP('Données projet'!$B$12,Paramètres!$A$1:$I$89,3,0)*0.475*44/12</f>
        <v>17.817754393454351</v>
      </c>
      <c r="CM95" s="21">
        <f>EXP(-LN(2)/2)*CM94+(1-EXP(-LN(2)/2))/(LN(2)/2)*CG95*CJ95*VLOOKUP('Données projet'!$B$12,Paramètres!$A$1:$I$89,3,0)*0.475*44/12</f>
        <v>7.3277741198278816E-5</v>
      </c>
      <c r="CN95" s="22">
        <f t="shared" si="66"/>
        <v>66.169895757325463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-1.5961632016114892E-13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263.37813242097957</v>
      </c>
      <c r="T96" s="59">
        <f t="shared" si="88"/>
        <v>314.89350816766904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52.024181587882332</v>
      </c>
      <c r="AA96" s="21">
        <f>EXP(-LN(2)/25)*AA95+(1-EXP(-LN(2)/25))/(LN(2)/25)*Calculateur!V96*Calculateur!X96*VLOOKUP('Données projet'!$B$9,Paramètres!$A$1:$I$89,3,0)*0.475*44/12</f>
        <v>17.962634901625535</v>
      </c>
      <c r="AB96" s="21">
        <f>EXP(-LN(2)/2)*AB95+(1-EXP(-LN(2)/2))/(LN(2)/2)*V96*Y96*VLOOKUP('Données projet'!$B$9,Paramètres!$A$1:$I$89,3,0)*0.475*44/12</f>
        <v>2.1287998000498687E-5</v>
      </c>
      <c r="AC96" s="22">
        <f t="shared" si="57"/>
        <v>69.986837777505869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1.1368683772161603E-13</v>
      </c>
      <c r="AJ96" s="13">
        <f>AI96*VLOOKUP('Données projet'!$B$10,Paramètres!$A$1:$I$89,3,0)*VLOOKUP('Données projet'!$B$10,Paramètres!$A$1:$I$89,5,0)</f>
        <v>4.5815795601811263E-14</v>
      </c>
      <c r="AK96" s="13">
        <f t="shared" si="89"/>
        <v>7.5374618042508364E-13</v>
      </c>
      <c r="AL96" s="20">
        <f t="shared" si="58"/>
        <v>1.392570441580175E-12</v>
      </c>
      <c r="AM96" s="59">
        <f t="shared" si="59"/>
        <v>293.33333333333468</v>
      </c>
      <c r="AN96" s="59">
        <f ca="1">AVERAGE(OFFSET($AM$3,0,0,'Données projet'!$E$10+1,1))-AVERAGE(OFFSET($H$3,0,0,'Données projet'!$E$10+1,1))</f>
        <v>344.29957955721721</v>
      </c>
      <c r="AO96" s="59">
        <f t="shared" si="90"/>
        <v>297.12790038882594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173.11469324883683</v>
      </c>
      <c r="AV96" s="21">
        <f>EXP(-LN(2)/25)*AV95+(1-EXP(-LN(2)/25))/(LN(2)/25)*Calculateur!AQ96*Calculateur!AS96*VLOOKUP('Données projet'!$B$10,Paramètres!$A$1:$I$89,3,0)*0.475*44/12</f>
        <v>53.16273780139727</v>
      </c>
      <c r="AW96" s="21">
        <f>EXP(-LN(2)/2)*AW95+(1-EXP(-LN(2)/2))/(LN(2)/2)*AQ96*AT96*VLOOKUP('Données projet'!$B$10,Paramètres!$A$1:$I$89,3,0)*0.475*44/12</f>
        <v>0.91941587749576958</v>
      </c>
      <c r="AX96" s="21">
        <f t="shared" si="60"/>
        <v>227.19684692772987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2.2737367544323206E-13</v>
      </c>
      <c r="BE96" s="13">
        <f>BD96*VLOOKUP('Données projet'!$B$11,Paramètres!$A$1:$I$89,3,0)*VLOOKUP('Données projet'!$B$11,Paramètres!$A$1:$I$89,5,0)</f>
        <v>1.064108801074326E-13</v>
      </c>
      <c r="BF96" s="13">
        <f t="shared" si="91"/>
        <v>1.5870730813698654E-12</v>
      </c>
      <c r="BG96" s="20">
        <f t="shared" si="61"/>
        <v>2.9494845662396269E-12</v>
      </c>
      <c r="BH96" s="59">
        <f t="shared" si="62"/>
        <v>293.33333333333627</v>
      </c>
      <c r="BI96" s="59">
        <f ca="1">AVERAGE(OFFSET($BH$3,0,0,'Données projet'!$E$11+1,1))-AVERAGE(OFFSET($H$3,0,0,'Données projet'!$E$11+1,1))</f>
        <v>234.83702199169585</v>
      </c>
      <c r="BJ96" s="59">
        <f t="shared" si="92"/>
        <v>248.83008816685089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50.192379024152146</v>
      </c>
      <c r="BQ96" s="21">
        <f>EXP(-LN(2)/25)*BQ95+(1-EXP(-LN(2)/25))/(LN(2)/25)*Calculateur!BL96*Calculateur!BN96*VLOOKUP('Données projet'!$B$11,Paramètres!$A$1:$I$89,3,0)*0.475*44/12</f>
        <v>18.349969725074498</v>
      </c>
      <c r="BR96" s="21">
        <f>EXP(-LN(2)/2)*BR95+(1-EXP(-LN(2)/2))/(LN(2)/2)*BL96*BO96*VLOOKUP('Données projet'!$B$11,Paramètres!$A$1:$I$89,3,0)*0.475*44/12</f>
        <v>5.4863139929649654E-5</v>
      </c>
      <c r="BS96" s="22">
        <f t="shared" si="63"/>
        <v>68.54240361236657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2.2737367544323206E-13</v>
      </c>
      <c r="BZ96" s="13">
        <f>BY96*VLOOKUP('Données projet'!$B$12,Paramètres!$A$1:$I$89,3,0)*VLOOKUP('Données projet'!$B$12,Paramètres!$A$1:$I$89,5,0)</f>
        <v>1.0049916454590858E-13</v>
      </c>
      <c r="CA96" s="13">
        <f t="shared" si="93"/>
        <v>1.5089081593838289E-12</v>
      </c>
      <c r="CB96" s="20">
        <f t="shared" si="64"/>
        <v>2.8030510891776262E-12</v>
      </c>
      <c r="CC96" s="59">
        <f t="shared" si="65"/>
        <v>293.3333333333361</v>
      </c>
      <c r="CD96" s="59">
        <f ca="1">AVERAGE(OFFSET($CC$3,0,0,'Données projet'!$E$12+1,1))-AVERAGE(OFFSET($H$3,0,0,'Données projet'!$E$12+1,1))</f>
        <v>220.26537310502334</v>
      </c>
      <c r="CE96" s="59">
        <f t="shared" si="94"/>
        <v>233.26853625122016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47.403913522810356</v>
      </c>
      <c r="CL96" s="21">
        <f>EXP(-LN(2)/25)*CL95+(1-EXP(-LN(2)/25))/(LN(2)/25)*Calculateur!CG96*Calculateur!CI96*VLOOKUP('Données projet'!$B$12,Paramètres!$A$1:$I$89,3,0)*0.475*44/12</f>
        <v>17.33052696257036</v>
      </c>
      <c r="CM96" s="21">
        <f>EXP(-LN(2)/2)*CM95+(1-EXP(-LN(2)/2))/(LN(2)/2)*CG96*CJ96*VLOOKUP('Données projet'!$B$12,Paramètres!$A$1:$I$89,3,0)*0.475*44/12</f>
        <v>5.1815187711335798E-5</v>
      </c>
      <c r="CN96" s="22">
        <f t="shared" si="66"/>
        <v>64.734492300568434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-1.5961632016114892E-13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263.37813242097957</v>
      </c>
      <c r="T97" s="59">
        <f t="shared" si="88"/>
        <v>314.89350816766904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51.004019118561487</v>
      </c>
      <c r="AA97" s="21">
        <f>EXP(-LN(2)/25)*AA96+(1-EXP(-LN(2)/25))/(LN(2)/25)*Calculateur!V97*Calculateur!X97*VLOOKUP('Données projet'!$B$9,Paramètres!$A$1:$I$89,3,0)*0.475*44/12</f>
        <v>17.471445705626667</v>
      </c>
      <c r="AB97" s="21">
        <f>EXP(-LN(2)/2)*AB96+(1-EXP(-LN(2)/2))/(LN(2)/2)*V97*Y97*VLOOKUP('Données projet'!$B$9,Paramètres!$A$1:$I$89,3,0)*0.475*44/12</f>
        <v>1.5052887744038287E-5</v>
      </c>
      <c r="AC97" s="22">
        <f t="shared" si="57"/>
        <v>68.475479877075898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1.1368683772161603E-13</v>
      </c>
      <c r="AJ97" s="13">
        <f>AI97*VLOOKUP('Données projet'!$B$10,Paramètres!$A$1:$I$89,3,0)*VLOOKUP('Données projet'!$B$10,Paramètres!$A$1:$I$89,5,0)</f>
        <v>4.5815795601811263E-14</v>
      </c>
      <c r="AK97" s="13">
        <f t="shared" si="89"/>
        <v>7.5374618042508364E-13</v>
      </c>
      <c r="AL97" s="20">
        <f t="shared" si="58"/>
        <v>1.392570441580175E-12</v>
      </c>
      <c r="AM97" s="59">
        <f t="shared" si="59"/>
        <v>293.33333333333468</v>
      </c>
      <c r="AN97" s="59">
        <f ca="1">AVERAGE(OFFSET($AM$3,0,0,'Données projet'!$E$10+1,1))-AVERAGE(OFFSET($H$3,0,0,'Données projet'!$E$10+1,1))</f>
        <v>344.29957955721721</v>
      </c>
      <c r="AO97" s="59">
        <f t="shared" si="90"/>
        <v>297.12790038882594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169.72001970376391</v>
      </c>
      <c r="AV97" s="21">
        <f>EXP(-LN(2)/25)*AV96+(1-EXP(-LN(2)/25))/(LN(2)/25)*Calculateur!AQ97*Calculateur!AS97*VLOOKUP('Données projet'!$B$10,Paramètres!$A$1:$I$89,3,0)*0.475*44/12</f>
        <v>51.708999940511184</v>
      </c>
      <c r="AW97" s="21">
        <f>EXP(-LN(2)/2)*AW96+(1-EXP(-LN(2)/2))/(LN(2)/2)*AQ97*AT97*VLOOKUP('Données projet'!$B$10,Paramètres!$A$1:$I$89,3,0)*0.475*44/12</f>
        <v>0.65012520170783872</v>
      </c>
      <c r="AX97" s="21">
        <f t="shared" si="60"/>
        <v>222.07914484598294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2.2737367544323206E-13</v>
      </c>
      <c r="BE97" s="13">
        <f>BD97*VLOOKUP('Données projet'!$B$11,Paramètres!$A$1:$I$89,3,0)*VLOOKUP('Données projet'!$B$11,Paramètres!$A$1:$I$89,5,0)</f>
        <v>1.064108801074326E-13</v>
      </c>
      <c r="BF97" s="13">
        <f t="shared" si="91"/>
        <v>1.5870730813698654E-12</v>
      </c>
      <c r="BG97" s="20">
        <f t="shared" si="61"/>
        <v>2.9494845662396269E-12</v>
      </c>
      <c r="BH97" s="59">
        <f t="shared" si="62"/>
        <v>293.33333333333627</v>
      </c>
      <c r="BI97" s="59">
        <f ca="1">AVERAGE(OFFSET($BH$3,0,0,'Données projet'!$E$11+1,1))-AVERAGE(OFFSET($H$3,0,0,'Données projet'!$E$11+1,1))</f>
        <v>234.83702199169585</v>
      </c>
      <c r="BJ97" s="59">
        <f t="shared" si="92"/>
        <v>248.83008816685089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49.208137085816816</v>
      </c>
      <c r="BQ97" s="21">
        <f>EXP(-LN(2)/25)*BQ96+(1-EXP(-LN(2)/25))/(LN(2)/25)*Calculateur!BL97*Calculateur!BN97*VLOOKUP('Données projet'!$B$11,Paramètres!$A$1:$I$89,3,0)*0.475*44/12</f>
        <v>17.848188837959366</v>
      </c>
      <c r="BR97" s="21">
        <f>EXP(-LN(2)/2)*BR96+(1-EXP(-LN(2)/2))/(LN(2)/2)*BL97*BO97*VLOOKUP('Données projet'!$B$11,Paramètres!$A$1:$I$89,3,0)*0.475*44/12</f>
        <v>3.8794098281441716E-5</v>
      </c>
      <c r="BS97" s="22">
        <f t="shared" si="63"/>
        <v>67.056364717874473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2.2737367544323206E-13</v>
      </c>
      <c r="BZ97" s="13">
        <f>BY97*VLOOKUP('Données projet'!$B$12,Paramètres!$A$1:$I$89,3,0)*VLOOKUP('Données projet'!$B$12,Paramètres!$A$1:$I$89,5,0)</f>
        <v>1.0049916454590858E-13</v>
      </c>
      <c r="CA97" s="13">
        <f t="shared" si="93"/>
        <v>1.5089081593838289E-12</v>
      </c>
      <c r="CB97" s="20">
        <f t="shared" si="64"/>
        <v>2.8030510891776262E-12</v>
      </c>
      <c r="CC97" s="59">
        <f t="shared" si="65"/>
        <v>293.3333333333361</v>
      </c>
      <c r="CD97" s="59">
        <f ca="1">AVERAGE(OFFSET($CC$3,0,0,'Données projet'!$E$12+1,1))-AVERAGE(OFFSET($H$3,0,0,'Données projet'!$E$12+1,1))</f>
        <v>220.26537310502334</v>
      </c>
      <c r="CE97" s="59">
        <f t="shared" si="94"/>
        <v>233.26853625122016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46.474351692160319</v>
      </c>
      <c r="CL97" s="21">
        <f>EXP(-LN(2)/25)*CL96+(1-EXP(-LN(2)/25))/(LN(2)/25)*Calculateur!CG97*Calculateur!CI97*VLOOKUP('Données projet'!$B$12,Paramètres!$A$1:$I$89,3,0)*0.475*44/12</f>
        <v>16.856622791406071</v>
      </c>
      <c r="CM97" s="21">
        <f>EXP(-LN(2)/2)*CM96+(1-EXP(-LN(2)/2))/(LN(2)/2)*CG97*CJ97*VLOOKUP('Données projet'!$B$12,Paramètres!$A$1:$I$89,3,0)*0.475*44/12</f>
        <v>3.6638870599139408E-5</v>
      </c>
      <c r="CN97" s="22">
        <f t="shared" si="66"/>
        <v>63.33101112243699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-1.5961632016114892E-13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263.37813242097957</v>
      </c>
      <c r="T98" s="59">
        <f t="shared" si="88"/>
        <v>314.89350816766904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50.003861413026364</v>
      </c>
      <c r="AA98" s="21">
        <f>EXP(-LN(2)/25)*AA97+(1-EXP(-LN(2)/25))/(LN(2)/25)*Calculateur!V98*Calculateur!X98*VLOOKUP('Données projet'!$B$9,Paramètres!$A$1:$I$89,3,0)*0.475*44/12</f>
        <v>16.993688104022908</v>
      </c>
      <c r="AB98" s="21">
        <f>EXP(-LN(2)/2)*AB97+(1-EXP(-LN(2)/2))/(LN(2)/2)*V98*Y98*VLOOKUP('Données projet'!$B$9,Paramètres!$A$1:$I$89,3,0)*0.475*44/12</f>
        <v>1.0643999000249345E-5</v>
      </c>
      <c r="AC98" s="22">
        <f t="shared" si="57"/>
        <v>66.99756016104827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1.1368683772161603E-13</v>
      </c>
      <c r="AJ98" s="13">
        <f>AI98*VLOOKUP('Données projet'!$B$10,Paramètres!$A$1:$I$89,3,0)*VLOOKUP('Données projet'!$B$10,Paramètres!$A$1:$I$89,5,0)</f>
        <v>4.5815795601811263E-14</v>
      </c>
      <c r="AK98" s="13">
        <f t="shared" si="89"/>
        <v>7.5374618042508364E-13</v>
      </c>
      <c r="AL98" s="20">
        <f t="shared" si="58"/>
        <v>1.392570441580175E-12</v>
      </c>
      <c r="AM98" s="59">
        <f t="shared" si="59"/>
        <v>293.33333333333468</v>
      </c>
      <c r="AN98" s="59">
        <f ca="1">AVERAGE(OFFSET($AM$3,0,0,'Données projet'!$E$10+1,1))-AVERAGE(OFFSET($H$3,0,0,'Données projet'!$E$10+1,1))</f>
        <v>344.29957955721721</v>
      </c>
      <c r="AO98" s="59">
        <f t="shared" si="90"/>
        <v>297.12790038882594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166.39191363636345</v>
      </c>
      <c r="AV98" s="21">
        <f>EXP(-LN(2)/25)*AV97+(1-EXP(-LN(2)/25))/(LN(2)/25)*Calculateur!AQ98*Calculateur!AS98*VLOOKUP('Données projet'!$B$10,Paramètres!$A$1:$I$89,3,0)*0.475*44/12</f>
        <v>50.295014617879779</v>
      </c>
      <c r="AW98" s="21">
        <f>EXP(-LN(2)/2)*AW97+(1-EXP(-LN(2)/2))/(LN(2)/2)*AQ98*AT98*VLOOKUP('Données projet'!$B$10,Paramètres!$A$1:$I$89,3,0)*0.475*44/12</f>
        <v>0.45970793874788479</v>
      </c>
      <c r="AX98" s="21">
        <f t="shared" si="60"/>
        <v>217.14663619299114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2.2737367544323206E-13</v>
      </c>
      <c r="BE98" s="13">
        <f>BD98*VLOOKUP('Données projet'!$B$11,Paramètres!$A$1:$I$89,3,0)*VLOOKUP('Données projet'!$B$11,Paramètres!$A$1:$I$89,5,0)</f>
        <v>1.064108801074326E-13</v>
      </c>
      <c r="BF98" s="13">
        <f t="shared" si="91"/>
        <v>1.5870730813698654E-12</v>
      </c>
      <c r="BG98" s="20">
        <f t="shared" si="61"/>
        <v>2.9494845662396269E-12</v>
      </c>
      <c r="BH98" s="59">
        <f t="shared" si="62"/>
        <v>293.33333333333627</v>
      </c>
      <c r="BI98" s="59">
        <f ca="1">AVERAGE(OFFSET($BH$3,0,0,'Données projet'!$E$11+1,1))-AVERAGE(OFFSET($H$3,0,0,'Données projet'!$E$11+1,1))</f>
        <v>234.83702199169585</v>
      </c>
      <c r="BJ98" s="59">
        <f t="shared" si="92"/>
        <v>248.83008816685089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48.243195531563934</v>
      </c>
      <c r="BQ98" s="21">
        <f>EXP(-LN(2)/25)*BQ97+(1-EXP(-LN(2)/25))/(LN(2)/25)*Calculateur!BL98*Calculateur!BN98*VLOOKUP('Données projet'!$B$11,Paramètres!$A$1:$I$89,3,0)*0.475*44/12</f>
        <v>17.360129175589908</v>
      </c>
      <c r="BR98" s="21">
        <f>EXP(-LN(2)/2)*BR97+(1-EXP(-LN(2)/2))/(LN(2)/2)*BL98*BO98*VLOOKUP('Données projet'!$B$11,Paramètres!$A$1:$I$89,3,0)*0.475*44/12</f>
        <v>2.7431569964824827E-5</v>
      </c>
      <c r="BS98" s="22">
        <f t="shared" si="63"/>
        <v>65.603352138723807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2.2737367544323206E-13</v>
      </c>
      <c r="BZ98" s="13">
        <f>BY98*VLOOKUP('Données projet'!$B$12,Paramètres!$A$1:$I$89,3,0)*VLOOKUP('Données projet'!$B$12,Paramètres!$A$1:$I$89,5,0)</f>
        <v>1.0049916454590858E-13</v>
      </c>
      <c r="CA98" s="13">
        <f t="shared" si="93"/>
        <v>1.5089081593838289E-12</v>
      </c>
      <c r="CB98" s="20">
        <f t="shared" si="64"/>
        <v>2.8030510891776262E-12</v>
      </c>
      <c r="CC98" s="59">
        <f t="shared" si="65"/>
        <v>293.3333333333361</v>
      </c>
      <c r="CD98" s="59">
        <f ca="1">AVERAGE(OFFSET($CC$3,0,0,'Données projet'!$E$12+1,1))-AVERAGE(OFFSET($H$3,0,0,'Données projet'!$E$12+1,1))</f>
        <v>220.26537310502334</v>
      </c>
      <c r="CE98" s="59">
        <f t="shared" si="94"/>
        <v>233.26853625122016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45.563018002032599</v>
      </c>
      <c r="CL98" s="21">
        <f>EXP(-LN(2)/25)*CL97+(1-EXP(-LN(2)/25))/(LN(2)/25)*Calculateur!CG98*Calculateur!CI98*VLOOKUP('Données projet'!$B$12,Paramètres!$A$1:$I$89,3,0)*0.475*44/12</f>
        <v>16.395677554723807</v>
      </c>
      <c r="CM98" s="21">
        <f>EXP(-LN(2)/2)*CM97+(1-EXP(-LN(2)/2))/(LN(2)/2)*CG98*CJ98*VLOOKUP('Données projet'!$B$12,Paramètres!$A$1:$I$89,3,0)*0.475*44/12</f>
        <v>2.5907593855667899E-5</v>
      </c>
      <c r="CN98" s="22">
        <f t="shared" si="66"/>
        <v>61.958721464350269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-1.5961632016114892E-13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263.37813242097957</v>
      </c>
      <c r="T99" s="59">
        <f t="shared" si="88"/>
        <v>314.89350816766904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49.023316190060818</v>
      </c>
      <c r="AA99" s="21">
        <f>EXP(-LN(2)/25)*AA98+(1-EXP(-LN(2)/25))/(LN(2)/25)*Calculateur!V99*Calculateur!X99*VLOOKUP('Données projet'!$B$9,Paramètres!$A$1:$I$89,3,0)*0.475*44/12</f>
        <v>16.528994809159183</v>
      </c>
      <c r="AB99" s="21">
        <f>EXP(-LN(2)/2)*AB98+(1-EXP(-LN(2)/2))/(LN(2)/2)*V99*Y99*VLOOKUP('Données projet'!$B$9,Paramètres!$A$1:$I$89,3,0)*0.475*44/12</f>
        <v>7.526443872019145E-6</v>
      </c>
      <c r="AC99" s="22">
        <f t="shared" si="57"/>
        <v>65.552318525663864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1.1368683772161603E-13</v>
      </c>
      <c r="AJ99" s="13">
        <f>AI99*VLOOKUP('Données projet'!$B$10,Paramètres!$A$1:$I$89,3,0)*VLOOKUP('Données projet'!$B$10,Paramètres!$A$1:$I$89,5,0)</f>
        <v>4.5815795601811263E-14</v>
      </c>
      <c r="AK99" s="13">
        <f t="shared" si="89"/>
        <v>7.5374618042508364E-13</v>
      </c>
      <c r="AL99" s="20">
        <f t="shared" si="58"/>
        <v>1.392570441580175E-12</v>
      </c>
      <c r="AM99" s="59">
        <f t="shared" si="59"/>
        <v>293.33333333333468</v>
      </c>
      <c r="AN99" s="59">
        <f ca="1">AVERAGE(OFFSET($AM$3,0,0,'Données projet'!$E$10+1,1))-AVERAGE(OFFSET($H$3,0,0,'Données projet'!$E$10+1,1))</f>
        <v>344.29957955721721</v>
      </c>
      <c r="AO99" s="59">
        <f t="shared" si="90"/>
        <v>297.12790038882594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163.12906969900047</v>
      </c>
      <c r="AV99" s="21">
        <f>EXP(-LN(2)/25)*AV98+(1-EXP(-LN(2)/25))/(LN(2)/25)*Calculateur!AQ99*Calculateur!AS99*VLOOKUP('Données projet'!$B$10,Paramètres!$A$1:$I$89,3,0)*0.475*44/12</f>
        <v>48.919694798253992</v>
      </c>
      <c r="AW99" s="21">
        <f>EXP(-LN(2)/2)*AW98+(1-EXP(-LN(2)/2))/(LN(2)/2)*AQ99*AT99*VLOOKUP('Données projet'!$B$10,Paramètres!$A$1:$I$89,3,0)*0.475*44/12</f>
        <v>0.32506260085391936</v>
      </c>
      <c r="AX99" s="21">
        <f t="shared" si="60"/>
        <v>212.37382709810839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2.2737367544323206E-13</v>
      </c>
      <c r="BE99" s="13">
        <f>BD99*VLOOKUP('Données projet'!$B$11,Paramètres!$A$1:$I$89,3,0)*VLOOKUP('Données projet'!$B$11,Paramètres!$A$1:$I$89,5,0)</f>
        <v>1.064108801074326E-13</v>
      </c>
      <c r="BF99" s="13">
        <f t="shared" si="91"/>
        <v>1.5870730813698654E-12</v>
      </c>
      <c r="BG99" s="20">
        <f t="shared" si="61"/>
        <v>2.9494845662396269E-12</v>
      </c>
      <c r="BH99" s="59">
        <f t="shared" si="62"/>
        <v>293.33333333333627</v>
      </c>
      <c r="BI99" s="59">
        <f ca="1">AVERAGE(OFFSET($BH$3,0,0,'Données projet'!$E$11+1,1))-AVERAGE(OFFSET($H$3,0,0,'Données projet'!$E$11+1,1))</f>
        <v>234.83702199169585</v>
      </c>
      <c r="BJ99" s="59">
        <f t="shared" si="92"/>
        <v>248.83008816685089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47.297175892633717</v>
      </c>
      <c r="BQ99" s="21">
        <f>EXP(-LN(2)/25)*BQ98+(1-EXP(-LN(2)/25))/(LN(2)/25)*Calculateur!BL99*Calculateur!BN99*VLOOKUP('Données projet'!$B$11,Paramètres!$A$1:$I$89,3,0)*0.475*44/12</f>
        <v>16.885415530353885</v>
      </c>
      <c r="BR99" s="21">
        <f>EXP(-LN(2)/2)*BR98+(1-EXP(-LN(2)/2))/(LN(2)/2)*BL99*BO99*VLOOKUP('Données projet'!$B$11,Paramètres!$A$1:$I$89,3,0)*0.475*44/12</f>
        <v>1.9397049140720858E-5</v>
      </c>
      <c r="BS99" s="22">
        <f t="shared" si="63"/>
        <v>64.182610820036743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2.2737367544323206E-13</v>
      </c>
      <c r="BZ99" s="13">
        <f>BY99*VLOOKUP('Données projet'!$B$12,Paramètres!$A$1:$I$89,3,0)*VLOOKUP('Données projet'!$B$12,Paramètres!$A$1:$I$89,5,0)</f>
        <v>1.0049916454590858E-13</v>
      </c>
      <c r="CA99" s="13">
        <f t="shared" si="93"/>
        <v>1.5089081593838289E-12</v>
      </c>
      <c r="CB99" s="20">
        <f t="shared" si="64"/>
        <v>2.8030510891776262E-12</v>
      </c>
      <c r="CC99" s="59">
        <f t="shared" si="65"/>
        <v>293.3333333333361</v>
      </c>
      <c r="CD99" s="59">
        <f ca="1">AVERAGE(OFFSET($CC$3,0,0,'Données projet'!$E$12+1,1))-AVERAGE(OFFSET($H$3,0,0,'Données projet'!$E$12+1,1))</f>
        <v>220.26537310502334</v>
      </c>
      <c r="CE99" s="59">
        <f t="shared" si="94"/>
        <v>233.26853625122016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44.669555009709619</v>
      </c>
      <c r="CL99" s="21">
        <f>EXP(-LN(2)/25)*CL98+(1-EXP(-LN(2)/25))/(LN(2)/25)*Calculateur!CG99*Calculateur!CI99*VLOOKUP('Données projet'!$B$12,Paramètres!$A$1:$I$89,3,0)*0.475*44/12</f>
        <v>15.947336889778676</v>
      </c>
      <c r="CM99" s="21">
        <f>EXP(-LN(2)/2)*CM98+(1-EXP(-LN(2)/2))/(LN(2)/2)*CG99*CJ99*VLOOKUP('Données projet'!$B$12,Paramètres!$A$1:$I$89,3,0)*0.475*44/12</f>
        <v>1.8319435299569704E-5</v>
      </c>
      <c r="CN99" s="22">
        <f t="shared" si="66"/>
        <v>60.616910218923593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-1.5961632016114892E-13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263.37813242097957</v>
      </c>
      <c r="T100" s="59">
        <f t="shared" si="88"/>
        <v>314.89350816766904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48.061998860844099</v>
      </c>
      <c r="AA100" s="21">
        <f>EXP(-LN(2)/25)*AA99+(1-EXP(-LN(2)/25))/(LN(2)/25)*Calculateur!V100*Calculateur!X100*VLOOKUP('Données projet'!$B$9,Paramètres!$A$1:$I$89,3,0)*0.475*44/12</f>
        <v>16.077008576880665</v>
      </c>
      <c r="AB100" s="21">
        <f>EXP(-LN(2)/2)*AB99+(1-EXP(-LN(2)/2))/(LN(2)/2)*V100*Y100*VLOOKUP('Données projet'!$B$9,Paramètres!$A$1:$I$89,3,0)*0.475*44/12</f>
        <v>5.3219995001246734E-6</v>
      </c>
      <c r="AC100" s="22">
        <f t="shared" si="57"/>
        <v>64.139012759724253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1.1368683772161603E-13</v>
      </c>
      <c r="AJ100" s="13">
        <f>AI100*VLOOKUP('Données projet'!$B$10,Paramètres!$A$1:$I$89,3,0)*VLOOKUP('Données projet'!$B$10,Paramètres!$A$1:$I$89,5,0)</f>
        <v>4.5815795601811263E-14</v>
      </c>
      <c r="AK100" s="13">
        <f t="shared" si="89"/>
        <v>7.5374618042508364E-13</v>
      </c>
      <c r="AL100" s="20">
        <f t="shared" si="58"/>
        <v>1.392570441580175E-12</v>
      </c>
      <c r="AM100" s="59">
        <f t="shared" si="59"/>
        <v>293.33333333333468</v>
      </c>
      <c r="AN100" s="59">
        <f ca="1">AVERAGE(OFFSET($AM$3,0,0,'Données projet'!$E$10+1,1))-AVERAGE(OFFSET($H$3,0,0,'Données projet'!$E$10+1,1))</f>
        <v>344.29957955721721</v>
      </c>
      <c r="AO100" s="59">
        <f t="shared" si="90"/>
        <v>297.12790038882594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159.93020814111088</v>
      </c>
      <c r="AV100" s="21">
        <f>EXP(-LN(2)/25)*AV99+(1-EXP(-LN(2)/25))/(LN(2)/25)*Calculateur!AQ100*Calculateur!AS100*VLOOKUP('Données projet'!$B$10,Paramètres!$A$1:$I$89,3,0)*0.475*44/12</f>
        <v>47.581983171420795</v>
      </c>
      <c r="AW100" s="21">
        <f>EXP(-LN(2)/2)*AW99+(1-EXP(-LN(2)/2))/(LN(2)/2)*AQ100*AT100*VLOOKUP('Données projet'!$B$10,Paramètres!$A$1:$I$89,3,0)*0.475*44/12</f>
        <v>0.2298539693739424</v>
      </c>
      <c r="AX100" s="21">
        <f t="shared" si="60"/>
        <v>207.74204528190563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2.2737367544323206E-13</v>
      </c>
      <c r="BE100" s="13">
        <f>BD100*VLOOKUP('Données projet'!$B$11,Paramètres!$A$1:$I$89,3,0)*VLOOKUP('Données projet'!$B$11,Paramètres!$A$1:$I$89,5,0)</f>
        <v>1.064108801074326E-13</v>
      </c>
      <c r="BF100" s="13">
        <f t="shared" si="91"/>
        <v>1.5870730813698654E-12</v>
      </c>
      <c r="BG100" s="20">
        <f t="shared" si="61"/>
        <v>2.9494845662396269E-12</v>
      </c>
      <c r="BH100" s="59">
        <f t="shared" si="62"/>
        <v>293.33333333333627</v>
      </c>
      <c r="BI100" s="59">
        <f ca="1">AVERAGE(OFFSET($BH$3,0,0,'Données projet'!$E$11+1,1))-AVERAGE(OFFSET($H$3,0,0,'Données projet'!$E$11+1,1))</f>
        <v>234.83702199169585</v>
      </c>
      <c r="BJ100" s="59">
        <f t="shared" si="92"/>
        <v>248.83008816685089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46.36970712180792</v>
      </c>
      <c r="BQ100" s="21">
        <f>EXP(-LN(2)/25)*BQ99+(1-EXP(-LN(2)/25))/(LN(2)/25)*Calculateur!BL100*Calculateur!BN100*VLOOKUP('Données projet'!$B$11,Paramètres!$A$1:$I$89,3,0)*0.475*44/12</f>
        <v>16.423682954710948</v>
      </c>
      <c r="BR100" s="21">
        <f>EXP(-LN(2)/2)*BR99+(1-EXP(-LN(2)/2))/(LN(2)/2)*BL100*BO100*VLOOKUP('Données projet'!$B$11,Paramètres!$A$1:$I$89,3,0)*0.475*44/12</f>
        <v>1.3715784982412414E-5</v>
      </c>
      <c r="BS100" s="22">
        <f t="shared" si="63"/>
        <v>62.793403792303849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2.2737367544323206E-13</v>
      </c>
      <c r="BZ100" s="13">
        <f>BY100*VLOOKUP('Données projet'!$B$12,Paramètres!$A$1:$I$89,3,0)*VLOOKUP('Données projet'!$B$12,Paramètres!$A$1:$I$89,5,0)</f>
        <v>1.0049916454590858E-13</v>
      </c>
      <c r="CA100" s="13">
        <f t="shared" si="93"/>
        <v>1.5089081593838289E-12</v>
      </c>
      <c r="CB100" s="20">
        <f t="shared" si="64"/>
        <v>2.8030510891776262E-12</v>
      </c>
      <c r="CC100" s="59">
        <f t="shared" si="65"/>
        <v>293.3333333333361</v>
      </c>
      <c r="CD100" s="59">
        <f ca="1">AVERAGE(OFFSET($CC$3,0,0,'Données projet'!$E$12+1,1))-AVERAGE(OFFSET($H$3,0,0,'Données projet'!$E$12+1,1))</f>
        <v>220.26537310502334</v>
      </c>
      <c r="CE100" s="59">
        <f t="shared" si="94"/>
        <v>233.26853625122016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43.793612281707475</v>
      </c>
      <c r="CL100" s="21">
        <f>EXP(-LN(2)/25)*CL99+(1-EXP(-LN(2)/25))/(LN(2)/25)*Calculateur!CG100*Calculateur!CI100*VLOOKUP('Données projet'!$B$12,Paramètres!$A$1:$I$89,3,0)*0.475*44/12</f>
        <v>15.511256123893679</v>
      </c>
      <c r="CM100" s="21">
        <f>EXP(-LN(2)/2)*CM99+(1-EXP(-LN(2)/2))/(LN(2)/2)*CG100*CJ100*VLOOKUP('Données projet'!$B$12,Paramètres!$A$1:$I$89,3,0)*0.475*44/12</f>
        <v>1.295379692783395E-5</v>
      </c>
      <c r="CN100" s="22">
        <f t="shared" si="66"/>
        <v>59.304881359398081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-1.5961632016114892E-13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263.37813242097957</v>
      </c>
      <c r="T101" s="59">
        <f t="shared" si="88"/>
        <v>314.89350816766904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47.119532378107643</v>
      </c>
      <c r="AA101" s="21">
        <f>EXP(-LN(2)/25)*AA100+(1-EXP(-LN(2)/25))/(LN(2)/25)*Calculateur!V101*Calculateur!X101*VLOOKUP('Données projet'!$B$9,Paramètres!$A$1:$I$89,3,0)*0.475*44/12</f>
        <v>15.637381931892726</v>
      </c>
      <c r="AB101" s="21">
        <f>EXP(-LN(2)/2)*AB100+(1-EXP(-LN(2)/2))/(LN(2)/2)*V101*Y101*VLOOKUP('Données projet'!$B$9,Paramètres!$A$1:$I$89,3,0)*0.475*44/12</f>
        <v>3.7632219360095729E-6</v>
      </c>
      <c r="AC101" s="22">
        <f t="shared" si="57"/>
        <v>62.756918073222302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1.1368683772161603E-13</v>
      </c>
      <c r="AJ101" s="13">
        <f>AI101*VLOOKUP('Données projet'!$B$10,Paramètres!$A$1:$I$89,3,0)*VLOOKUP('Données projet'!$B$10,Paramètres!$A$1:$I$89,5,0)</f>
        <v>4.5815795601811263E-14</v>
      </c>
      <c r="AK101" s="13">
        <f t="shared" si="89"/>
        <v>7.5374618042508364E-13</v>
      </c>
      <c r="AL101" s="20">
        <f t="shared" si="58"/>
        <v>1.392570441580175E-12</v>
      </c>
      <c r="AM101" s="59">
        <f t="shared" si="59"/>
        <v>293.33333333333468</v>
      </c>
      <c r="AN101" s="59">
        <f ca="1">AVERAGE(OFFSET($AM$3,0,0,'Données projet'!$E$10+1,1))-AVERAGE(OFFSET($H$3,0,0,'Données projet'!$E$10+1,1))</f>
        <v>344.29957955721721</v>
      </c>
      <c r="AO101" s="59">
        <f t="shared" si="90"/>
        <v>297.12790038882594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156.79407430725863</v>
      </c>
      <c r="AV101" s="21">
        <f>EXP(-LN(2)/25)*AV100+(1-EXP(-LN(2)/25))/(LN(2)/25)*Calculateur!AQ101*Calculateur!AS101*VLOOKUP('Données projet'!$B$10,Paramètres!$A$1:$I$89,3,0)*0.475*44/12</f>
        <v>46.28085133937055</v>
      </c>
      <c r="AW101" s="21">
        <f>EXP(-LN(2)/2)*AW100+(1-EXP(-LN(2)/2))/(LN(2)/2)*AQ101*AT101*VLOOKUP('Données projet'!$B$10,Paramètres!$A$1:$I$89,3,0)*0.475*44/12</f>
        <v>0.16253130042695968</v>
      </c>
      <c r="AX101" s="21">
        <f t="shared" si="60"/>
        <v>203.23745694705613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2.2737367544323206E-13</v>
      </c>
      <c r="BE101" s="13">
        <f>BD101*VLOOKUP('Données projet'!$B$11,Paramètres!$A$1:$I$89,3,0)*VLOOKUP('Données projet'!$B$11,Paramètres!$A$1:$I$89,5,0)</f>
        <v>1.064108801074326E-13</v>
      </c>
      <c r="BF101" s="13">
        <f t="shared" si="91"/>
        <v>1.5870730813698654E-12</v>
      </c>
      <c r="BG101" s="20">
        <f t="shared" si="61"/>
        <v>2.9494845662396269E-12</v>
      </c>
      <c r="BH101" s="59">
        <f t="shared" si="62"/>
        <v>293.33333333333627</v>
      </c>
      <c r="BI101" s="59">
        <f ca="1">AVERAGE(OFFSET($BH$3,0,0,'Données projet'!$E$11+1,1))-AVERAGE(OFFSET($H$3,0,0,'Données projet'!$E$11+1,1))</f>
        <v>234.83702199169585</v>
      </c>
      <c r="BJ101" s="59">
        <f t="shared" si="92"/>
        <v>248.83008816685089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45.460425447877924</v>
      </c>
      <c r="BQ101" s="21">
        <f>EXP(-LN(2)/25)*BQ100+(1-EXP(-LN(2)/25))/(LN(2)/25)*Calculateur!BL101*Calculateur!BN101*VLOOKUP('Données projet'!$B$11,Paramètres!$A$1:$I$89,3,0)*0.475*44/12</f>
        <v>15.974576480630427</v>
      </c>
      <c r="BR101" s="21">
        <f>EXP(-LN(2)/2)*BR100+(1-EXP(-LN(2)/2))/(LN(2)/2)*BL101*BO101*VLOOKUP('Données projet'!$B$11,Paramètres!$A$1:$I$89,3,0)*0.475*44/12</f>
        <v>9.698524570360429E-6</v>
      </c>
      <c r="BS101" s="22">
        <f t="shared" si="63"/>
        <v>61.435011627032921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2.2737367544323206E-13</v>
      </c>
      <c r="BZ101" s="13">
        <f>BY101*VLOOKUP('Données projet'!$B$12,Paramètres!$A$1:$I$89,3,0)*VLOOKUP('Données projet'!$B$12,Paramètres!$A$1:$I$89,5,0)</f>
        <v>1.0049916454590858E-13</v>
      </c>
      <c r="CA101" s="13">
        <f t="shared" si="93"/>
        <v>1.5089081593838289E-12</v>
      </c>
      <c r="CB101" s="20">
        <f t="shared" si="64"/>
        <v>2.8030510891776262E-12</v>
      </c>
      <c r="CC101" s="59">
        <f t="shared" si="65"/>
        <v>293.3333333333361</v>
      </c>
      <c r="CD101" s="59">
        <f ca="1">AVERAGE(OFFSET($CC$3,0,0,'Données projet'!$E$12+1,1))-AVERAGE(OFFSET($H$3,0,0,'Données projet'!$E$12+1,1))</f>
        <v>220.26537310502334</v>
      </c>
      <c r="CE101" s="59">
        <f t="shared" si="94"/>
        <v>233.26853625122016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42.934846256329145</v>
      </c>
      <c r="CL101" s="21">
        <f>EXP(-LN(2)/25)*CL100+(1-EXP(-LN(2)/25))/(LN(2)/25)*Calculateur!CG101*Calculateur!CI101*VLOOKUP('Données projet'!$B$12,Paramètres!$A$1:$I$89,3,0)*0.475*44/12</f>
        <v>15.087100009484297</v>
      </c>
      <c r="CM101" s="21">
        <f>EXP(-LN(2)/2)*CM100+(1-EXP(-LN(2)/2))/(LN(2)/2)*CG101*CJ101*VLOOKUP('Données projet'!$B$12,Paramètres!$A$1:$I$89,3,0)*0.475*44/12</f>
        <v>9.159717649784852E-6</v>
      </c>
      <c r="CN101" s="22">
        <f t="shared" si="66"/>
        <v>58.02195542553109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-1.5961632016114892E-13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263.37813242097957</v>
      </c>
      <c r="T102" s="59">
        <f t="shared" si="88"/>
        <v>314.89350816766904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46.195547088249853</v>
      </c>
      <c r="AA102" s="21">
        <f>EXP(-LN(2)/25)*AA101+(1-EXP(-LN(2)/25))/(LN(2)/25)*Calculateur!V102*Calculateur!X102*VLOOKUP('Données projet'!$B$9,Paramètres!$A$1:$I$89,3,0)*0.475*44/12</f>
        <v>15.209776900630944</v>
      </c>
      <c r="AB102" s="21">
        <f>EXP(-LN(2)/2)*AB101+(1-EXP(-LN(2)/2))/(LN(2)/2)*V102*Y102*VLOOKUP('Données projet'!$B$9,Paramètres!$A$1:$I$89,3,0)*0.475*44/12</f>
        <v>2.6609997500623371E-6</v>
      </c>
      <c r="AC102" s="22">
        <f t="shared" si="57"/>
        <v>61.405326649880543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1.1368683772161603E-13</v>
      </c>
      <c r="AJ102" s="13">
        <f>AI102*VLOOKUP('Données projet'!$B$10,Paramètres!$A$1:$I$89,3,0)*VLOOKUP('Données projet'!$B$10,Paramètres!$A$1:$I$89,5,0)</f>
        <v>4.5815795601811263E-14</v>
      </c>
      <c r="AK102" s="13">
        <f t="shared" si="89"/>
        <v>7.5374618042508364E-13</v>
      </c>
      <c r="AL102" s="20">
        <f t="shared" si="58"/>
        <v>1.392570441580175E-12</v>
      </c>
      <c r="AM102" s="59">
        <f t="shared" si="59"/>
        <v>293.33333333333468</v>
      </c>
      <c r="AN102" s="59">
        <f ca="1">AVERAGE(OFFSET($AM$3,0,0,'Données projet'!$E$10+1,1))-AVERAGE(OFFSET($H$3,0,0,'Données projet'!$E$10+1,1))</f>
        <v>344.29957955721721</v>
      </c>
      <c r="AO102" s="59">
        <f t="shared" si="90"/>
        <v>297.12790038882594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153.71943814503544</v>
      </c>
      <c r="AV102" s="21">
        <f>EXP(-LN(2)/25)*AV101+(1-EXP(-LN(2)/25))/(LN(2)/25)*Calculateur!AQ102*Calculateur!AS102*VLOOKUP('Données projet'!$B$10,Paramètres!$A$1:$I$89,3,0)*0.475*44/12</f>
        <v>45.015299025691263</v>
      </c>
      <c r="AW102" s="21">
        <f>EXP(-LN(2)/2)*AW101+(1-EXP(-LN(2)/2))/(LN(2)/2)*AQ102*AT102*VLOOKUP('Données projet'!$B$10,Paramètres!$A$1:$I$89,3,0)*0.475*44/12</f>
        <v>0.1149269846869712</v>
      </c>
      <c r="AX102" s="21">
        <f t="shared" si="60"/>
        <v>198.84966415541368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2.2737367544323206E-13</v>
      </c>
      <c r="BE102" s="13">
        <f>BD102*VLOOKUP('Données projet'!$B$11,Paramètres!$A$1:$I$89,3,0)*VLOOKUP('Données projet'!$B$11,Paramètres!$A$1:$I$89,5,0)</f>
        <v>1.064108801074326E-13</v>
      </c>
      <c r="BF102" s="13">
        <f t="shared" si="91"/>
        <v>1.5870730813698654E-12</v>
      </c>
      <c r="BG102" s="20">
        <f t="shared" si="61"/>
        <v>2.9494845662396269E-12</v>
      </c>
      <c r="BH102" s="59">
        <f t="shared" si="62"/>
        <v>293.33333333333627</v>
      </c>
      <c r="BI102" s="59">
        <f ca="1">AVERAGE(OFFSET($BH$3,0,0,'Données projet'!$E$11+1,1))-AVERAGE(OFFSET($H$3,0,0,'Données projet'!$E$11+1,1))</f>
        <v>234.83702199169585</v>
      </c>
      <c r="BJ102" s="59">
        <f t="shared" si="92"/>
        <v>248.83008816685089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44.568974232966639</v>
      </c>
      <c r="BQ102" s="21">
        <f>EXP(-LN(2)/25)*BQ101+(1-EXP(-LN(2)/25))/(LN(2)/25)*Calculateur!BL102*Calculateur!BN102*VLOOKUP('Données projet'!$B$11,Paramètres!$A$1:$I$89,3,0)*0.475*44/12</f>
        <v>15.537750846701121</v>
      </c>
      <c r="BR102" s="21">
        <f>EXP(-LN(2)/2)*BR101+(1-EXP(-LN(2)/2))/(LN(2)/2)*BL102*BO102*VLOOKUP('Données projet'!$B$11,Paramètres!$A$1:$I$89,3,0)*0.475*44/12</f>
        <v>6.8578924912062068E-6</v>
      </c>
      <c r="BS102" s="22">
        <f t="shared" si="63"/>
        <v>60.106731937560255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2.2737367544323206E-13</v>
      </c>
      <c r="BZ102" s="13">
        <f>BY102*VLOOKUP('Données projet'!$B$12,Paramètres!$A$1:$I$89,3,0)*VLOOKUP('Données projet'!$B$12,Paramètres!$A$1:$I$89,5,0)</f>
        <v>1.0049916454590858E-13</v>
      </c>
      <c r="CA102" s="13">
        <f t="shared" si="93"/>
        <v>1.5089081593838289E-12</v>
      </c>
      <c r="CB102" s="20">
        <f t="shared" si="64"/>
        <v>2.8030510891776262E-12</v>
      </c>
      <c r="CC102" s="59">
        <f t="shared" si="65"/>
        <v>293.3333333333361</v>
      </c>
      <c r="CD102" s="59">
        <f ca="1">AVERAGE(OFFSET($CC$3,0,0,'Données projet'!$E$12+1,1))-AVERAGE(OFFSET($H$3,0,0,'Données projet'!$E$12+1,1))</f>
        <v>220.26537310502334</v>
      </c>
      <c r="CE102" s="59">
        <f t="shared" si="94"/>
        <v>233.26853625122016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42.092920108912928</v>
      </c>
      <c r="CL102" s="21">
        <f>EXP(-LN(2)/25)*CL101+(1-EXP(-LN(2)/25))/(LN(2)/25)*Calculateur!CG102*Calculateur!CI102*VLOOKUP('Données projet'!$B$12,Paramètres!$A$1:$I$89,3,0)*0.475*44/12</f>
        <v>14.674542466328841</v>
      </c>
      <c r="CM102" s="21">
        <f>EXP(-LN(2)/2)*CM101+(1-EXP(-LN(2)/2))/(LN(2)/2)*CG102*CJ102*VLOOKUP('Données projet'!$B$12,Paramètres!$A$1:$I$89,3,0)*0.475*44/12</f>
        <v>6.4768984639169748E-6</v>
      </c>
      <c r="CN102" s="22">
        <f t="shared" si="66"/>
        <v>56.767469052140228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-1.5961632016114892E-13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263.37813242097957</v>
      </c>
      <c r="T103" s="59">
        <f t="shared" si="88"/>
        <v>314.89350816766904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45.289680586350798</v>
      </c>
      <c r="AA103" s="21">
        <f>EXP(-LN(2)/25)*AA102+(1-EXP(-LN(2)/25))/(LN(2)/25)*Calculateur!V103*Calculateur!X103*VLOOKUP('Données projet'!$B$9,Paramètres!$A$1:$I$89,3,0)*0.475*44/12</f>
        <v>14.793864751435786</v>
      </c>
      <c r="AB103" s="21">
        <f>EXP(-LN(2)/2)*AB102+(1-EXP(-LN(2)/2))/(LN(2)/2)*V103*Y103*VLOOKUP('Données projet'!$B$9,Paramètres!$A$1:$I$89,3,0)*0.475*44/12</f>
        <v>1.8816109680047869E-6</v>
      </c>
      <c r="AC103" s="22">
        <f t="shared" si="57"/>
        <v>60.083547219397552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1.1368683772161603E-13</v>
      </c>
      <c r="AJ103" s="13">
        <f>AI103*VLOOKUP('Données projet'!$B$10,Paramètres!$A$1:$I$89,3,0)*VLOOKUP('Données projet'!$B$10,Paramètres!$A$1:$I$89,5,0)</f>
        <v>4.5815795601811263E-14</v>
      </c>
      <c r="AK103" s="13">
        <f t="shared" si="89"/>
        <v>7.5374618042508364E-13</v>
      </c>
      <c r="AL103" s="20">
        <f t="shared" si="58"/>
        <v>1.392570441580175E-12</v>
      </c>
      <c r="AM103" s="59">
        <f t="shared" si="59"/>
        <v>293.33333333333468</v>
      </c>
      <c r="AN103" s="59">
        <f ca="1">AVERAGE(OFFSET($AM$3,0,0,'Données projet'!$E$10+1,1))-AVERAGE(OFFSET($H$3,0,0,'Données projet'!$E$10+1,1))</f>
        <v>344.29957955721721</v>
      </c>
      <c r="AO103" s="59">
        <f t="shared" si="90"/>
        <v>297.12790038882594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150.70509372261057</v>
      </c>
      <c r="AV103" s="21">
        <f>EXP(-LN(2)/25)*AV102+(1-EXP(-LN(2)/25))/(LN(2)/25)*Calculateur!AQ103*Calculateur!AS103*VLOOKUP('Données projet'!$B$10,Paramètres!$A$1:$I$89,3,0)*0.475*44/12</f>
        <v>43.784353306582041</v>
      </c>
      <c r="AW103" s="21">
        <f>EXP(-LN(2)/2)*AW102+(1-EXP(-LN(2)/2))/(LN(2)/2)*AQ103*AT103*VLOOKUP('Données projet'!$B$10,Paramètres!$A$1:$I$89,3,0)*0.475*44/12</f>
        <v>8.126565021347984E-2</v>
      </c>
      <c r="AX103" s="21">
        <f t="shared" si="60"/>
        <v>194.57071267940609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2.2737367544323206E-13</v>
      </c>
      <c r="BE103" s="13">
        <f>BD103*VLOOKUP('Données projet'!$B$11,Paramètres!$A$1:$I$89,3,0)*VLOOKUP('Données projet'!$B$11,Paramètres!$A$1:$I$89,5,0)</f>
        <v>1.064108801074326E-13</v>
      </c>
      <c r="BF103" s="13">
        <f t="shared" si="91"/>
        <v>1.5870730813698654E-12</v>
      </c>
      <c r="BG103" s="20">
        <f t="shared" si="61"/>
        <v>2.9494845662396269E-12</v>
      </c>
      <c r="BH103" s="59">
        <f t="shared" si="62"/>
        <v>293.33333333333627</v>
      </c>
      <c r="BI103" s="59">
        <f ca="1">AVERAGE(OFFSET($BH$3,0,0,'Données projet'!$E$11+1,1))-AVERAGE(OFFSET($H$3,0,0,'Données projet'!$E$11+1,1))</f>
        <v>234.83702199169585</v>
      </c>
      <c r="BJ103" s="59">
        <f t="shared" si="92"/>
        <v>248.83008816685089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43.695003832648212</v>
      </c>
      <c r="BQ103" s="21">
        <f>EXP(-LN(2)/25)*BQ102+(1-EXP(-LN(2)/25))/(LN(2)/25)*Calculateur!BL103*Calculateur!BN103*VLOOKUP('Données projet'!$B$11,Paramètres!$A$1:$I$89,3,0)*0.475*44/12</f>
        <v>15.112870232703273</v>
      </c>
      <c r="BR103" s="21">
        <f>EXP(-LN(2)/2)*BR102+(1-EXP(-LN(2)/2))/(LN(2)/2)*BL103*BO103*VLOOKUP('Données projet'!$B$11,Paramètres!$A$1:$I$89,3,0)*0.475*44/12</f>
        <v>4.8492622851802145E-6</v>
      </c>
      <c r="BS103" s="22">
        <f t="shared" si="63"/>
        <v>58.807878914613767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2.2737367544323206E-13</v>
      </c>
      <c r="BZ103" s="13">
        <f>BY103*VLOOKUP('Données projet'!$B$12,Paramètres!$A$1:$I$89,3,0)*VLOOKUP('Données projet'!$B$12,Paramètres!$A$1:$I$89,5,0)</f>
        <v>1.0049916454590858E-13</v>
      </c>
      <c r="CA103" s="13">
        <f t="shared" si="93"/>
        <v>1.5089081593838289E-12</v>
      </c>
      <c r="CB103" s="20">
        <f t="shared" si="64"/>
        <v>2.8030510891776262E-12</v>
      </c>
      <c r="CC103" s="59">
        <f t="shared" si="65"/>
        <v>293.3333333333361</v>
      </c>
      <c r="CD103" s="59">
        <f ca="1">AVERAGE(OFFSET($CC$3,0,0,'Données projet'!$E$12+1,1))-AVERAGE(OFFSET($H$3,0,0,'Données projet'!$E$12+1,1))</f>
        <v>220.26537310502334</v>
      </c>
      <c r="CE103" s="59">
        <f t="shared" si="94"/>
        <v>233.26853625122016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41.2675036197233</v>
      </c>
      <c r="CL103" s="21">
        <f>EXP(-LN(2)/25)*CL102+(1-EXP(-LN(2)/25))/(LN(2)/25)*Calculateur!CG103*Calculateur!CI103*VLOOKUP('Données projet'!$B$12,Paramètres!$A$1:$I$89,3,0)*0.475*44/12</f>
        <v>14.273266330886429</v>
      </c>
      <c r="CM103" s="21">
        <f>EXP(-LN(2)/2)*CM102+(1-EXP(-LN(2)/2))/(LN(2)/2)*CG103*CJ103*VLOOKUP('Données projet'!$B$12,Paramètres!$A$1:$I$89,3,0)*0.475*44/12</f>
        <v>4.579858824892426E-6</v>
      </c>
      <c r="CN103" s="22">
        <f t="shared" si="66"/>
        <v>55.540774530468553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-1.5961632016114892E-13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263.37813242097957</v>
      </c>
      <c r="T104" s="59">
        <f t="shared" si="88"/>
        <v>314.89350816766904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44.401577574029972</v>
      </c>
      <c r="AA104" s="21">
        <f>EXP(-LN(2)/25)*AA103+(1-EXP(-LN(2)/25))/(LN(2)/25)*Calculateur!V104*Calculateur!X104*VLOOKUP('Données projet'!$B$9,Paramètres!$A$1:$I$89,3,0)*0.475*44/12</f>
        <v>14.38932574183224</v>
      </c>
      <c r="AB104" s="21">
        <f>EXP(-LN(2)/2)*AB103+(1-EXP(-LN(2)/2))/(LN(2)/2)*V104*Y104*VLOOKUP('Données projet'!$B$9,Paramètres!$A$1:$I$89,3,0)*0.475*44/12</f>
        <v>1.3304998750311688E-6</v>
      </c>
      <c r="AC104" s="22">
        <f t="shared" si="57"/>
        <v>58.790904646362087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1.1368683772161603E-13</v>
      </c>
      <c r="AJ104" s="13">
        <f>AI104*VLOOKUP('Données projet'!$B$10,Paramètres!$A$1:$I$89,3,0)*VLOOKUP('Données projet'!$B$10,Paramètres!$A$1:$I$89,5,0)</f>
        <v>4.5815795601811263E-14</v>
      </c>
      <c r="AK104" s="13">
        <f t="shared" si="89"/>
        <v>7.5374618042508364E-13</v>
      </c>
      <c r="AL104" s="20">
        <f t="shared" si="58"/>
        <v>1.392570441580175E-12</v>
      </c>
      <c r="AM104" s="59">
        <f t="shared" si="59"/>
        <v>293.33333333333468</v>
      </c>
      <c r="AN104" s="59">
        <f ca="1">AVERAGE(OFFSET($AM$3,0,0,'Données projet'!$E$10+1,1))-AVERAGE(OFFSET($H$3,0,0,'Données projet'!$E$10+1,1))</f>
        <v>344.29957955721721</v>
      </c>
      <c r="AO104" s="59">
        <f t="shared" si="90"/>
        <v>297.12790038882594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147.74985875574089</v>
      </c>
      <c r="AV104" s="21">
        <f>EXP(-LN(2)/25)*AV103+(1-EXP(-LN(2)/25))/(LN(2)/25)*Calculateur!AQ104*Calculateur!AS104*VLOOKUP('Données projet'!$B$10,Paramètres!$A$1:$I$89,3,0)*0.475*44/12</f>
        <v>42.587067862894486</v>
      </c>
      <c r="AW104" s="21">
        <f>EXP(-LN(2)/2)*AW103+(1-EXP(-LN(2)/2))/(LN(2)/2)*AQ104*AT104*VLOOKUP('Données projet'!$B$10,Paramètres!$A$1:$I$89,3,0)*0.475*44/12</f>
        <v>5.7463492343485599E-2</v>
      </c>
      <c r="AX104" s="21">
        <f t="shared" si="60"/>
        <v>190.39439011097886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2.2737367544323206E-13</v>
      </c>
      <c r="BE104" s="13">
        <f>BD104*VLOOKUP('Données projet'!$B$11,Paramètres!$A$1:$I$89,3,0)*VLOOKUP('Données projet'!$B$11,Paramètres!$A$1:$I$89,5,0)</f>
        <v>1.064108801074326E-13</v>
      </c>
      <c r="BF104" s="13">
        <f t="shared" si="91"/>
        <v>1.5870730813698654E-12</v>
      </c>
      <c r="BG104" s="20">
        <f t="shared" si="61"/>
        <v>2.9494845662396269E-12</v>
      </c>
      <c r="BH104" s="59">
        <f t="shared" si="62"/>
        <v>293.33333333333627</v>
      </c>
      <c r="BI104" s="59">
        <f ca="1">AVERAGE(OFFSET($BH$3,0,0,'Données projet'!$E$11+1,1))-AVERAGE(OFFSET($H$3,0,0,'Données projet'!$E$11+1,1))</f>
        <v>234.83702199169585</v>
      </c>
      <c r="BJ104" s="59">
        <f t="shared" si="92"/>
        <v>248.83008816685089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42.83817145881072</v>
      </c>
      <c r="BQ104" s="21">
        <f>EXP(-LN(2)/25)*BQ103+(1-EXP(-LN(2)/25))/(LN(2)/25)*Calculateur!BL104*Calculateur!BN104*VLOOKUP('Données projet'!$B$11,Paramètres!$A$1:$I$89,3,0)*0.475*44/12</f>
        <v>14.699608001438698</v>
      </c>
      <c r="BR104" s="21">
        <f>EXP(-LN(2)/2)*BR103+(1-EXP(-LN(2)/2))/(LN(2)/2)*BL104*BO104*VLOOKUP('Données projet'!$B$11,Paramètres!$A$1:$I$89,3,0)*0.475*44/12</f>
        <v>3.4289462456031034E-6</v>
      </c>
      <c r="BS104" s="22">
        <f t="shared" si="63"/>
        <v>57.537782889195661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2.2737367544323206E-13</v>
      </c>
      <c r="BZ104" s="13">
        <f>BY104*VLOOKUP('Données projet'!$B$12,Paramètres!$A$1:$I$89,3,0)*VLOOKUP('Données projet'!$B$12,Paramètres!$A$1:$I$89,5,0)</f>
        <v>1.0049916454590858E-13</v>
      </c>
      <c r="CA104" s="13">
        <f t="shared" si="93"/>
        <v>1.5089081593838289E-12</v>
      </c>
      <c r="CB104" s="20">
        <f t="shared" si="64"/>
        <v>2.8030510891776262E-12</v>
      </c>
      <c r="CC104" s="59">
        <f t="shared" si="65"/>
        <v>293.3333333333361</v>
      </c>
      <c r="CD104" s="59">
        <f ca="1">AVERAGE(OFFSET($CC$3,0,0,'Données projet'!$E$12+1,1))-AVERAGE(OFFSET($H$3,0,0,'Données projet'!$E$12+1,1))</f>
        <v>220.26537310502334</v>
      </c>
      <c r="CE104" s="59">
        <f t="shared" si="94"/>
        <v>233.26853625122016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40.458273044432332</v>
      </c>
      <c r="CL104" s="21">
        <f>EXP(-LN(2)/25)*CL103+(1-EXP(-LN(2)/25))/(LN(2)/25)*Calculateur!CG104*Calculateur!CI104*VLOOKUP('Données projet'!$B$12,Paramètres!$A$1:$I$89,3,0)*0.475*44/12</f>
        <v>13.882963112469886</v>
      </c>
      <c r="CM104" s="21">
        <f>EXP(-LN(2)/2)*CM103+(1-EXP(-LN(2)/2))/(LN(2)/2)*CG104*CJ104*VLOOKUP('Données projet'!$B$12,Paramètres!$A$1:$I$89,3,0)*0.475*44/12</f>
        <v>3.2384492319584874E-6</v>
      </c>
      <c r="CN104" s="22">
        <f t="shared" si="66"/>
        <v>54.341239395351451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-1.5961632016114892E-13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263.37813242097957</v>
      </c>
      <c r="T105" s="59">
        <f t="shared" si="88"/>
        <v>314.89350816766904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43.530889720091409</v>
      </c>
      <c r="AA105" s="21">
        <f>EXP(-LN(2)/25)*AA104+(1-EXP(-LN(2)/25))/(LN(2)/25)*Calculateur!V105*Calculateur!X105*VLOOKUP('Données projet'!$B$9,Paramètres!$A$1:$I$89,3,0)*0.475*44/12</f>
        <v>13.995848872720083</v>
      </c>
      <c r="AB105" s="21">
        <f>EXP(-LN(2)/2)*AB104+(1-EXP(-LN(2)/2))/(LN(2)/2)*V105*Y105*VLOOKUP('Données projet'!$B$9,Paramètres!$A$1:$I$89,3,0)*0.475*44/12</f>
        <v>9.4080548400239355E-7</v>
      </c>
      <c r="AC105" s="22">
        <f t="shared" si="57"/>
        <v>57.526739533616976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1.1368683772161603E-13</v>
      </c>
      <c r="AJ105" s="13">
        <f>AI105*VLOOKUP('Données projet'!$B$10,Paramètres!$A$1:$I$89,3,0)*VLOOKUP('Données projet'!$B$10,Paramètres!$A$1:$I$89,5,0)</f>
        <v>4.5815795601811263E-14</v>
      </c>
      <c r="AK105" s="13">
        <f t="shared" si="89"/>
        <v>7.5374618042508364E-13</v>
      </c>
      <c r="AL105" s="20">
        <f t="shared" si="58"/>
        <v>1.392570441580175E-12</v>
      </c>
      <c r="AM105" s="59">
        <f t="shared" si="59"/>
        <v>293.33333333333468</v>
      </c>
      <c r="AN105" s="59">
        <f ca="1">AVERAGE(OFFSET($AM$3,0,0,'Données projet'!$E$10+1,1))-AVERAGE(OFFSET($H$3,0,0,'Données projet'!$E$10+1,1))</f>
        <v>344.29957955721721</v>
      </c>
      <c r="AO105" s="59">
        <f t="shared" si="90"/>
        <v>297.12790038882594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144.85257414405618</v>
      </c>
      <c r="AV105" s="21">
        <f>EXP(-LN(2)/25)*AV104+(1-EXP(-LN(2)/25))/(LN(2)/25)*Calculateur!AQ105*Calculateur!AS105*VLOOKUP('Données projet'!$B$10,Paramètres!$A$1:$I$89,3,0)*0.475*44/12</f>
        <v>41.422522252627068</v>
      </c>
      <c r="AW105" s="21">
        <f>EXP(-LN(2)/2)*AW104+(1-EXP(-LN(2)/2))/(LN(2)/2)*AQ105*AT105*VLOOKUP('Données projet'!$B$10,Paramètres!$A$1:$I$89,3,0)*0.475*44/12</f>
        <v>4.063282510673992E-2</v>
      </c>
      <c r="AX105" s="21">
        <f t="shared" si="60"/>
        <v>186.31572922178998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2.2737367544323206E-13</v>
      </c>
      <c r="BE105" s="13">
        <f>BD105*VLOOKUP('Données projet'!$B$11,Paramètres!$A$1:$I$89,3,0)*VLOOKUP('Données projet'!$B$11,Paramètres!$A$1:$I$89,5,0)</f>
        <v>1.064108801074326E-13</v>
      </c>
      <c r="BF105" s="13">
        <f t="shared" si="91"/>
        <v>1.5870730813698654E-12</v>
      </c>
      <c r="BG105" s="20">
        <f t="shared" si="61"/>
        <v>2.9494845662396269E-12</v>
      </c>
      <c r="BH105" s="59">
        <f t="shared" si="62"/>
        <v>293.33333333333627</v>
      </c>
      <c r="BI105" s="59">
        <f ca="1">AVERAGE(OFFSET($BH$3,0,0,'Données projet'!$E$11+1,1))-AVERAGE(OFFSET($H$3,0,0,'Données projet'!$E$11+1,1))</f>
        <v>234.83702199169585</v>
      </c>
      <c r="BJ105" s="59">
        <f t="shared" si="92"/>
        <v>248.83008816685089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41.998141045208037</v>
      </c>
      <c r="BQ105" s="21">
        <f>EXP(-LN(2)/25)*BQ104+(1-EXP(-LN(2)/25))/(LN(2)/25)*Calculateur!BL105*Calculateur!BN105*VLOOKUP('Données projet'!$B$11,Paramètres!$A$1:$I$89,3,0)*0.475*44/12</f>
        <v>14.297646447620568</v>
      </c>
      <c r="BR105" s="21">
        <f>EXP(-LN(2)/2)*BR104+(1-EXP(-LN(2)/2))/(LN(2)/2)*BL105*BO105*VLOOKUP('Données projet'!$B$11,Paramètres!$A$1:$I$89,3,0)*0.475*44/12</f>
        <v>2.4246311425901072E-6</v>
      </c>
      <c r="BS105" s="22">
        <f t="shared" si="63"/>
        <v>56.29578991745975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2.2737367544323206E-13</v>
      </c>
      <c r="BZ105" s="13">
        <f>BY105*VLOOKUP('Données projet'!$B$12,Paramètres!$A$1:$I$89,3,0)*VLOOKUP('Données projet'!$B$12,Paramètres!$A$1:$I$89,5,0)</f>
        <v>1.0049916454590858E-13</v>
      </c>
      <c r="CA105" s="13">
        <f t="shared" si="93"/>
        <v>1.5089081593838289E-12</v>
      </c>
      <c r="CB105" s="20">
        <f t="shared" si="64"/>
        <v>2.8030510891776262E-12</v>
      </c>
      <c r="CC105" s="59">
        <f t="shared" si="65"/>
        <v>293.3333333333361</v>
      </c>
      <c r="CD105" s="59">
        <f ca="1">AVERAGE(OFFSET($CC$3,0,0,'Données projet'!$E$12+1,1))-AVERAGE(OFFSET($H$3,0,0,'Données projet'!$E$12+1,1))</f>
        <v>220.26537310502334</v>
      </c>
      <c r="CE105" s="59">
        <f t="shared" si="94"/>
        <v>233.26853625122016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39.664910987140907</v>
      </c>
      <c r="CL105" s="21">
        <f>EXP(-LN(2)/25)*CL104+(1-EXP(-LN(2)/25))/(LN(2)/25)*Calculateur!CG105*Calculateur!CI105*VLOOKUP('Données projet'!$B$12,Paramètres!$A$1:$I$89,3,0)*0.475*44/12</f>
        <v>13.503332756086097</v>
      </c>
      <c r="CM105" s="21">
        <f>EXP(-LN(2)/2)*CM104+(1-EXP(-LN(2)/2))/(LN(2)/2)*CG105*CJ105*VLOOKUP('Données projet'!$B$12,Paramètres!$A$1:$I$89,3,0)*0.475*44/12</f>
        <v>2.289929412446213E-6</v>
      </c>
      <c r="CN105" s="22">
        <f t="shared" si="66"/>
        <v>53.168246033156414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-1.5961632016114892E-13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263.37813242097957</v>
      </c>
      <c r="T106" s="59">
        <f t="shared" si="88"/>
        <v>314.89350816766904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42.677275523901429</v>
      </c>
      <c r="AA106" s="21">
        <f>EXP(-LN(2)/25)*AA105+(1-EXP(-LN(2)/25))/(LN(2)/25)*Calculateur!V106*Calculateur!X106*VLOOKUP('Données projet'!$B$9,Paramètres!$A$1:$I$89,3,0)*0.475*44/12</f>
        <v>13.613131649285849</v>
      </c>
      <c r="AB106" s="21">
        <f>EXP(-LN(2)/2)*AB105+(1-EXP(-LN(2)/2))/(LN(2)/2)*V106*Y106*VLOOKUP('Données projet'!$B$9,Paramètres!$A$1:$I$89,3,0)*0.475*44/12</f>
        <v>6.652499375155845E-7</v>
      </c>
      <c r="AC106" s="22">
        <f t="shared" si="57"/>
        <v>56.290407838437211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1.1368683772161603E-13</v>
      </c>
      <c r="AJ106" s="13">
        <f>AI106*VLOOKUP('Données projet'!$B$10,Paramètres!$A$1:$I$89,3,0)*VLOOKUP('Données projet'!$B$10,Paramètres!$A$1:$I$89,5,0)</f>
        <v>4.5815795601811263E-14</v>
      </c>
      <c r="AK106" s="13">
        <f t="shared" si="89"/>
        <v>7.5374618042508364E-13</v>
      </c>
      <c r="AL106" s="20">
        <f t="shared" si="58"/>
        <v>1.392570441580175E-12</v>
      </c>
      <c r="AM106" s="59">
        <f t="shared" si="59"/>
        <v>293.33333333333468</v>
      </c>
      <c r="AN106" s="59">
        <f ca="1">AVERAGE(OFFSET($AM$3,0,0,'Données projet'!$E$10+1,1))-AVERAGE(OFFSET($H$3,0,0,'Données projet'!$E$10+1,1))</f>
        <v>344.29957955721721</v>
      </c>
      <c r="AO106" s="59">
        <f t="shared" si="90"/>
        <v>297.12790038882594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142.01210351643749</v>
      </c>
      <c r="AV106" s="21">
        <f>EXP(-LN(2)/25)*AV105+(1-EXP(-LN(2)/25))/(LN(2)/25)*Calculateur!AQ106*Calculateur!AS106*VLOOKUP('Données projet'!$B$10,Paramètres!$A$1:$I$89,3,0)*0.475*44/12</f>
        <v>40.28982120331321</v>
      </c>
      <c r="AW106" s="21">
        <f>EXP(-LN(2)/2)*AW105+(1-EXP(-LN(2)/2))/(LN(2)/2)*AQ106*AT106*VLOOKUP('Données projet'!$B$10,Paramètres!$A$1:$I$89,3,0)*0.475*44/12</f>
        <v>2.87317461717428E-2</v>
      </c>
      <c r="AX106" s="21">
        <f t="shared" si="60"/>
        <v>182.33065646592243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2.2737367544323206E-13</v>
      </c>
      <c r="BE106" s="13">
        <f>BD106*VLOOKUP('Données projet'!$B$11,Paramètres!$A$1:$I$89,3,0)*VLOOKUP('Données projet'!$B$11,Paramètres!$A$1:$I$89,5,0)</f>
        <v>1.064108801074326E-13</v>
      </c>
      <c r="BF106" s="13">
        <f t="shared" si="91"/>
        <v>1.5870730813698654E-12</v>
      </c>
      <c r="BG106" s="20">
        <f t="shared" si="61"/>
        <v>2.9494845662396269E-12</v>
      </c>
      <c r="BH106" s="59">
        <f t="shared" si="62"/>
        <v>293.33333333333627</v>
      </c>
      <c r="BI106" s="59">
        <f ca="1">AVERAGE(OFFSET($BH$3,0,0,'Données projet'!$E$11+1,1))-AVERAGE(OFFSET($H$3,0,0,'Données projet'!$E$11+1,1))</f>
        <v>234.83702199169585</v>
      </c>
      <c r="BJ106" s="59">
        <f t="shared" si="92"/>
        <v>248.83008816685089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41.17458311564814</v>
      </c>
      <c r="BQ106" s="21">
        <f>EXP(-LN(2)/25)*BQ105+(1-EXP(-LN(2)/25))/(LN(2)/25)*Calculateur!BL106*Calculateur!BN106*VLOOKUP('Données projet'!$B$11,Paramètres!$A$1:$I$89,3,0)*0.475*44/12</f>
        <v>13.906676553629834</v>
      </c>
      <c r="BR106" s="21">
        <f>EXP(-LN(2)/2)*BR105+(1-EXP(-LN(2)/2))/(LN(2)/2)*BL106*BO106*VLOOKUP('Données projet'!$B$11,Paramètres!$A$1:$I$89,3,0)*0.475*44/12</f>
        <v>1.7144731228015517E-6</v>
      </c>
      <c r="BS106" s="22">
        <f t="shared" si="63"/>
        <v>55.081261383751098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2.2737367544323206E-13</v>
      </c>
      <c r="BZ106" s="13">
        <f>BY106*VLOOKUP('Données projet'!$B$12,Paramètres!$A$1:$I$89,3,0)*VLOOKUP('Données projet'!$B$12,Paramètres!$A$1:$I$89,5,0)</f>
        <v>1.0049916454590858E-13</v>
      </c>
      <c r="CA106" s="13">
        <f t="shared" si="93"/>
        <v>1.5089081593838289E-12</v>
      </c>
      <c r="CB106" s="20">
        <f t="shared" si="64"/>
        <v>2.8030510891776262E-12</v>
      </c>
      <c r="CC106" s="59">
        <f t="shared" si="65"/>
        <v>293.3333333333361</v>
      </c>
      <c r="CD106" s="59">
        <f ca="1">AVERAGE(OFFSET($CC$3,0,0,'Données projet'!$E$12+1,1))-AVERAGE(OFFSET($H$3,0,0,'Données projet'!$E$12+1,1))</f>
        <v>220.26537310502334</v>
      </c>
      <c r="CE106" s="59">
        <f t="shared" si="94"/>
        <v>233.26853625122016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38.887106275889892</v>
      </c>
      <c r="CL106" s="21">
        <f>EXP(-LN(2)/25)*CL105+(1-EXP(-LN(2)/25))/(LN(2)/25)*Calculateur!CG106*Calculateur!CI106*VLOOKUP('Données projet'!$B$12,Paramètres!$A$1:$I$89,3,0)*0.475*44/12</f>
        <v>13.134083411761516</v>
      </c>
      <c r="CM106" s="21">
        <f>EXP(-LN(2)/2)*CM105+(1-EXP(-LN(2)/2))/(LN(2)/2)*CG106*CJ106*VLOOKUP('Données projet'!$B$12,Paramètres!$A$1:$I$89,3,0)*0.475*44/12</f>
        <v>1.6192246159792437E-6</v>
      </c>
      <c r="CN106" s="22">
        <f t="shared" si="66"/>
        <v>52.021191306876027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-1.5961632016114892E-13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263.37813242097957</v>
      </c>
      <c r="T107" s="59">
        <f t="shared" si="88"/>
        <v>314.89350816766904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41.840400181445489</v>
      </c>
      <c r="AA107" s="21">
        <f>EXP(-LN(2)/25)*AA106+(1-EXP(-LN(2)/25))/(LN(2)/25)*Calculateur!V107*Calculateur!X107*VLOOKUP('Données projet'!$B$9,Paramètres!$A$1:$I$89,3,0)*0.475*44/12</f>
        <v>13.240879848452648</v>
      </c>
      <c r="AB107" s="21">
        <f>EXP(-LN(2)/2)*AB106+(1-EXP(-LN(2)/2))/(LN(2)/2)*V107*Y107*VLOOKUP('Données projet'!$B$9,Paramètres!$A$1:$I$89,3,0)*0.475*44/12</f>
        <v>4.7040274200119683E-7</v>
      </c>
      <c r="AC107" s="22">
        <f t="shared" si="57"/>
        <v>55.081280500300878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1.1368683772161603E-13</v>
      </c>
      <c r="AJ107" s="13">
        <f>AI107*VLOOKUP('Données projet'!$B$10,Paramètres!$A$1:$I$89,3,0)*VLOOKUP('Données projet'!$B$10,Paramètres!$A$1:$I$89,5,0)</f>
        <v>4.5815795601811263E-14</v>
      </c>
      <c r="AK107" s="13">
        <f t="shared" si="89"/>
        <v>7.5374618042508364E-13</v>
      </c>
      <c r="AL107" s="20">
        <f t="shared" si="58"/>
        <v>1.392570441580175E-12</v>
      </c>
      <c r="AM107" s="59">
        <f t="shared" si="59"/>
        <v>293.33333333333468</v>
      </c>
      <c r="AN107" s="59">
        <f ca="1">AVERAGE(OFFSET($AM$3,0,0,'Données projet'!$E$10+1,1))-AVERAGE(OFFSET($H$3,0,0,'Données projet'!$E$10+1,1))</f>
        <v>344.29957955721721</v>
      </c>
      <c r="AO107" s="59">
        <f t="shared" si="90"/>
        <v>297.12790038882594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139.22733278531041</v>
      </c>
      <c r="AV107" s="21">
        <f>EXP(-LN(2)/25)*AV106+(1-EXP(-LN(2)/25))/(LN(2)/25)*Calculateur!AQ107*Calculateur!AS107*VLOOKUP('Données projet'!$B$10,Paramètres!$A$1:$I$89,3,0)*0.475*44/12</f>
        <v>39.188093923758998</v>
      </c>
      <c r="AW107" s="21">
        <f>EXP(-LN(2)/2)*AW106+(1-EXP(-LN(2)/2))/(LN(2)/2)*AQ107*AT107*VLOOKUP('Données projet'!$B$10,Paramètres!$A$1:$I$89,3,0)*0.475*44/12</f>
        <v>2.031641255336996E-2</v>
      </c>
      <c r="AX107" s="21">
        <f t="shared" si="60"/>
        <v>178.43574312162278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2.2737367544323206E-13</v>
      </c>
      <c r="BE107" s="13">
        <f>BD107*VLOOKUP('Données projet'!$B$11,Paramètres!$A$1:$I$89,3,0)*VLOOKUP('Données projet'!$B$11,Paramètres!$A$1:$I$89,5,0)</f>
        <v>1.064108801074326E-13</v>
      </c>
      <c r="BF107" s="13">
        <f t="shared" si="91"/>
        <v>1.5870730813698654E-12</v>
      </c>
      <c r="BG107" s="20">
        <f t="shared" si="61"/>
        <v>2.9494845662396269E-12</v>
      </c>
      <c r="BH107" s="59">
        <f t="shared" si="62"/>
        <v>293.33333333333627</v>
      </c>
      <c r="BI107" s="59">
        <f ca="1">AVERAGE(OFFSET($BH$3,0,0,'Données projet'!$E$11+1,1))-AVERAGE(OFFSET($H$3,0,0,'Données projet'!$E$11+1,1))</f>
        <v>234.83702199169585</v>
      </c>
      <c r="BJ107" s="59">
        <f t="shared" si="92"/>
        <v>248.83008816685089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40.367174654766174</v>
      </c>
      <c r="BQ107" s="21">
        <f>EXP(-LN(2)/25)*BQ106+(1-EXP(-LN(2)/25))/(LN(2)/25)*Calculateur!BL107*Calculateur!BN107*VLOOKUP('Données projet'!$B$11,Paramètres!$A$1:$I$89,3,0)*0.475*44/12</f>
        <v>13.526397751950491</v>
      </c>
      <c r="BR107" s="21">
        <f>EXP(-LN(2)/2)*BR106+(1-EXP(-LN(2)/2))/(LN(2)/2)*BL107*BO107*VLOOKUP('Données projet'!$B$11,Paramètres!$A$1:$I$89,3,0)*0.475*44/12</f>
        <v>1.2123155712950536E-6</v>
      </c>
      <c r="BS107" s="22">
        <f t="shared" si="63"/>
        <v>53.893573619032239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2.2737367544323206E-13</v>
      </c>
      <c r="BZ107" s="13">
        <f>BY107*VLOOKUP('Données projet'!$B$12,Paramètres!$A$1:$I$89,3,0)*VLOOKUP('Données projet'!$B$12,Paramètres!$A$1:$I$89,5,0)</f>
        <v>1.0049916454590858E-13</v>
      </c>
      <c r="CA107" s="13">
        <f t="shared" si="93"/>
        <v>1.5089081593838289E-12</v>
      </c>
      <c r="CB107" s="20">
        <f t="shared" si="64"/>
        <v>2.8030510891776262E-12</v>
      </c>
      <c r="CC107" s="59">
        <f t="shared" si="65"/>
        <v>293.3333333333361</v>
      </c>
      <c r="CD107" s="59">
        <f ca="1">AVERAGE(OFFSET($CC$3,0,0,'Données projet'!$E$12+1,1))-AVERAGE(OFFSET($H$3,0,0,'Données projet'!$E$12+1,1))</f>
        <v>220.26537310502334</v>
      </c>
      <c r="CE107" s="59">
        <f t="shared" si="94"/>
        <v>233.26853625122016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38.124553840612485</v>
      </c>
      <c r="CL107" s="21">
        <f>EXP(-LN(2)/25)*CL106+(1-EXP(-LN(2)/25))/(LN(2)/25)*Calculateur!CG107*Calculateur!CI107*VLOOKUP('Données projet'!$B$12,Paramètres!$A$1:$I$89,3,0)*0.475*44/12</f>
        <v>12.774931210175469</v>
      </c>
      <c r="CM107" s="21">
        <f>EXP(-LN(2)/2)*CM106+(1-EXP(-LN(2)/2))/(LN(2)/2)*CG107*CJ107*VLOOKUP('Données projet'!$B$12,Paramètres!$A$1:$I$89,3,0)*0.475*44/12</f>
        <v>1.1449647062231065E-6</v>
      </c>
      <c r="CN107" s="22">
        <f t="shared" si="66"/>
        <v>50.899486195752658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-1.5961632016114892E-13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263.37813242097957</v>
      </c>
      <c r="T108" s="59">
        <f t="shared" si="88"/>
        <v>314.89350816766904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41.019935454011552</v>
      </c>
      <c r="AA108" s="21">
        <f>EXP(-LN(2)/25)*AA107+(1-EXP(-LN(2)/25))/(LN(2)/25)*Calculateur!V108*Calculateur!X108*VLOOKUP('Données projet'!$B$9,Paramètres!$A$1:$I$89,3,0)*0.475*44/12</f>
        <v>12.878807292689102</v>
      </c>
      <c r="AB108" s="21">
        <f>EXP(-LN(2)/2)*AB107+(1-EXP(-LN(2)/2))/(LN(2)/2)*V108*Y108*VLOOKUP('Données projet'!$B$9,Paramètres!$A$1:$I$89,3,0)*0.475*44/12</f>
        <v>3.326249687577923E-7</v>
      </c>
      <c r="AC108" s="22">
        <f t="shared" si="57"/>
        <v>53.898743079325627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1.1368683772161603E-13</v>
      </c>
      <c r="AJ108" s="13">
        <f>AI108*VLOOKUP('Données projet'!$B$10,Paramètres!$A$1:$I$89,3,0)*VLOOKUP('Données projet'!$B$10,Paramètres!$A$1:$I$89,5,0)</f>
        <v>4.5815795601811263E-14</v>
      </c>
      <c r="AK108" s="13">
        <f t="shared" si="89"/>
        <v>7.5374618042508364E-13</v>
      </c>
      <c r="AL108" s="20">
        <f t="shared" si="58"/>
        <v>1.392570441580175E-12</v>
      </c>
      <c r="AM108" s="59">
        <f t="shared" si="59"/>
        <v>293.33333333333468</v>
      </c>
      <c r="AN108" s="59">
        <f ca="1">AVERAGE(OFFSET($AM$3,0,0,'Données projet'!$E$10+1,1))-AVERAGE(OFFSET($H$3,0,0,'Données projet'!$E$10+1,1))</f>
        <v>344.29957955721721</v>
      </c>
      <c r="AO108" s="59">
        <f t="shared" si="90"/>
        <v>297.12790038882594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136.4971697096783</v>
      </c>
      <c r="AV108" s="21">
        <f>EXP(-LN(2)/25)*AV107+(1-EXP(-LN(2)/25))/(LN(2)/25)*Calculateur!AQ108*Calculateur!AS108*VLOOKUP('Données projet'!$B$10,Paramètres!$A$1:$I$89,3,0)*0.475*44/12</f>
        <v>38.116493434601516</v>
      </c>
      <c r="AW108" s="21">
        <f>EXP(-LN(2)/2)*AW107+(1-EXP(-LN(2)/2))/(LN(2)/2)*AQ108*AT108*VLOOKUP('Données projet'!$B$10,Paramètres!$A$1:$I$89,3,0)*0.475*44/12</f>
        <v>1.43658730858714E-2</v>
      </c>
      <c r="AX108" s="21">
        <f t="shared" si="60"/>
        <v>174.62802901736569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2.2737367544323206E-13</v>
      </c>
      <c r="BE108" s="13">
        <f>BD108*VLOOKUP('Données projet'!$B$11,Paramètres!$A$1:$I$89,3,0)*VLOOKUP('Données projet'!$B$11,Paramètres!$A$1:$I$89,5,0)</f>
        <v>1.064108801074326E-13</v>
      </c>
      <c r="BF108" s="13">
        <f t="shared" si="91"/>
        <v>1.5870730813698654E-12</v>
      </c>
      <c r="BG108" s="20">
        <f t="shared" si="61"/>
        <v>2.9494845662396269E-12</v>
      </c>
      <c r="BH108" s="59">
        <f t="shared" si="62"/>
        <v>293.33333333333627</v>
      </c>
      <c r="BI108" s="59">
        <f ca="1">AVERAGE(OFFSET($BH$3,0,0,'Données projet'!$E$11+1,1))-AVERAGE(OFFSET($H$3,0,0,'Données projet'!$E$11+1,1))</f>
        <v>234.83702199169585</v>
      </c>
      <c r="BJ108" s="59">
        <f t="shared" si="92"/>
        <v>248.83008816685089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39.575598981331574</v>
      </c>
      <c r="BQ108" s="21">
        <f>EXP(-LN(2)/25)*BQ107+(1-EXP(-LN(2)/25))/(LN(2)/25)*Calculateur!BL108*Calculateur!BN108*VLOOKUP('Données projet'!$B$11,Paramètres!$A$1:$I$89,3,0)*0.475*44/12</f>
        <v>13.156517694101062</v>
      </c>
      <c r="BR108" s="21">
        <f>EXP(-LN(2)/2)*BR107+(1-EXP(-LN(2)/2))/(LN(2)/2)*BL108*BO108*VLOOKUP('Données projet'!$B$11,Paramètres!$A$1:$I$89,3,0)*0.475*44/12</f>
        <v>8.5723656140077585E-7</v>
      </c>
      <c r="BS108" s="22">
        <f t="shared" si="63"/>
        <v>52.7321175326692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2.2737367544323206E-13</v>
      </c>
      <c r="BZ108" s="13">
        <f>BY108*VLOOKUP('Données projet'!$B$12,Paramètres!$A$1:$I$89,3,0)*VLOOKUP('Données projet'!$B$12,Paramètres!$A$1:$I$89,5,0)</f>
        <v>1.0049916454590858E-13</v>
      </c>
      <c r="CA108" s="13">
        <f t="shared" si="93"/>
        <v>1.5089081593838289E-12</v>
      </c>
      <c r="CB108" s="20">
        <f t="shared" si="64"/>
        <v>2.8030510891776262E-12</v>
      </c>
      <c r="CC108" s="59">
        <f t="shared" si="65"/>
        <v>293.3333333333361</v>
      </c>
      <c r="CD108" s="59">
        <f ca="1">AVERAGE(OFFSET($CC$3,0,0,'Données projet'!$E$12+1,1))-AVERAGE(OFFSET($H$3,0,0,'Données projet'!$E$12+1,1))</f>
        <v>220.26537310502334</v>
      </c>
      <c r="CE108" s="59">
        <f t="shared" si="94"/>
        <v>233.26853625122016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37.376954593479809</v>
      </c>
      <c r="CL108" s="21">
        <f>EXP(-LN(2)/25)*CL107+(1-EXP(-LN(2)/25))/(LN(2)/25)*Calculateur!CG108*Calculateur!CI108*VLOOKUP('Données projet'!$B$12,Paramètres!$A$1:$I$89,3,0)*0.475*44/12</f>
        <v>12.425600044428785</v>
      </c>
      <c r="CM108" s="21">
        <f>EXP(-LN(2)/2)*CM107+(1-EXP(-LN(2)/2))/(LN(2)/2)*CG108*CJ108*VLOOKUP('Données projet'!$B$12,Paramètres!$A$1:$I$89,3,0)*0.475*44/12</f>
        <v>8.0961230798962185E-7</v>
      </c>
      <c r="CN108" s="22">
        <f t="shared" si="66"/>
        <v>49.802555447520902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-1.5961632016114892E-13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263.37813242097957</v>
      </c>
      <c r="T109" s="59">
        <f t="shared" si="88"/>
        <v>314.89350816766904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40.21555953944852</v>
      </c>
      <c r="AA109" s="21">
        <f>EXP(-LN(2)/25)*AA108+(1-EXP(-LN(2)/25))/(LN(2)/25)*Calculateur!V109*Calculateur!X109*VLOOKUP('Données projet'!$B$9,Paramètres!$A$1:$I$89,3,0)*0.475*44/12</f>
        <v>12.526635630003478</v>
      </c>
      <c r="AB109" s="21">
        <f>EXP(-LN(2)/2)*AB108+(1-EXP(-LN(2)/2))/(LN(2)/2)*V109*Y109*VLOOKUP('Données projet'!$B$9,Paramètres!$A$1:$I$89,3,0)*0.475*44/12</f>
        <v>2.3520137100059847E-7</v>
      </c>
      <c r="AC109" s="22">
        <f t="shared" si="57"/>
        <v>52.742195404653366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4.5815795601811263E-14</v>
      </c>
      <c r="AK109" s="13">
        <f t="shared" si="89"/>
        <v>7.5374618042508364E-13</v>
      </c>
      <c r="AL109" s="20">
        <f t="shared" si="58"/>
        <v>1.392570441580175E-12</v>
      </c>
      <c r="AM109" s="59">
        <f t="shared" si="59"/>
        <v>293.33333333333468</v>
      </c>
      <c r="AN109" s="59">
        <f ca="1">AVERAGE(OFFSET($AM$3,0,0,'Données projet'!$E$10+1,1))-AVERAGE(OFFSET($H$3,0,0,'Données projet'!$E$10+1,1))</f>
        <v>344.29957955721721</v>
      </c>
      <c r="AO109" s="59">
        <f t="shared" si="90"/>
        <v>297.12790038882594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133.82054346672427</v>
      </c>
      <c r="AV109" s="21">
        <f>EXP(-LN(2)/25)*AV108+(1-EXP(-LN(2)/25))/(LN(2)/25)*Calculateur!AQ109*Calculateur!AS109*VLOOKUP('Données projet'!$B$10,Paramètres!$A$1:$I$89,3,0)*0.475*44/12</f>
        <v>37.074195917173064</v>
      </c>
      <c r="AW109" s="21">
        <f>EXP(-LN(2)/2)*AW108+(1-EXP(-LN(2)/2))/(LN(2)/2)*AQ109*AT109*VLOOKUP('Données projet'!$B$10,Paramètres!$A$1:$I$89,3,0)*0.475*44/12</f>
        <v>1.015820627668498E-2</v>
      </c>
      <c r="AX109" s="21">
        <f t="shared" si="60"/>
        <v>170.90489759017402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2.2737367544323206E-13</v>
      </c>
      <c r="BE109" s="13">
        <f>BD109*VLOOKUP('Données projet'!$B$11,Paramètres!$A$1:$I$89,3,0)*VLOOKUP('Données projet'!$B$11,Paramètres!$A$1:$I$89,5,0)</f>
        <v>1.064108801074326E-13</v>
      </c>
      <c r="BF109" s="13">
        <f t="shared" si="91"/>
        <v>1.5870730813698654E-12</v>
      </c>
      <c r="BG109" s="20">
        <f t="shared" si="61"/>
        <v>2.9494845662396269E-12</v>
      </c>
      <c r="BH109" s="59">
        <f t="shared" si="62"/>
        <v>293.33333333333627</v>
      </c>
      <c r="BI109" s="59">
        <f ca="1">AVERAGE(OFFSET($BH$3,0,0,'Données projet'!$E$11+1,1))-AVERAGE(OFFSET($H$3,0,0,'Données projet'!$E$11+1,1))</f>
        <v>234.83702199169585</v>
      </c>
      <c r="BJ109" s="59">
        <f t="shared" si="92"/>
        <v>248.83008816685089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38.799545624039538</v>
      </c>
      <c r="BQ109" s="21">
        <f>EXP(-LN(2)/25)*BQ108+(1-EXP(-LN(2)/25))/(LN(2)/25)*Calculateur!BL109*Calculateur!BN109*VLOOKUP('Données projet'!$B$11,Paramètres!$A$1:$I$89,3,0)*0.475*44/12</f>
        <v>12.796752025884672</v>
      </c>
      <c r="BR109" s="21">
        <f>EXP(-LN(2)/2)*BR108+(1-EXP(-LN(2)/2))/(LN(2)/2)*BL109*BO109*VLOOKUP('Données projet'!$B$11,Paramètres!$A$1:$I$89,3,0)*0.475*44/12</f>
        <v>6.0615778564752681E-7</v>
      </c>
      <c r="BS109" s="22">
        <f t="shared" si="63"/>
        <v>51.596298256081994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2.2737367544323206E-13</v>
      </c>
      <c r="BZ109" s="13">
        <f>BY109*VLOOKUP('Données projet'!$B$12,Paramètres!$A$1:$I$89,3,0)*VLOOKUP('Données projet'!$B$12,Paramètres!$A$1:$I$89,5,0)</f>
        <v>1.0049916454590858E-13</v>
      </c>
      <c r="CA109" s="13">
        <f t="shared" si="93"/>
        <v>1.5089081593838289E-12</v>
      </c>
      <c r="CB109" s="20">
        <f t="shared" si="64"/>
        <v>2.8030510891776262E-12</v>
      </c>
      <c r="CC109" s="59">
        <f t="shared" si="65"/>
        <v>293.3333333333361</v>
      </c>
      <c r="CD109" s="59">
        <f ca="1">AVERAGE(OFFSET($CC$3,0,0,'Données projet'!$E$12+1,1))-AVERAGE(OFFSET($H$3,0,0,'Données projet'!$E$12+1,1))</f>
        <v>220.26537310502334</v>
      </c>
      <c r="CE109" s="59">
        <f t="shared" si="94"/>
        <v>233.26853625122016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36.644015311592888</v>
      </c>
      <c r="CL109" s="21">
        <f>EXP(-LN(2)/25)*CL108+(1-EXP(-LN(2)/25))/(LN(2)/25)*Calculateur!CG109*Calculateur!CI109*VLOOKUP('Données projet'!$B$12,Paramètres!$A$1:$I$89,3,0)*0.475*44/12</f>
        <v>12.085821357779974</v>
      </c>
      <c r="CM109" s="21">
        <f>EXP(-LN(2)/2)*CM108+(1-EXP(-LN(2)/2))/(LN(2)/2)*CG109*CJ109*VLOOKUP('Données projet'!$B$12,Paramètres!$A$1:$I$89,3,0)*0.475*44/12</f>
        <v>5.7248235311155325E-7</v>
      </c>
      <c r="CN109" s="22">
        <f t="shared" si="66"/>
        <v>48.729837241855215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-1.5961632016114892E-13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263.37813242097957</v>
      </c>
      <c r="T110" s="59">
        <f t="shared" si="88"/>
        <v>314.89350816766904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39.426956945949208</v>
      </c>
      <c r="AA110" s="21">
        <f>EXP(-LN(2)/25)*AA109+(1-EXP(-LN(2)/25))/(LN(2)/25)*Calculateur!V110*Calculateur!X110*VLOOKUP('Données projet'!$B$9,Paramètres!$A$1:$I$89,3,0)*0.475*44/12</f>
        <v>12.184094119953894</v>
      </c>
      <c r="AB110" s="21">
        <f>EXP(-LN(2)/2)*AB109+(1-EXP(-LN(2)/2))/(LN(2)/2)*V110*Y110*VLOOKUP('Données projet'!$B$9,Paramètres!$A$1:$I$89,3,0)*0.475*44/12</f>
        <v>1.6631248437889618E-7</v>
      </c>
      <c r="AC110" s="22">
        <f t="shared" si="57"/>
        <v>51.61105123221558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4.5815795601811263E-14</v>
      </c>
      <c r="AK110" s="13">
        <f t="shared" si="89"/>
        <v>7.5374618042508364E-13</v>
      </c>
      <c r="AL110" s="20">
        <f t="shared" si="58"/>
        <v>1.392570441580175E-12</v>
      </c>
      <c r="AM110" s="59">
        <f t="shared" si="59"/>
        <v>293.33333333333468</v>
      </c>
      <c r="AN110" s="59">
        <f ca="1">AVERAGE(OFFSET($AM$3,0,0,'Données projet'!$E$10+1,1))-AVERAGE(OFFSET($H$3,0,0,'Données projet'!$E$10+1,1))</f>
        <v>344.29957955721721</v>
      </c>
      <c r="AO110" s="59">
        <f t="shared" si="90"/>
        <v>297.12790038882594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131.19640423181377</v>
      </c>
      <c r="AV110" s="21">
        <f>EXP(-LN(2)/25)*AV109+(1-EXP(-LN(2)/25))/(LN(2)/25)*Calculateur!AQ110*Calculateur!AS110*VLOOKUP('Données projet'!$B$10,Paramètres!$A$1:$I$89,3,0)*0.475*44/12</f>
        <v>36.060400080170737</v>
      </c>
      <c r="AW110" s="21">
        <f>EXP(-LN(2)/2)*AW109+(1-EXP(-LN(2)/2))/(LN(2)/2)*AQ110*AT110*VLOOKUP('Données projet'!$B$10,Paramètres!$A$1:$I$89,3,0)*0.475*44/12</f>
        <v>7.1829365429356999E-3</v>
      </c>
      <c r="AX110" s="21">
        <f t="shared" si="60"/>
        <v>167.26398724852746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2.2737367544323206E-13</v>
      </c>
      <c r="BE110" s="13">
        <f>BD110*VLOOKUP('Données projet'!$B$11,Paramètres!$A$1:$I$89,3,0)*VLOOKUP('Données projet'!$B$11,Paramètres!$A$1:$I$89,5,0)</f>
        <v>1.064108801074326E-13</v>
      </c>
      <c r="BF110" s="13">
        <f t="shared" si="91"/>
        <v>1.5870730813698654E-12</v>
      </c>
      <c r="BG110" s="20">
        <f t="shared" si="61"/>
        <v>2.9494845662396269E-12</v>
      </c>
      <c r="BH110" s="59">
        <f t="shared" si="62"/>
        <v>293.33333333333627</v>
      </c>
      <c r="BI110" s="59">
        <f ca="1">AVERAGE(OFFSET($BH$3,0,0,'Données projet'!$E$11+1,1))-AVERAGE(OFFSET($H$3,0,0,'Données projet'!$E$11+1,1))</f>
        <v>234.83702199169585</v>
      </c>
      <c r="BJ110" s="59">
        <f t="shared" si="92"/>
        <v>248.83008816685089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38.03871019973819</v>
      </c>
      <c r="BQ110" s="21">
        <f>EXP(-LN(2)/25)*BQ109+(1-EXP(-LN(2)/25))/(LN(2)/25)*Calculateur!BL110*Calculateur!BN110*VLOOKUP('Données projet'!$B$11,Paramètres!$A$1:$I$89,3,0)*0.475*44/12</f>
        <v>12.446824168784914</v>
      </c>
      <c r="BR110" s="21">
        <f>EXP(-LN(2)/2)*BR109+(1-EXP(-LN(2)/2))/(LN(2)/2)*BL110*BO110*VLOOKUP('Données projet'!$B$11,Paramètres!$A$1:$I$89,3,0)*0.475*44/12</f>
        <v>4.2861828070038792E-7</v>
      </c>
      <c r="BS110" s="22">
        <f t="shared" si="63"/>
        <v>50.485534797141383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2.2737367544323206E-13</v>
      </c>
      <c r="BZ110" s="13">
        <f>BY110*VLOOKUP('Données projet'!$B$12,Paramètres!$A$1:$I$89,3,0)*VLOOKUP('Données projet'!$B$12,Paramètres!$A$1:$I$89,5,0)</f>
        <v>1.0049916454590858E-13</v>
      </c>
      <c r="CA110" s="13">
        <f t="shared" si="93"/>
        <v>1.5089081593838289E-12</v>
      </c>
      <c r="CB110" s="20">
        <f t="shared" si="64"/>
        <v>2.8030510891776262E-12</v>
      </c>
      <c r="CC110" s="59">
        <f t="shared" si="65"/>
        <v>293.3333333333361</v>
      </c>
      <c r="CD110" s="59">
        <f ca="1">AVERAGE(OFFSET($CC$3,0,0,'Données projet'!$E$12+1,1))-AVERAGE(OFFSET($H$3,0,0,'Données projet'!$E$12+1,1))</f>
        <v>220.26537310502334</v>
      </c>
      <c r="CE110" s="59">
        <f t="shared" si="94"/>
        <v>233.26853625122016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35.92544852197495</v>
      </c>
      <c r="CL110" s="21">
        <f>EXP(-LN(2)/25)*CL109+(1-EXP(-LN(2)/25))/(LN(2)/25)*Calculateur!CG110*Calculateur!CI110*VLOOKUP('Données projet'!$B$12,Paramètres!$A$1:$I$89,3,0)*0.475*44/12</f>
        <v>11.755333937185759</v>
      </c>
      <c r="CM110" s="21">
        <f>EXP(-LN(2)/2)*CM109+(1-EXP(-LN(2)/2))/(LN(2)/2)*CG110*CJ110*VLOOKUP('Données projet'!$B$12,Paramètres!$A$1:$I$89,3,0)*0.475*44/12</f>
        <v>4.0480615399481093E-7</v>
      </c>
      <c r="CN110" s="22">
        <f t="shared" si="66"/>
        <v>47.680782863966861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-1.5961632016114892E-13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263.37813242097957</v>
      </c>
      <c r="T111" s="59">
        <f t="shared" si="88"/>
        <v>314.89350816766904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38.653818368308329</v>
      </c>
      <c r="AA111" s="21">
        <f>EXP(-LN(2)/25)*AA110+(1-EXP(-LN(2)/25))/(LN(2)/25)*Calculateur!V111*Calculateur!X111*VLOOKUP('Données projet'!$B$9,Paramètres!$A$1:$I$89,3,0)*0.475*44/12</f>
        <v>11.850919425510092</v>
      </c>
      <c r="AB111" s="21">
        <f>EXP(-LN(2)/2)*AB110+(1-EXP(-LN(2)/2))/(LN(2)/2)*V111*Y111*VLOOKUP('Données projet'!$B$9,Paramètres!$A$1:$I$89,3,0)*0.475*44/12</f>
        <v>1.1760068550029925E-7</v>
      </c>
      <c r="AC111" s="22">
        <f t="shared" si="57"/>
        <v>50.504737911419106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4.5815795601811263E-14</v>
      </c>
      <c r="AK111" s="13">
        <f t="shared" si="89"/>
        <v>7.5374618042508364E-13</v>
      </c>
      <c r="AL111" s="20">
        <f t="shared" si="58"/>
        <v>1.392570441580175E-12</v>
      </c>
      <c r="AM111" s="59">
        <f t="shared" si="59"/>
        <v>293.33333333333468</v>
      </c>
      <c r="AN111" s="59">
        <f ca="1">AVERAGE(OFFSET($AM$3,0,0,'Données projet'!$E$10+1,1))-AVERAGE(OFFSET($H$3,0,0,'Données projet'!$E$10+1,1))</f>
        <v>344.29957955721721</v>
      </c>
      <c r="AO111" s="59">
        <f t="shared" si="90"/>
        <v>297.12790038882594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128.62372276673298</v>
      </c>
      <c r="AV111" s="21">
        <f>EXP(-LN(2)/25)*AV110+(1-EXP(-LN(2)/25))/(LN(2)/25)*Calculateur!AQ111*Calculateur!AS111*VLOOKUP('Données projet'!$B$10,Paramètres!$A$1:$I$89,3,0)*0.475*44/12</f>
        <v>35.074326543644446</v>
      </c>
      <c r="AW111" s="21">
        <f>EXP(-LN(2)/2)*AW110+(1-EXP(-LN(2)/2))/(LN(2)/2)*AQ111*AT111*VLOOKUP('Données projet'!$B$10,Paramètres!$A$1:$I$89,3,0)*0.475*44/12</f>
        <v>5.07910313834249E-3</v>
      </c>
      <c r="AX111" s="21">
        <f t="shared" si="60"/>
        <v>163.70312841351577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2.2737367544323206E-13</v>
      </c>
      <c r="BE111" s="13">
        <f>BD111*VLOOKUP('Données projet'!$B$11,Paramètres!$A$1:$I$89,3,0)*VLOOKUP('Données projet'!$B$11,Paramètres!$A$1:$I$89,5,0)</f>
        <v>1.064108801074326E-13</v>
      </c>
      <c r="BF111" s="13">
        <f t="shared" si="91"/>
        <v>1.5870730813698654E-12</v>
      </c>
      <c r="BG111" s="20">
        <f t="shared" si="61"/>
        <v>2.9494845662396269E-12</v>
      </c>
      <c r="BH111" s="59">
        <f t="shared" si="62"/>
        <v>293.33333333333627</v>
      </c>
      <c r="BI111" s="59">
        <f ca="1">AVERAGE(OFFSET($BH$3,0,0,'Données projet'!$E$11+1,1))-AVERAGE(OFFSET($H$3,0,0,'Données projet'!$E$11+1,1))</f>
        <v>234.83702199169585</v>
      </c>
      <c r="BJ111" s="59">
        <f t="shared" si="92"/>
        <v>248.83008816685089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37.292794294043603</v>
      </c>
      <c r="BQ111" s="21">
        <f>EXP(-LN(2)/25)*BQ110+(1-EXP(-LN(2)/25))/(LN(2)/25)*Calculateur!BL111*Calculateur!BN111*VLOOKUP('Données projet'!$B$11,Paramètres!$A$1:$I$89,3,0)*0.475*44/12</f>
        <v>12.106465107339455</v>
      </c>
      <c r="BR111" s="21">
        <f>EXP(-LN(2)/2)*BR110+(1-EXP(-LN(2)/2))/(LN(2)/2)*BL111*BO111*VLOOKUP('Données projet'!$B$11,Paramètres!$A$1:$I$89,3,0)*0.475*44/12</f>
        <v>3.0307889282376341E-7</v>
      </c>
      <c r="BS111" s="22">
        <f t="shared" si="63"/>
        <v>49.399259704461947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2.2737367544323206E-13</v>
      </c>
      <c r="BZ111" s="13">
        <f>BY111*VLOOKUP('Données projet'!$B$12,Paramètres!$A$1:$I$89,3,0)*VLOOKUP('Données projet'!$B$12,Paramètres!$A$1:$I$89,5,0)</f>
        <v>1.0049916454590858E-13</v>
      </c>
      <c r="CA111" s="13">
        <f t="shared" si="93"/>
        <v>1.5089081593838289E-12</v>
      </c>
      <c r="CB111" s="20">
        <f t="shared" si="64"/>
        <v>2.8030510891776262E-12</v>
      </c>
      <c r="CC111" s="59">
        <f t="shared" si="65"/>
        <v>293.3333333333361</v>
      </c>
      <c r="CD111" s="59">
        <f ca="1">AVERAGE(OFFSET($CC$3,0,0,'Données projet'!$E$12+1,1))-AVERAGE(OFFSET($H$3,0,0,'Données projet'!$E$12+1,1))</f>
        <v>220.26537310502334</v>
      </c>
      <c r="CE111" s="59">
        <f t="shared" si="94"/>
        <v>233.26853625122016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35.22097238881895</v>
      </c>
      <c r="CL111" s="21">
        <f>EXP(-LN(2)/25)*CL110+(1-EXP(-LN(2)/25))/(LN(2)/25)*Calculateur!CG111*Calculateur!CI111*VLOOKUP('Données projet'!$B$12,Paramètres!$A$1:$I$89,3,0)*0.475*44/12</f>
        <v>11.433883712487269</v>
      </c>
      <c r="CM111" s="21">
        <f>EXP(-LN(2)/2)*CM110+(1-EXP(-LN(2)/2))/(LN(2)/2)*CG111*CJ111*VLOOKUP('Données projet'!$B$12,Paramètres!$A$1:$I$89,3,0)*0.475*44/12</f>
        <v>2.8624117655577662E-7</v>
      </c>
      <c r="CN111" s="22">
        <f t="shared" si="66"/>
        <v>46.654856387547397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-1.5961632016114892E-13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263.37813242097957</v>
      </c>
      <c r="T112" s="59">
        <f t="shared" si="88"/>
        <v>314.89350816766904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37.895840566607021</v>
      </c>
      <c r="AA112" s="21">
        <f>EXP(-LN(2)/25)*AA111+(1-EXP(-LN(2)/25))/(LN(2)/25)*Calculateur!V112*Calculateur!X112*VLOOKUP('Données projet'!$B$9,Paramètres!$A$1:$I$89,3,0)*0.475*44/12</f>
        <v>11.526855410606752</v>
      </c>
      <c r="AB112" s="21">
        <f>EXP(-LN(2)/2)*AB111+(1-EXP(-LN(2)/2))/(LN(2)/2)*V112*Y112*VLOOKUP('Données projet'!$B$9,Paramètres!$A$1:$I$89,3,0)*0.475*44/12</f>
        <v>8.3156242189448102E-8</v>
      </c>
      <c r="AC112" s="22">
        <f t="shared" si="57"/>
        <v>49.422696060370015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4.5815795601811263E-14</v>
      </c>
      <c r="AK112" s="13">
        <f t="shared" si="89"/>
        <v>7.5374618042508364E-13</v>
      </c>
      <c r="AL112" s="20">
        <f t="shared" si="58"/>
        <v>1.392570441580175E-12</v>
      </c>
      <c r="AM112" s="59">
        <f t="shared" si="59"/>
        <v>293.33333333333468</v>
      </c>
      <c r="AN112" s="59">
        <f ca="1">AVERAGE(OFFSET($AM$3,0,0,'Données projet'!$E$10+1,1))-AVERAGE(OFFSET($H$3,0,0,'Données projet'!$E$10+1,1))</f>
        <v>344.29957955721721</v>
      </c>
      <c r="AO112" s="59">
        <f t="shared" si="90"/>
        <v>297.12790038882594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126.10149001600168</v>
      </c>
      <c r="AV112" s="21">
        <f>EXP(-LN(2)/25)*AV111+(1-EXP(-LN(2)/25))/(LN(2)/25)*Calculateur!AQ112*Calculateur!AS112*VLOOKUP('Données projet'!$B$10,Paramètres!$A$1:$I$89,3,0)*0.475*44/12</f>
        <v>34.115217239829818</v>
      </c>
      <c r="AW112" s="21">
        <f>EXP(-LN(2)/2)*AW111+(1-EXP(-LN(2)/2))/(LN(2)/2)*AQ112*AT112*VLOOKUP('Données projet'!$B$10,Paramètres!$A$1:$I$89,3,0)*0.475*44/12</f>
        <v>3.5914682714678499E-3</v>
      </c>
      <c r="AX112" s="21">
        <f t="shared" si="60"/>
        <v>160.22029872410297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2.2737367544323206E-13</v>
      </c>
      <c r="BE112" s="13">
        <f>BD112*VLOOKUP('Données projet'!$B$11,Paramètres!$A$1:$I$89,3,0)*VLOOKUP('Données projet'!$B$11,Paramètres!$A$1:$I$89,5,0)</f>
        <v>1.064108801074326E-13</v>
      </c>
      <c r="BF112" s="13">
        <f t="shared" si="91"/>
        <v>1.5870730813698654E-12</v>
      </c>
      <c r="BG112" s="20">
        <f t="shared" si="61"/>
        <v>2.9494845662396269E-12</v>
      </c>
      <c r="BH112" s="59">
        <f t="shared" si="62"/>
        <v>293.33333333333627</v>
      </c>
      <c r="BI112" s="59">
        <f ca="1">AVERAGE(OFFSET($BH$3,0,0,'Données projet'!$E$11+1,1))-AVERAGE(OFFSET($H$3,0,0,'Données projet'!$E$11+1,1))</f>
        <v>234.83702199169585</v>
      </c>
      <c r="BJ112" s="59">
        <f t="shared" si="92"/>
        <v>248.83008816685089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36.561505344295909</v>
      </c>
      <c r="BQ112" s="21">
        <f>EXP(-LN(2)/25)*BQ111+(1-EXP(-LN(2)/25))/(LN(2)/25)*Calculateur!BL112*Calculateur!BN112*VLOOKUP('Données projet'!$B$11,Paramètres!$A$1:$I$89,3,0)*0.475*44/12</f>
        <v>11.775413182327927</v>
      </c>
      <c r="BR112" s="21">
        <f>EXP(-LN(2)/2)*BR111+(1-EXP(-LN(2)/2))/(LN(2)/2)*BL112*BO112*VLOOKUP('Données projet'!$B$11,Paramètres!$A$1:$I$89,3,0)*0.475*44/12</f>
        <v>2.1430914035019396E-7</v>
      </c>
      <c r="BS112" s="22">
        <f t="shared" si="63"/>
        <v>48.336918740932973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2.2737367544323206E-13</v>
      </c>
      <c r="BZ112" s="13">
        <f>BY112*VLOOKUP('Données projet'!$B$12,Paramètres!$A$1:$I$89,3,0)*VLOOKUP('Données projet'!$B$12,Paramètres!$A$1:$I$89,5,0)</f>
        <v>1.0049916454590858E-13</v>
      </c>
      <c r="CA112" s="13">
        <f t="shared" si="93"/>
        <v>1.5089081593838289E-12</v>
      </c>
      <c r="CB112" s="20">
        <f t="shared" si="64"/>
        <v>2.8030510891776262E-12</v>
      </c>
      <c r="CC112" s="59">
        <f t="shared" si="65"/>
        <v>293.3333333333361</v>
      </c>
      <c r="CD112" s="59">
        <f ca="1">AVERAGE(OFFSET($CC$3,0,0,'Données projet'!$E$12+1,1))-AVERAGE(OFFSET($H$3,0,0,'Données projet'!$E$12+1,1))</f>
        <v>220.26537310502334</v>
      </c>
      <c r="CE112" s="59">
        <f t="shared" si="94"/>
        <v>233.26853625122016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34.53031060294613</v>
      </c>
      <c r="CL112" s="21">
        <f>EXP(-LN(2)/25)*CL111+(1-EXP(-LN(2)/25))/(LN(2)/25)*Calculateur!CG112*Calculateur!CI112*VLOOKUP('Données projet'!$B$12,Paramètres!$A$1:$I$89,3,0)*0.475*44/12</f>
        <v>11.121223561087493</v>
      </c>
      <c r="CM112" s="21">
        <f>EXP(-LN(2)/2)*CM111+(1-EXP(-LN(2)/2))/(LN(2)/2)*CG112*CJ112*VLOOKUP('Données projet'!$B$12,Paramètres!$A$1:$I$89,3,0)*0.475*44/12</f>
        <v>2.0240307699740546E-7</v>
      </c>
      <c r="CN112" s="22">
        <f t="shared" si="66"/>
        <v>45.651534366436699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-1.5961632016114892E-13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263.37813242097957</v>
      </c>
      <c r="T113" s="59">
        <f t="shared" si="88"/>
        <v>314.89350816766904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37.15272624727627</v>
      </c>
      <c r="AA113" s="21">
        <f>EXP(-LN(2)/25)*AA112+(1-EXP(-LN(2)/25))/(LN(2)/25)*Calculateur!V113*Calculateur!X113*VLOOKUP('Données projet'!$B$9,Paramètres!$A$1:$I$89,3,0)*0.475*44/12</f>
        <v>11.211652943232728</v>
      </c>
      <c r="AB113" s="21">
        <f>EXP(-LN(2)/2)*AB112+(1-EXP(-LN(2)/2))/(LN(2)/2)*V113*Y113*VLOOKUP('Données projet'!$B$9,Paramètres!$A$1:$I$89,3,0)*0.475*44/12</f>
        <v>5.8800342750149637E-8</v>
      </c>
      <c r="AC113" s="22">
        <f t="shared" si="57"/>
        <v>48.364379249309344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4.5815795601811263E-14</v>
      </c>
      <c r="AK113" s="13">
        <f t="shared" si="89"/>
        <v>7.5374618042508364E-13</v>
      </c>
      <c r="AL113" s="20">
        <f t="shared" si="58"/>
        <v>1.392570441580175E-12</v>
      </c>
      <c r="AM113" s="59">
        <f t="shared" si="59"/>
        <v>293.33333333333468</v>
      </c>
      <c r="AN113" s="59">
        <f ca="1">AVERAGE(OFFSET($AM$3,0,0,'Données projet'!$E$10+1,1))-AVERAGE(OFFSET($H$3,0,0,'Données projet'!$E$10+1,1))</f>
        <v>344.29957955721721</v>
      </c>
      <c r="AO113" s="59">
        <f t="shared" si="90"/>
        <v>297.12790038882594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123.62871671110213</v>
      </c>
      <c r="AV113" s="21">
        <f>EXP(-LN(2)/25)*AV112+(1-EXP(-LN(2)/25))/(LN(2)/25)*Calculateur!AQ113*Calculateur!AS113*VLOOKUP('Données projet'!$B$10,Paramètres!$A$1:$I$89,3,0)*0.475*44/12</f>
        <v>33.18233483036537</v>
      </c>
      <c r="AW113" s="21">
        <f>EXP(-LN(2)/2)*AW112+(1-EXP(-LN(2)/2))/(LN(2)/2)*AQ113*AT113*VLOOKUP('Données projet'!$B$10,Paramètres!$A$1:$I$89,3,0)*0.475*44/12</f>
        <v>2.539551569171245E-3</v>
      </c>
      <c r="AX113" s="21">
        <f t="shared" si="60"/>
        <v>156.81359109303665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2.2737367544323206E-13</v>
      </c>
      <c r="BE113" s="13">
        <f>BD113*VLOOKUP('Données projet'!$B$11,Paramètres!$A$1:$I$89,3,0)*VLOOKUP('Données projet'!$B$11,Paramètres!$A$1:$I$89,5,0)</f>
        <v>1.064108801074326E-13</v>
      </c>
      <c r="BF113" s="13">
        <f t="shared" si="91"/>
        <v>1.5870730813698654E-12</v>
      </c>
      <c r="BG113" s="20">
        <f t="shared" si="61"/>
        <v>2.9494845662396269E-12</v>
      </c>
      <c r="BH113" s="59">
        <f t="shared" si="62"/>
        <v>293.33333333333627</v>
      </c>
      <c r="BI113" s="59">
        <f ca="1">AVERAGE(OFFSET($BH$3,0,0,'Données projet'!$E$11+1,1))-AVERAGE(OFFSET($H$3,0,0,'Données projet'!$E$11+1,1))</f>
        <v>234.83702199169585</v>
      </c>
      <c r="BJ113" s="59">
        <f t="shared" si="92"/>
        <v>248.83008816685089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35.844556524810557</v>
      </c>
      <c r="BQ113" s="21">
        <f>EXP(-LN(2)/25)*BQ112+(1-EXP(-LN(2)/25))/(LN(2)/25)*Calculateur!BL113*Calculateur!BN113*VLOOKUP('Données projet'!$B$11,Paramètres!$A$1:$I$89,3,0)*0.475*44/12</f>
        <v>11.453413889615105</v>
      </c>
      <c r="BR113" s="21">
        <f>EXP(-LN(2)/2)*BR112+(1-EXP(-LN(2)/2))/(LN(2)/2)*BL113*BO113*VLOOKUP('Données projet'!$B$11,Paramètres!$A$1:$I$89,3,0)*0.475*44/12</f>
        <v>1.515394464118817E-7</v>
      </c>
      <c r="BS113" s="22">
        <f t="shared" si="63"/>
        <v>47.297970565965109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2.2737367544323206E-13</v>
      </c>
      <c r="BZ113" s="13">
        <f>BY113*VLOOKUP('Données projet'!$B$12,Paramètres!$A$1:$I$89,3,0)*VLOOKUP('Données projet'!$B$12,Paramètres!$A$1:$I$89,5,0)</f>
        <v>1.0049916454590858E-13</v>
      </c>
      <c r="CA113" s="13">
        <f t="shared" si="93"/>
        <v>1.5089081593838289E-12</v>
      </c>
      <c r="CB113" s="20">
        <f t="shared" si="64"/>
        <v>2.8030510891776262E-12</v>
      </c>
      <c r="CC113" s="59">
        <f t="shared" si="65"/>
        <v>293.3333333333361</v>
      </c>
      <c r="CD113" s="59">
        <f ca="1">AVERAGE(OFFSET($CC$3,0,0,'Données projet'!$E$12+1,1))-AVERAGE(OFFSET($H$3,0,0,'Données projet'!$E$12+1,1))</f>
        <v>220.26537310502334</v>
      </c>
      <c r="CE113" s="59">
        <f t="shared" si="94"/>
        <v>233.26853625122016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33.853192273432185</v>
      </c>
      <c r="CL113" s="21">
        <f>EXP(-LN(2)/25)*CL112+(1-EXP(-LN(2)/25))/(LN(2)/25)*Calculateur!CG113*Calculateur!CI113*VLOOKUP('Données projet'!$B$12,Paramètres!$A$1:$I$89,3,0)*0.475*44/12</f>
        <v>10.817113117969827</v>
      </c>
      <c r="CM113" s="21">
        <f>EXP(-LN(2)/2)*CM112+(1-EXP(-LN(2)/2))/(LN(2)/2)*CG113*CJ113*VLOOKUP('Données projet'!$B$12,Paramètres!$A$1:$I$89,3,0)*0.475*44/12</f>
        <v>1.4312058827788831E-7</v>
      </c>
      <c r="CN113" s="22">
        <f t="shared" si="66"/>
        <v>44.670305534522598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-1.5961632016114892E-13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263.37813242097957</v>
      </c>
      <c r="T114" s="59">
        <f t="shared" si="88"/>
        <v>314.89350816766904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36.424183946492612</v>
      </c>
      <c r="AA114" s="21">
        <f>EXP(-LN(2)/25)*AA113+(1-EXP(-LN(2)/25))/(LN(2)/25)*Calculateur!V114*Calculateur!X114*VLOOKUP('Données projet'!$B$9,Paramètres!$A$1:$I$89,3,0)*0.475*44/12</f>
        <v>10.905069703904825</v>
      </c>
      <c r="AB114" s="21">
        <f>EXP(-LN(2)/2)*AB113+(1-EXP(-LN(2)/2))/(LN(2)/2)*V114*Y114*VLOOKUP('Données projet'!$B$9,Paramètres!$A$1:$I$89,3,0)*0.475*44/12</f>
        <v>4.1578121094724057E-8</v>
      </c>
      <c r="AC114" s="22">
        <f t="shared" si="57"/>
        <v>47.329253691975552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4.5815795601811263E-14</v>
      </c>
      <c r="AK114" s="13">
        <f t="shared" si="89"/>
        <v>7.5374618042508364E-13</v>
      </c>
      <c r="AL114" s="20">
        <f t="shared" si="58"/>
        <v>1.392570441580175E-12</v>
      </c>
      <c r="AM114" s="59">
        <f t="shared" si="59"/>
        <v>293.33333333333468</v>
      </c>
      <c r="AN114" s="59">
        <f ca="1">AVERAGE(OFFSET($AM$3,0,0,'Données projet'!$E$10+1,1))-AVERAGE(OFFSET($H$3,0,0,'Données projet'!$E$10+1,1))</f>
        <v>344.29957955721721</v>
      </c>
      <c r="AO114" s="59">
        <f t="shared" si="90"/>
        <v>297.12790038882594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121.20443298246887</v>
      </c>
      <c r="AV114" s="21">
        <f>EXP(-LN(2)/25)*AV113+(1-EXP(-LN(2)/25))/(LN(2)/25)*Calculateur!AQ114*Calculateur!AS114*VLOOKUP('Données projet'!$B$10,Paramètres!$A$1:$I$89,3,0)*0.475*44/12</f>
        <v>32.274962139445883</v>
      </c>
      <c r="AW114" s="21">
        <f>EXP(-LN(2)/2)*AW113+(1-EXP(-LN(2)/2))/(LN(2)/2)*AQ114*AT114*VLOOKUP('Données projet'!$B$10,Paramètres!$A$1:$I$89,3,0)*0.475*44/12</f>
        <v>1.795734135733925E-3</v>
      </c>
      <c r="AX114" s="21">
        <f t="shared" si="60"/>
        <v>153.48119085605049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2.2737367544323206E-13</v>
      </c>
      <c r="BE114" s="13">
        <f>BD114*VLOOKUP('Données projet'!$B$11,Paramètres!$A$1:$I$89,3,0)*VLOOKUP('Données projet'!$B$11,Paramètres!$A$1:$I$89,5,0)</f>
        <v>1.064108801074326E-13</v>
      </c>
      <c r="BF114" s="13">
        <f t="shared" si="91"/>
        <v>1.5870730813698654E-12</v>
      </c>
      <c r="BG114" s="20">
        <f t="shared" si="61"/>
        <v>2.9494845662396269E-12</v>
      </c>
      <c r="BH114" s="59">
        <f t="shared" si="62"/>
        <v>293.33333333333627</v>
      </c>
      <c r="BI114" s="59">
        <f ca="1">AVERAGE(OFFSET($BH$3,0,0,'Données projet'!$E$11+1,1))-AVERAGE(OFFSET($H$3,0,0,'Données projet'!$E$11+1,1))</f>
        <v>234.83702199169585</v>
      </c>
      <c r="BJ114" s="59">
        <f t="shared" si="92"/>
        <v>248.83008816685089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35.14166663437971</v>
      </c>
      <c r="BQ114" s="21">
        <f>EXP(-LN(2)/25)*BQ113+(1-EXP(-LN(2)/25))/(LN(2)/25)*Calculateur!BL114*Calculateur!BN114*VLOOKUP('Données projet'!$B$11,Paramètres!$A$1:$I$89,3,0)*0.475*44/12</f>
        <v>11.140219684494721</v>
      </c>
      <c r="BR114" s="21">
        <f>EXP(-LN(2)/2)*BR113+(1-EXP(-LN(2)/2))/(LN(2)/2)*BL114*BO114*VLOOKUP('Données projet'!$B$11,Paramètres!$A$1:$I$89,3,0)*0.475*44/12</f>
        <v>1.0715457017509698E-7</v>
      </c>
      <c r="BS114" s="22">
        <f t="shared" si="63"/>
        <v>46.281886426028997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2.2737367544323206E-13</v>
      </c>
      <c r="BZ114" s="13">
        <f>BY114*VLOOKUP('Données projet'!$B$12,Paramètres!$A$1:$I$89,3,0)*VLOOKUP('Données projet'!$B$12,Paramètres!$A$1:$I$89,5,0)</f>
        <v>1.0049916454590858E-13</v>
      </c>
      <c r="CA114" s="13">
        <f t="shared" si="93"/>
        <v>1.5089081593838289E-12</v>
      </c>
      <c r="CB114" s="20">
        <f t="shared" si="64"/>
        <v>2.8030510891776262E-12</v>
      </c>
      <c r="CC114" s="59">
        <f t="shared" si="65"/>
        <v>293.3333333333361</v>
      </c>
      <c r="CD114" s="59">
        <f ca="1">AVERAGE(OFFSET($CC$3,0,0,'Données projet'!$E$12+1,1))-AVERAGE(OFFSET($H$3,0,0,'Données projet'!$E$12+1,1))</f>
        <v>220.26537310502334</v>
      </c>
      <c r="CE114" s="59">
        <f t="shared" si="94"/>
        <v>233.26853625122016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33.189351821358606</v>
      </c>
      <c r="CL114" s="21">
        <f>EXP(-LN(2)/25)*CL113+(1-EXP(-LN(2)/25))/(LN(2)/25)*Calculateur!CG114*Calculateur!CI114*VLOOKUP('Données projet'!$B$12,Paramètres!$A$1:$I$89,3,0)*0.475*44/12</f>
        <v>10.521318590911687</v>
      </c>
      <c r="CM114" s="21">
        <f>EXP(-LN(2)/2)*CM113+(1-EXP(-LN(2)/2))/(LN(2)/2)*CG114*CJ114*VLOOKUP('Données projet'!$B$12,Paramètres!$A$1:$I$89,3,0)*0.475*44/12</f>
        <v>1.0120153849870273E-7</v>
      </c>
      <c r="CN114" s="22">
        <f t="shared" si="66"/>
        <v>43.710670513471825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-1.5961632016114892E-13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263.37813242097957</v>
      </c>
      <c r="T115" s="59">
        <f t="shared" si="88"/>
        <v>314.89350816766904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35.709927915860398</v>
      </c>
      <c r="AA115" s="21">
        <f>EXP(-LN(2)/25)*AA114+(1-EXP(-LN(2)/25))/(LN(2)/25)*Calculateur!V115*Calculateur!X115*VLOOKUP('Données projet'!$B$9,Paramètres!$A$1:$I$89,3,0)*0.475*44/12</f>
        <v>10.606869999378857</v>
      </c>
      <c r="AB115" s="21">
        <f>EXP(-LN(2)/2)*AB114+(1-EXP(-LN(2)/2))/(LN(2)/2)*V115*Y115*VLOOKUP('Données projet'!$B$9,Paramètres!$A$1:$I$89,3,0)*0.475*44/12</f>
        <v>2.9400171375074822E-8</v>
      </c>
      <c r="AC115" s="22">
        <f t="shared" si="57"/>
        <v>46.316797944639426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4.5815795601811263E-14</v>
      </c>
      <c r="AK115" s="13">
        <f t="shared" si="89"/>
        <v>7.5374618042508364E-13</v>
      </c>
      <c r="AL115" s="20">
        <f t="shared" si="58"/>
        <v>1.392570441580175E-12</v>
      </c>
      <c r="AM115" s="59">
        <f t="shared" si="59"/>
        <v>293.33333333333468</v>
      </c>
      <c r="AN115" s="59">
        <f ca="1">AVERAGE(OFFSET($AM$3,0,0,'Données projet'!$E$10+1,1))-AVERAGE(OFFSET($H$3,0,0,'Données projet'!$E$10+1,1))</f>
        <v>344.29957955721721</v>
      </c>
      <c r="AO115" s="59">
        <f t="shared" si="90"/>
        <v>297.12790038882594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118.82768797908706</v>
      </c>
      <c r="AV115" s="21">
        <f>EXP(-LN(2)/25)*AV114+(1-EXP(-LN(2)/25))/(LN(2)/25)*Calculateur!AQ115*Calculateur!AS115*VLOOKUP('Données projet'!$B$10,Paramètres!$A$1:$I$89,3,0)*0.475*44/12</f>
        <v>31.392401602476241</v>
      </c>
      <c r="AW115" s="21">
        <f>EXP(-LN(2)/2)*AW114+(1-EXP(-LN(2)/2))/(LN(2)/2)*AQ115*AT115*VLOOKUP('Données projet'!$B$10,Paramètres!$A$1:$I$89,3,0)*0.475*44/12</f>
        <v>1.2697757845856225E-3</v>
      </c>
      <c r="AX115" s="21">
        <f t="shared" si="60"/>
        <v>150.22135935734786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2.2737367544323206E-13</v>
      </c>
      <c r="BE115" s="13">
        <f>BD115*VLOOKUP('Données projet'!$B$11,Paramètres!$A$1:$I$89,3,0)*VLOOKUP('Données projet'!$B$11,Paramètres!$A$1:$I$89,5,0)</f>
        <v>1.064108801074326E-13</v>
      </c>
      <c r="BF115" s="13">
        <f t="shared" si="91"/>
        <v>1.5870730813698654E-12</v>
      </c>
      <c r="BG115" s="20">
        <f t="shared" si="61"/>
        <v>2.9494845662396269E-12</v>
      </c>
      <c r="BH115" s="59">
        <f t="shared" si="62"/>
        <v>293.33333333333627</v>
      </c>
      <c r="BI115" s="59">
        <f ca="1">AVERAGE(OFFSET($BH$3,0,0,'Données projet'!$E$11+1,1))-AVERAGE(OFFSET($H$3,0,0,'Données projet'!$E$11+1,1))</f>
        <v>234.83702199169585</v>
      </c>
      <c r="BJ115" s="59">
        <f t="shared" si="92"/>
        <v>248.83008816685089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34.452559985979711</v>
      </c>
      <c r="BQ115" s="21">
        <f>EXP(-LN(2)/25)*BQ114+(1-EXP(-LN(2)/25))/(LN(2)/25)*Calculateur!BL115*Calculateur!BN115*VLOOKUP('Données projet'!$B$11,Paramètres!$A$1:$I$89,3,0)*0.475*44/12</f>
        <v>10.835589791383521</v>
      </c>
      <c r="BR115" s="21">
        <f>EXP(-LN(2)/2)*BR114+(1-EXP(-LN(2)/2))/(LN(2)/2)*BL115*BO115*VLOOKUP('Données projet'!$B$11,Paramètres!$A$1:$I$89,3,0)*0.475*44/12</f>
        <v>7.5769723205940851E-8</v>
      </c>
      <c r="BS115" s="22">
        <f t="shared" si="63"/>
        <v>45.288149853132957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2.2737367544323206E-13</v>
      </c>
      <c r="BZ115" s="13">
        <f>BY115*VLOOKUP('Données projet'!$B$12,Paramètres!$A$1:$I$89,3,0)*VLOOKUP('Données projet'!$B$12,Paramètres!$A$1:$I$89,5,0)</f>
        <v>1.0049916454590858E-13</v>
      </c>
      <c r="CA115" s="13">
        <f t="shared" si="93"/>
        <v>1.5089081593838289E-12</v>
      </c>
      <c r="CB115" s="20">
        <f t="shared" si="64"/>
        <v>2.8030510891776262E-12</v>
      </c>
      <c r="CC115" s="59">
        <f t="shared" si="65"/>
        <v>293.3333333333361</v>
      </c>
      <c r="CD115" s="59">
        <f ca="1">AVERAGE(OFFSET($CC$3,0,0,'Données projet'!$E$12+1,1))-AVERAGE(OFFSET($H$3,0,0,'Données projet'!$E$12+1,1))</f>
        <v>220.26537310502334</v>
      </c>
      <c r="CE115" s="59">
        <f t="shared" si="94"/>
        <v>233.26853625122016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32.538528875647494</v>
      </c>
      <c r="CL115" s="21">
        <f>EXP(-LN(2)/25)*CL114+(1-EXP(-LN(2)/25))/(LN(2)/25)*Calculateur!CG115*Calculateur!CI115*VLOOKUP('Données projet'!$B$12,Paramètres!$A$1:$I$89,3,0)*0.475*44/12</f>
        <v>10.233612580751108</v>
      </c>
      <c r="CM115" s="21">
        <f>EXP(-LN(2)/2)*CM114+(1-EXP(-LN(2)/2))/(LN(2)/2)*CG115*CJ115*VLOOKUP('Données projet'!$B$12,Paramètres!$A$1:$I$89,3,0)*0.475*44/12</f>
        <v>7.1560294138944156E-8</v>
      </c>
      <c r="CN115" s="22">
        <f t="shared" si="66"/>
        <v>42.772141527958894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-1.5961632016114892E-13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263.37813242097957</v>
      </c>
      <c r="T116" s="59">
        <f t="shared" si="88"/>
        <v>314.89350816766904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35.009678010335719</v>
      </c>
      <c r="AA116" s="21">
        <f>EXP(-LN(2)/25)*AA115+(1-EXP(-LN(2)/25))/(LN(2)/25)*Calculateur!V116*Calculateur!X116*VLOOKUP('Données projet'!$B$9,Paramètres!$A$1:$I$89,3,0)*0.475*44/12</f>
        <v>10.316824581454791</v>
      </c>
      <c r="AB116" s="21">
        <f>EXP(-LN(2)/2)*AB115+(1-EXP(-LN(2)/2))/(LN(2)/2)*V116*Y116*VLOOKUP('Données projet'!$B$9,Paramètres!$A$1:$I$89,3,0)*0.475*44/12</f>
        <v>2.0789060547362032E-8</v>
      </c>
      <c r="AC116" s="22">
        <f t="shared" si="57"/>
        <v>45.326502612579567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4.5815795601811263E-14</v>
      </c>
      <c r="AK116" s="13">
        <f t="shared" si="89"/>
        <v>7.5374618042508364E-13</v>
      </c>
      <c r="AL116" s="20">
        <f t="shared" si="58"/>
        <v>1.392570441580175E-12</v>
      </c>
      <c r="AM116" s="59">
        <f t="shared" si="59"/>
        <v>293.33333333333468</v>
      </c>
      <c r="AN116" s="59">
        <f ca="1">AVERAGE(OFFSET($AM$3,0,0,'Données projet'!$E$10+1,1))-AVERAGE(OFFSET($H$3,0,0,'Données projet'!$E$10+1,1))</f>
        <v>344.29957955721721</v>
      </c>
      <c r="AO116" s="59">
        <f t="shared" si="90"/>
        <v>297.12790038882594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116.49754949555025</v>
      </c>
      <c r="AV116" s="21">
        <f>EXP(-LN(2)/25)*AV115+(1-EXP(-LN(2)/25))/(LN(2)/25)*Calculateur!AQ116*Calculateur!AS116*VLOOKUP('Données projet'!$B$10,Paramètres!$A$1:$I$89,3,0)*0.475*44/12</f>
        <v>30.533974729801876</v>
      </c>
      <c r="AW116" s="21">
        <f>EXP(-LN(2)/2)*AW115+(1-EXP(-LN(2)/2))/(LN(2)/2)*AQ116*AT116*VLOOKUP('Données projet'!$B$10,Paramètres!$A$1:$I$89,3,0)*0.475*44/12</f>
        <v>8.9786706786696248E-4</v>
      </c>
      <c r="AX116" s="21">
        <f t="shared" si="60"/>
        <v>147.03242209241998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2.2737367544323206E-13</v>
      </c>
      <c r="BE116" s="13">
        <f>BD116*VLOOKUP('Données projet'!$B$11,Paramètres!$A$1:$I$89,3,0)*VLOOKUP('Données projet'!$B$11,Paramètres!$A$1:$I$89,5,0)</f>
        <v>1.064108801074326E-13</v>
      </c>
      <c r="BF116" s="13">
        <f t="shared" si="91"/>
        <v>1.5870730813698654E-12</v>
      </c>
      <c r="BG116" s="20">
        <f t="shared" si="61"/>
        <v>2.9494845662396269E-12</v>
      </c>
      <c r="BH116" s="59">
        <f t="shared" si="62"/>
        <v>293.33333333333627</v>
      </c>
      <c r="BI116" s="59">
        <f ca="1">AVERAGE(OFFSET($BH$3,0,0,'Données projet'!$E$11+1,1))-AVERAGE(OFFSET($H$3,0,0,'Données projet'!$E$11+1,1))</f>
        <v>234.83702199169585</v>
      </c>
      <c r="BJ116" s="59">
        <f t="shared" si="92"/>
        <v>248.83008816685089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33.776966298641284</v>
      </c>
      <c r="BQ116" s="21">
        <f>EXP(-LN(2)/25)*BQ115+(1-EXP(-LN(2)/25))/(LN(2)/25)*Calculateur!BL116*Calculateur!BN116*VLOOKUP('Données projet'!$B$11,Paramètres!$A$1:$I$89,3,0)*0.475*44/12</f>
        <v>10.539290018719237</v>
      </c>
      <c r="BR116" s="21">
        <f>EXP(-LN(2)/2)*BR115+(1-EXP(-LN(2)/2))/(LN(2)/2)*BL116*BO116*VLOOKUP('Données projet'!$B$11,Paramètres!$A$1:$I$89,3,0)*0.475*44/12</f>
        <v>5.357728508754849E-8</v>
      </c>
      <c r="BS116" s="22">
        <f t="shared" si="63"/>
        <v>44.316256370937808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2.2737367544323206E-13</v>
      </c>
      <c r="BZ116" s="13">
        <f>BY116*VLOOKUP('Données projet'!$B$12,Paramètres!$A$1:$I$89,3,0)*VLOOKUP('Données projet'!$B$12,Paramètres!$A$1:$I$89,5,0)</f>
        <v>1.0049916454590858E-13</v>
      </c>
      <c r="CA116" s="13">
        <f t="shared" si="93"/>
        <v>1.5089081593838289E-12</v>
      </c>
      <c r="CB116" s="20">
        <f t="shared" si="64"/>
        <v>2.8030510891776262E-12</v>
      </c>
      <c r="CC116" s="59">
        <f t="shared" si="65"/>
        <v>293.3333333333361</v>
      </c>
      <c r="CD116" s="59">
        <f ca="1">AVERAGE(OFFSET($CC$3,0,0,'Données projet'!$E$12+1,1))-AVERAGE(OFFSET($H$3,0,0,'Données projet'!$E$12+1,1))</f>
        <v>220.26537310502334</v>
      </c>
      <c r="CE116" s="59">
        <f t="shared" si="94"/>
        <v>233.26853625122016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31.900468170938979</v>
      </c>
      <c r="CL116" s="21">
        <f>EXP(-LN(2)/25)*CL115+(1-EXP(-LN(2)/25))/(LN(2)/25)*Calculateur!CG116*Calculateur!CI116*VLOOKUP('Données projet'!$B$12,Paramètres!$A$1:$I$89,3,0)*0.475*44/12</f>
        <v>9.9537739065681734</v>
      </c>
      <c r="CM116" s="21">
        <f>EXP(-LN(2)/2)*CM115+(1-EXP(-LN(2)/2))/(LN(2)/2)*CG116*CJ116*VLOOKUP('Données projet'!$B$12,Paramètres!$A$1:$I$89,3,0)*0.475*44/12</f>
        <v>5.0600769249351366E-8</v>
      </c>
      <c r="CN116" s="22">
        <f t="shared" si="66"/>
        <v>41.85424212810792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-1.5961632016114892E-13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263.37813242097957</v>
      </c>
      <c r="T117" s="59">
        <f t="shared" si="88"/>
        <v>314.89350816766904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34.323159578348111</v>
      </c>
      <c r="AA117" s="21">
        <f>EXP(-LN(2)/25)*AA116+(1-EXP(-LN(2)/25))/(LN(2)/25)*Calculateur!V117*Calculateur!X117*VLOOKUP('Données projet'!$B$9,Paramètres!$A$1:$I$89,3,0)*0.475*44/12</f>
        <v>10.034710470736684</v>
      </c>
      <c r="AB117" s="21">
        <f>EXP(-LN(2)/2)*AB116+(1-EXP(-LN(2)/2))/(LN(2)/2)*V117*Y117*VLOOKUP('Données projet'!$B$9,Paramètres!$A$1:$I$89,3,0)*0.475*44/12</f>
        <v>1.4700085687537414E-8</v>
      </c>
      <c r="AC117" s="22">
        <f t="shared" si="57"/>
        <v>44.35787006378488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4.5815795601811263E-14</v>
      </c>
      <c r="AK117" s="13">
        <f t="shared" si="89"/>
        <v>7.5374618042508364E-13</v>
      </c>
      <c r="AL117" s="20">
        <f t="shared" si="58"/>
        <v>1.392570441580175E-12</v>
      </c>
      <c r="AM117" s="59">
        <f t="shared" si="59"/>
        <v>293.33333333333468</v>
      </c>
      <c r="AN117" s="59">
        <f ca="1">AVERAGE(OFFSET($AM$3,0,0,'Données projet'!$E$10+1,1))-AVERAGE(OFFSET($H$3,0,0,'Données projet'!$E$10+1,1))</f>
        <v>344.29957955721721</v>
      </c>
      <c r="AO117" s="59">
        <f t="shared" si="90"/>
        <v>297.12790038882594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114.21310360643145</v>
      </c>
      <c r="AV117" s="21">
        <f>EXP(-LN(2)/25)*AV116+(1-EXP(-LN(2)/25))/(LN(2)/25)*Calculateur!AQ117*Calculateur!AS117*VLOOKUP('Données projet'!$B$10,Paramètres!$A$1:$I$89,3,0)*0.475*44/12</f>
        <v>29.699021585103498</v>
      </c>
      <c r="AW117" s="21">
        <f>EXP(-LN(2)/2)*AW116+(1-EXP(-LN(2)/2))/(LN(2)/2)*AQ117*AT117*VLOOKUP('Données projet'!$B$10,Paramètres!$A$1:$I$89,3,0)*0.475*44/12</f>
        <v>6.3488789229281125E-4</v>
      </c>
      <c r="AX117" s="21">
        <f t="shared" si="60"/>
        <v>143.91276007942724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2.2737367544323206E-13</v>
      </c>
      <c r="BE117" s="13">
        <f>BD117*VLOOKUP('Données projet'!$B$11,Paramètres!$A$1:$I$89,3,0)*VLOOKUP('Données projet'!$B$11,Paramètres!$A$1:$I$89,5,0)</f>
        <v>1.064108801074326E-13</v>
      </c>
      <c r="BF117" s="13">
        <f t="shared" si="91"/>
        <v>1.5870730813698654E-12</v>
      </c>
      <c r="BG117" s="20">
        <f t="shared" si="61"/>
        <v>2.9494845662396269E-12</v>
      </c>
      <c r="BH117" s="59">
        <f t="shared" si="62"/>
        <v>293.33333333333627</v>
      </c>
      <c r="BI117" s="59">
        <f ca="1">AVERAGE(OFFSET($BH$3,0,0,'Données projet'!$E$11+1,1))-AVERAGE(OFFSET($H$3,0,0,'Données projet'!$E$11+1,1))</f>
        <v>234.83702199169585</v>
      </c>
      <c r="BJ117" s="59">
        <f t="shared" si="92"/>
        <v>248.83008816685089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33.114620591440101</v>
      </c>
      <c r="BQ117" s="21">
        <f>EXP(-LN(2)/25)*BQ116+(1-EXP(-LN(2)/25))/(LN(2)/25)*Calculateur!BL117*Calculateur!BN117*VLOOKUP('Données projet'!$B$11,Paramètres!$A$1:$I$89,3,0)*0.475*44/12</f>
        <v>10.251092578920185</v>
      </c>
      <c r="BR117" s="21">
        <f>EXP(-LN(2)/2)*BR116+(1-EXP(-LN(2)/2))/(LN(2)/2)*BL117*BO117*VLOOKUP('Données projet'!$B$11,Paramètres!$A$1:$I$89,3,0)*0.475*44/12</f>
        <v>3.7884861602970426E-8</v>
      </c>
      <c r="BS117" s="22">
        <f t="shared" si="63"/>
        <v>43.365713208245147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2.2737367544323206E-13</v>
      </c>
      <c r="BZ117" s="13">
        <f>BY117*VLOOKUP('Données projet'!$B$12,Paramètres!$A$1:$I$89,3,0)*VLOOKUP('Données projet'!$B$12,Paramètres!$A$1:$I$89,5,0)</f>
        <v>1.0049916454590858E-13</v>
      </c>
      <c r="CA117" s="13">
        <f t="shared" si="93"/>
        <v>1.5089081593838289E-12</v>
      </c>
      <c r="CB117" s="20">
        <f t="shared" si="64"/>
        <v>2.8030510891776262E-12</v>
      </c>
      <c r="CC117" s="59">
        <f t="shared" si="65"/>
        <v>293.3333333333361</v>
      </c>
      <c r="CD117" s="59">
        <f ca="1">AVERAGE(OFFSET($CC$3,0,0,'Données projet'!$E$12+1,1))-AVERAGE(OFFSET($H$3,0,0,'Données projet'!$E$12+1,1))</f>
        <v>220.26537310502334</v>
      </c>
      <c r="CE117" s="59">
        <f t="shared" si="94"/>
        <v>233.26853625122016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31.274919447471195</v>
      </c>
      <c r="CL117" s="21">
        <f>EXP(-LN(2)/25)*CL116+(1-EXP(-LN(2)/25))/(LN(2)/25)*Calculateur!CG117*Calculateur!CI117*VLOOKUP('Données projet'!$B$12,Paramètres!$A$1:$I$89,3,0)*0.475*44/12</f>
        <v>9.681587435646847</v>
      </c>
      <c r="CM117" s="21">
        <f>EXP(-LN(2)/2)*CM116+(1-EXP(-LN(2)/2))/(LN(2)/2)*CG117*CJ117*VLOOKUP('Données projet'!$B$12,Paramètres!$A$1:$I$89,3,0)*0.475*44/12</f>
        <v>3.5780147069472078E-8</v>
      </c>
      <c r="CN117" s="22">
        <f t="shared" si="66"/>
        <v>40.956506918898185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-1.5961632016114892E-13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263.37813242097957</v>
      </c>
      <c r="T118" s="59">
        <f t="shared" si="88"/>
        <v>314.89350816766904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33.650103354076883</v>
      </c>
      <c r="AA118" s="21">
        <f>EXP(-LN(2)/25)*AA117+(1-EXP(-LN(2)/25))/(LN(2)/25)*Calculateur!V118*Calculateur!X118*VLOOKUP('Données projet'!$B$9,Paramètres!$A$1:$I$89,3,0)*0.475*44/12</f>
        <v>9.7603107852118995</v>
      </c>
      <c r="AB118" s="21">
        <f>EXP(-LN(2)/2)*AB117+(1-EXP(-LN(2)/2))/(LN(2)/2)*V118*Y118*VLOOKUP('Données projet'!$B$9,Paramètres!$A$1:$I$89,3,0)*0.475*44/12</f>
        <v>1.0394530273681018E-8</v>
      </c>
      <c r="AC118" s="22">
        <f t="shared" si="57"/>
        <v>43.410414149683312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4.5815795601811263E-14</v>
      </c>
      <c r="AK118" s="13">
        <f t="shared" si="89"/>
        <v>7.5374618042508364E-13</v>
      </c>
      <c r="AL118" s="20">
        <f t="shared" si="58"/>
        <v>1.392570441580175E-12</v>
      </c>
      <c r="AM118" s="59">
        <f t="shared" si="59"/>
        <v>293.33333333333468</v>
      </c>
      <c r="AN118" s="59">
        <f ca="1">AVERAGE(OFFSET($AM$3,0,0,'Données projet'!$E$10+1,1))-AVERAGE(OFFSET($H$3,0,0,'Données projet'!$E$10+1,1))</f>
        <v>344.29957955721721</v>
      </c>
      <c r="AO118" s="59">
        <f t="shared" si="90"/>
        <v>297.12790038882594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111.97345430782386</v>
      </c>
      <c r="AV118" s="21">
        <f>EXP(-LN(2)/25)*AV117+(1-EXP(-LN(2)/25))/(LN(2)/25)*Calculateur!AQ118*Calculateur!AS118*VLOOKUP('Données projet'!$B$10,Paramètres!$A$1:$I$89,3,0)*0.475*44/12</f>
        <v>28.886900278055176</v>
      </c>
      <c r="AW118" s="21">
        <f>EXP(-LN(2)/2)*AW117+(1-EXP(-LN(2)/2))/(LN(2)/2)*AQ118*AT118*VLOOKUP('Données projet'!$B$10,Paramètres!$A$1:$I$89,3,0)*0.475*44/12</f>
        <v>4.4893353393348124E-4</v>
      </c>
      <c r="AX118" s="21">
        <f t="shared" si="60"/>
        <v>140.86080351941297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2.2737367544323206E-13</v>
      </c>
      <c r="BE118" s="13">
        <f>BD118*VLOOKUP('Données projet'!$B$11,Paramètres!$A$1:$I$89,3,0)*VLOOKUP('Données projet'!$B$11,Paramètres!$A$1:$I$89,5,0)</f>
        <v>1.064108801074326E-13</v>
      </c>
      <c r="BF118" s="13">
        <f t="shared" si="91"/>
        <v>1.5870730813698654E-12</v>
      </c>
      <c r="BG118" s="20">
        <f t="shared" si="61"/>
        <v>2.9494845662396269E-12</v>
      </c>
      <c r="BH118" s="59">
        <f t="shared" si="62"/>
        <v>293.33333333333627</v>
      </c>
      <c r="BI118" s="59">
        <f ca="1">AVERAGE(OFFSET($BH$3,0,0,'Données projet'!$E$11+1,1))-AVERAGE(OFFSET($H$3,0,0,'Données projet'!$E$11+1,1))</f>
        <v>234.83702199169585</v>
      </c>
      <c r="BJ118" s="59">
        <f t="shared" si="92"/>
        <v>248.83008816685089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32.465263079566142</v>
      </c>
      <c r="BQ118" s="21">
        <f>EXP(-LN(2)/25)*BQ117+(1-EXP(-LN(2)/25))/(LN(2)/25)*Calculateur!BL118*Calculateur!BN118*VLOOKUP('Données projet'!$B$11,Paramètres!$A$1:$I$89,3,0)*0.475*44/12</f>
        <v>9.9707759132680831</v>
      </c>
      <c r="BR118" s="21">
        <f>EXP(-LN(2)/2)*BR117+(1-EXP(-LN(2)/2))/(LN(2)/2)*BL118*BO118*VLOOKUP('Données projet'!$B$11,Paramètres!$A$1:$I$89,3,0)*0.475*44/12</f>
        <v>2.6788642543774245E-8</v>
      </c>
      <c r="BS118" s="22">
        <f t="shared" si="63"/>
        <v>42.436039019622868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2.2737367544323206E-13</v>
      </c>
      <c r="BZ118" s="13">
        <f>BY118*VLOOKUP('Données projet'!$B$12,Paramètres!$A$1:$I$89,3,0)*VLOOKUP('Données projet'!$B$12,Paramètres!$A$1:$I$89,5,0)</f>
        <v>1.0049916454590858E-13</v>
      </c>
      <c r="CA118" s="13">
        <f t="shared" si="93"/>
        <v>1.5089081593838289E-12</v>
      </c>
      <c r="CB118" s="20">
        <f t="shared" si="64"/>
        <v>2.8030510891776262E-12</v>
      </c>
      <c r="CC118" s="59">
        <f t="shared" si="65"/>
        <v>293.3333333333361</v>
      </c>
      <c r="CD118" s="59">
        <f ca="1">AVERAGE(OFFSET($CC$3,0,0,'Données projet'!$E$12+1,1))-AVERAGE(OFFSET($H$3,0,0,'Données projet'!$E$12+1,1))</f>
        <v>220.26537310502334</v>
      </c>
      <c r="CE118" s="59">
        <f t="shared" si="94"/>
        <v>233.26853625122016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30.661637352923567</v>
      </c>
      <c r="CL118" s="21">
        <f>EXP(-LN(2)/25)*CL117+(1-EXP(-LN(2)/25))/(LN(2)/25)*Calculateur!CG118*Calculateur!CI118*VLOOKUP('Données projet'!$B$12,Paramètres!$A$1:$I$89,3,0)*0.475*44/12</f>
        <v>9.4168439180865278</v>
      </c>
      <c r="CM118" s="21">
        <f>EXP(-LN(2)/2)*CM117+(1-EXP(-LN(2)/2))/(LN(2)/2)*CG118*CJ118*VLOOKUP('Données projet'!$B$12,Paramètres!$A$1:$I$89,3,0)*0.475*44/12</f>
        <v>2.5300384624675683E-8</v>
      </c>
      <c r="CN118" s="22">
        <f t="shared" si="66"/>
        <v>40.078481296310478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-1.5961632016114892E-13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263.37813242097957</v>
      </c>
      <c r="T119" s="59">
        <f t="shared" si="88"/>
        <v>314.89350816766904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32.990245351839853</v>
      </c>
      <c r="AA119" s="21">
        <f>EXP(-LN(2)/25)*AA118+(1-EXP(-LN(2)/25))/(LN(2)/25)*Calculateur!V119*Calculateur!X119*VLOOKUP('Données projet'!$B$9,Paramètres!$A$1:$I$89,3,0)*0.475*44/12</f>
        <v>9.4934145735178426</v>
      </c>
      <c r="AB119" s="21">
        <f>EXP(-LN(2)/2)*AB118+(1-EXP(-LN(2)/2))/(LN(2)/2)*V119*Y119*VLOOKUP('Données projet'!$B$9,Paramètres!$A$1:$I$89,3,0)*0.475*44/12</f>
        <v>7.3500428437687079E-9</v>
      </c>
      <c r="AC119" s="22">
        <f t="shared" si="57"/>
        <v>42.483659932707745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4.5815795601811263E-14</v>
      </c>
      <c r="AK119" s="13">
        <f t="shared" si="89"/>
        <v>7.5374618042508364E-13</v>
      </c>
      <c r="AL119" s="20">
        <f t="shared" si="58"/>
        <v>1.392570441580175E-12</v>
      </c>
      <c r="AM119" s="59">
        <f t="shared" si="59"/>
        <v>293.33333333333468</v>
      </c>
      <c r="AN119" s="59">
        <f ca="1">AVERAGE(OFFSET($AM$3,0,0,'Données projet'!$E$10+1,1))-AVERAGE(OFFSET($H$3,0,0,'Données projet'!$E$10+1,1))</f>
        <v>344.29957955721721</v>
      </c>
      <c r="AO119" s="59">
        <f t="shared" si="90"/>
        <v>297.12790038882594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109.77772316591079</v>
      </c>
      <c r="AV119" s="21">
        <f>EXP(-LN(2)/25)*AV118+(1-EXP(-LN(2)/25))/(LN(2)/25)*Calculateur!AQ119*Calculateur!AS119*VLOOKUP('Données projet'!$B$10,Paramètres!$A$1:$I$89,3,0)*0.475*44/12</f>
        <v>28.096986470855693</v>
      </c>
      <c r="AW119" s="21">
        <f>EXP(-LN(2)/2)*AW118+(1-EXP(-LN(2)/2))/(LN(2)/2)*AQ119*AT119*VLOOKUP('Données projet'!$B$10,Paramètres!$A$1:$I$89,3,0)*0.475*44/12</f>
        <v>3.1744394614640562E-4</v>
      </c>
      <c r="AX119" s="21">
        <f t="shared" si="60"/>
        <v>137.87502708071264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2.2737367544323206E-13</v>
      </c>
      <c r="BE119" s="13">
        <f>BD119*VLOOKUP('Données projet'!$B$11,Paramètres!$A$1:$I$89,3,0)*VLOOKUP('Données projet'!$B$11,Paramètres!$A$1:$I$89,5,0)</f>
        <v>1.064108801074326E-13</v>
      </c>
      <c r="BF119" s="13">
        <f t="shared" si="91"/>
        <v>1.5870730813698654E-12</v>
      </c>
      <c r="BG119" s="20">
        <f t="shared" si="61"/>
        <v>2.9494845662396269E-12</v>
      </c>
      <c r="BH119" s="59">
        <f t="shared" si="62"/>
        <v>293.33333333333627</v>
      </c>
      <c r="BI119" s="59">
        <f ca="1">AVERAGE(OFFSET($BH$3,0,0,'Données projet'!$E$11+1,1))-AVERAGE(OFFSET($H$3,0,0,'Données projet'!$E$11+1,1))</f>
        <v>234.83702199169585</v>
      </c>
      <c r="BJ119" s="59">
        <f t="shared" si="92"/>
        <v>248.83008816685089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31.828639072431059</v>
      </c>
      <c r="BQ119" s="21">
        <f>EXP(-LN(2)/25)*BQ118+(1-EXP(-LN(2)/25))/(LN(2)/25)*Calculateur!BL119*Calculateur!BN119*VLOOKUP('Données projet'!$B$11,Paramètres!$A$1:$I$89,3,0)*0.475*44/12</f>
        <v>9.6981245215794498</v>
      </c>
      <c r="BR119" s="21">
        <f>EXP(-LN(2)/2)*BR118+(1-EXP(-LN(2)/2))/(LN(2)/2)*BL119*BO119*VLOOKUP('Données projet'!$B$11,Paramètres!$A$1:$I$89,3,0)*0.475*44/12</f>
        <v>1.8942430801485213E-8</v>
      </c>
      <c r="BS119" s="22">
        <f t="shared" si="63"/>
        <v>41.526763612952941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2.2737367544323206E-13</v>
      </c>
      <c r="BZ119" s="13">
        <f>BY119*VLOOKUP('Données projet'!$B$12,Paramètres!$A$1:$I$89,3,0)*VLOOKUP('Données projet'!$B$12,Paramètres!$A$1:$I$89,5,0)</f>
        <v>1.0049916454590858E-13</v>
      </c>
      <c r="CA119" s="13">
        <f t="shared" si="93"/>
        <v>1.5089081593838289E-12</v>
      </c>
      <c r="CB119" s="20">
        <f t="shared" si="64"/>
        <v>2.8030510891776262E-12</v>
      </c>
      <c r="CC119" s="59">
        <f t="shared" si="65"/>
        <v>293.3333333333361</v>
      </c>
      <c r="CD119" s="59">
        <f ca="1">AVERAGE(OFFSET($CC$3,0,0,'Données projet'!$E$12+1,1))-AVERAGE(OFFSET($H$3,0,0,'Données projet'!$E$12+1,1))</f>
        <v>220.26537310502334</v>
      </c>
      <c r="CE119" s="59">
        <f t="shared" si="94"/>
        <v>233.26853625122016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30.060381346184876</v>
      </c>
      <c r="CL119" s="21">
        <f>EXP(-LN(2)/25)*CL118+(1-EXP(-LN(2)/25))/(LN(2)/25)*Calculateur!CG119*Calculateur!CI119*VLOOKUP('Données projet'!$B$12,Paramètres!$A$1:$I$89,3,0)*0.475*44/12</f>
        <v>9.1593398259361525</v>
      </c>
      <c r="CM119" s="21">
        <f>EXP(-LN(2)/2)*CM118+(1-EXP(-LN(2)/2))/(LN(2)/2)*CG119*CJ119*VLOOKUP('Données projet'!$B$12,Paramètres!$A$1:$I$89,3,0)*0.475*44/12</f>
        <v>1.7890073534736039E-8</v>
      </c>
      <c r="CN119" s="22">
        <f t="shared" si="66"/>
        <v>39.2197211900111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-1.5961632016114892E-13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263.37813242097957</v>
      </c>
      <c r="T120" s="59">
        <f t="shared" si="88"/>
        <v>314.89350816766904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32.343326762553048</v>
      </c>
      <c r="AA120" s="21">
        <f>EXP(-LN(2)/25)*AA119+(1-EXP(-LN(2)/25))/(LN(2)/25)*Calculateur!V120*Calculateur!X120*VLOOKUP('Données projet'!$B$9,Paramètres!$A$1:$I$89,3,0)*0.475*44/12</f>
        <v>9.2338166527680219</v>
      </c>
      <c r="AB120" s="21">
        <f>EXP(-LN(2)/2)*AB119+(1-EXP(-LN(2)/2))/(LN(2)/2)*V120*Y120*VLOOKUP('Données projet'!$B$9,Paramètres!$A$1:$I$89,3,0)*0.475*44/12</f>
        <v>5.1972651368405097E-9</v>
      </c>
      <c r="AC120" s="22">
        <f t="shared" si="57"/>
        <v>41.577143420518333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4.5815795601811263E-14</v>
      </c>
      <c r="AK120" s="13">
        <f t="shared" si="89"/>
        <v>7.5374618042508364E-13</v>
      </c>
      <c r="AL120" s="20">
        <f t="shared" si="58"/>
        <v>1.392570441580175E-12</v>
      </c>
      <c r="AM120" s="59">
        <f t="shared" si="59"/>
        <v>293.33333333333468</v>
      </c>
      <c r="AN120" s="59">
        <f ca="1">AVERAGE(OFFSET($AM$3,0,0,'Données projet'!$E$10+1,1))-AVERAGE(OFFSET($H$3,0,0,'Données projet'!$E$10+1,1))</f>
        <v>344.29957955721721</v>
      </c>
      <c r="AO120" s="59">
        <f t="shared" si="90"/>
        <v>297.12790038882594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107.62504897242687</v>
      </c>
      <c r="AV120" s="21">
        <f>EXP(-LN(2)/25)*AV119+(1-EXP(-LN(2)/25))/(LN(2)/25)*Calculateur!AQ120*Calculateur!AS120*VLOOKUP('Données projet'!$B$10,Paramètres!$A$1:$I$89,3,0)*0.475*44/12</f>
        <v>27.328672898253842</v>
      </c>
      <c r="AW120" s="21">
        <f>EXP(-LN(2)/2)*AW119+(1-EXP(-LN(2)/2))/(LN(2)/2)*AQ120*AT120*VLOOKUP('Données projet'!$B$10,Paramètres!$A$1:$I$89,3,0)*0.475*44/12</f>
        <v>2.2446676696674062E-4</v>
      </c>
      <c r="AX120" s="21">
        <f t="shared" si="60"/>
        <v>134.95394633744769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2.2737367544323206E-13</v>
      </c>
      <c r="BE120" s="13">
        <f>BD120*VLOOKUP('Données projet'!$B$11,Paramètres!$A$1:$I$89,3,0)*VLOOKUP('Données projet'!$B$11,Paramètres!$A$1:$I$89,5,0)</f>
        <v>1.064108801074326E-13</v>
      </c>
      <c r="BF120" s="13">
        <f t="shared" si="91"/>
        <v>1.5870730813698654E-12</v>
      </c>
      <c r="BG120" s="20">
        <f t="shared" si="61"/>
        <v>2.9494845662396269E-12</v>
      </c>
      <c r="BH120" s="59">
        <f t="shared" si="62"/>
        <v>293.33333333333627</v>
      </c>
      <c r="BI120" s="59">
        <f ca="1">AVERAGE(OFFSET($BH$3,0,0,'Données projet'!$E$11+1,1))-AVERAGE(OFFSET($H$3,0,0,'Données projet'!$E$11+1,1))</f>
        <v>234.83702199169585</v>
      </c>
      <c r="BJ120" s="59">
        <f t="shared" si="92"/>
        <v>248.83008816685089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31.204498873773591</v>
      </c>
      <c r="BQ120" s="21">
        <f>EXP(-LN(2)/25)*BQ119+(1-EXP(-LN(2)/25))/(LN(2)/25)*Calculateur!BL120*Calculateur!BN120*VLOOKUP('Données projet'!$B$11,Paramètres!$A$1:$I$89,3,0)*0.475*44/12</f>
        <v>9.4329287965346573</v>
      </c>
      <c r="BR120" s="21">
        <f>EXP(-LN(2)/2)*BR119+(1-EXP(-LN(2)/2))/(LN(2)/2)*BL120*BO120*VLOOKUP('Données projet'!$B$11,Paramètres!$A$1:$I$89,3,0)*0.475*44/12</f>
        <v>1.3394321271887123E-8</v>
      </c>
      <c r="BS120" s="22">
        <f t="shared" si="63"/>
        <v>40.637427683702569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2.2737367544323206E-13</v>
      </c>
      <c r="BZ120" s="13">
        <f>BY120*VLOOKUP('Données projet'!$B$12,Paramètres!$A$1:$I$89,3,0)*VLOOKUP('Données projet'!$B$12,Paramètres!$A$1:$I$89,5,0)</f>
        <v>1.0049916454590858E-13</v>
      </c>
      <c r="CA120" s="13">
        <f t="shared" si="93"/>
        <v>1.5089081593838289E-12</v>
      </c>
      <c r="CB120" s="20">
        <f t="shared" si="64"/>
        <v>2.8030510891776262E-12</v>
      </c>
      <c r="CC120" s="59">
        <f t="shared" si="65"/>
        <v>293.3333333333361</v>
      </c>
      <c r="CD120" s="59">
        <f ca="1">AVERAGE(OFFSET($CC$3,0,0,'Données projet'!$E$12+1,1))-AVERAGE(OFFSET($H$3,0,0,'Données projet'!$E$12+1,1))</f>
        <v>220.26537310502334</v>
      </c>
      <c r="CE120" s="59">
        <f t="shared" si="94"/>
        <v>233.26853625122016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29.470915603008379</v>
      </c>
      <c r="CL120" s="21">
        <f>EXP(-LN(2)/25)*CL119+(1-EXP(-LN(2)/25))/(LN(2)/25)*Calculateur!CG120*Calculateur!CI120*VLOOKUP('Données projet'!$B$12,Paramètres!$A$1:$I$89,3,0)*0.475*44/12</f>
        <v>8.9088771967271807</v>
      </c>
      <c r="CM120" s="21">
        <f>EXP(-LN(2)/2)*CM119+(1-EXP(-LN(2)/2))/(LN(2)/2)*CG120*CJ120*VLOOKUP('Données projet'!$B$12,Paramètres!$A$1:$I$89,3,0)*0.475*44/12</f>
        <v>1.2650192312337841E-8</v>
      </c>
      <c r="CN120" s="22">
        <f t="shared" si="66"/>
        <v>38.379792812385752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-1.5961632016114892E-13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263.37813242097957</v>
      </c>
      <c r="T121" s="59">
        <f t="shared" si="88"/>
        <v>314.89350816766904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31.709093852220782</v>
      </c>
      <c r="AA121" s="21">
        <f>EXP(-LN(2)/25)*AA120+(1-EXP(-LN(2)/25))/(LN(2)/25)*Calculateur!V121*Calculateur!X121*VLOOKUP('Données projet'!$B$9,Paramètres!$A$1:$I$89,3,0)*0.475*44/12</f>
        <v>8.9813174508127673</v>
      </c>
      <c r="AB121" s="21">
        <f>EXP(-LN(2)/2)*AB120+(1-EXP(-LN(2)/2))/(LN(2)/2)*V121*Y121*VLOOKUP('Données projet'!$B$9,Paramètres!$A$1:$I$89,3,0)*0.475*44/12</f>
        <v>3.6750214218843544E-9</v>
      </c>
      <c r="AC121" s="22">
        <f t="shared" si="57"/>
        <v>40.690411306708569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4.5815795601811263E-14</v>
      </c>
      <c r="AK121" s="13">
        <f t="shared" si="89"/>
        <v>7.5374618042508364E-13</v>
      </c>
      <c r="AL121" s="20">
        <f t="shared" si="58"/>
        <v>1.392570441580175E-12</v>
      </c>
      <c r="AM121" s="59">
        <f t="shared" si="59"/>
        <v>293.33333333333468</v>
      </c>
      <c r="AN121" s="59">
        <f ca="1">AVERAGE(OFFSET($AM$3,0,0,'Données projet'!$E$10+1,1))-AVERAGE(OFFSET($H$3,0,0,'Données projet'!$E$10+1,1))</f>
        <v>344.29957955721721</v>
      </c>
      <c r="AO121" s="59">
        <f t="shared" si="90"/>
        <v>297.12790038882594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105.51458740687556</v>
      </c>
      <c r="AV121" s="21">
        <f>EXP(-LN(2)/25)*AV120+(1-EXP(-LN(2)/25))/(LN(2)/25)*Calculateur!AQ121*Calculateur!AS121*VLOOKUP('Données projet'!$B$10,Paramètres!$A$1:$I$89,3,0)*0.475*44/12</f>
        <v>26.581368900698642</v>
      </c>
      <c r="AW121" s="21">
        <f>EXP(-LN(2)/2)*AW120+(1-EXP(-LN(2)/2))/(LN(2)/2)*AQ121*AT121*VLOOKUP('Données projet'!$B$10,Paramètres!$A$1:$I$89,3,0)*0.475*44/12</f>
        <v>1.5872197307320281E-4</v>
      </c>
      <c r="AX121" s="21">
        <f t="shared" si="60"/>
        <v>132.09611502954726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2.2737367544323206E-13</v>
      </c>
      <c r="BE121" s="13">
        <f>BD121*VLOOKUP('Données projet'!$B$11,Paramètres!$A$1:$I$89,3,0)*VLOOKUP('Données projet'!$B$11,Paramètres!$A$1:$I$89,5,0)</f>
        <v>1.064108801074326E-13</v>
      </c>
      <c r="BF121" s="13">
        <f t="shared" si="91"/>
        <v>1.5870730813698654E-12</v>
      </c>
      <c r="BG121" s="20">
        <f t="shared" si="61"/>
        <v>2.9494845662396269E-12</v>
      </c>
      <c r="BH121" s="59">
        <f t="shared" si="62"/>
        <v>293.33333333333627</v>
      </c>
      <c r="BI121" s="59">
        <f ca="1">AVERAGE(OFFSET($BH$3,0,0,'Données projet'!$E$11+1,1))-AVERAGE(OFFSET($H$3,0,0,'Données projet'!$E$11+1,1))</f>
        <v>234.83702199169585</v>
      </c>
      <c r="BJ121" s="59">
        <f t="shared" si="92"/>
        <v>248.83008816685089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30.592597683723866</v>
      </c>
      <c r="BQ121" s="21">
        <f>EXP(-LN(2)/25)*BQ120+(1-EXP(-LN(2)/25))/(LN(2)/25)*Calculateur!BL121*Calculateur!BN121*VLOOKUP('Données projet'!$B$11,Paramètres!$A$1:$I$89,3,0)*0.475*44/12</f>
        <v>9.1749848625372508</v>
      </c>
      <c r="BR121" s="21">
        <f>EXP(-LN(2)/2)*BR120+(1-EXP(-LN(2)/2))/(LN(2)/2)*BL121*BO121*VLOOKUP('Données projet'!$B$11,Paramètres!$A$1:$I$89,3,0)*0.475*44/12</f>
        <v>9.4712154007426064E-9</v>
      </c>
      <c r="BS121" s="22">
        <f t="shared" si="63"/>
        <v>39.767582555732332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2.2737367544323206E-13</v>
      </c>
      <c r="BZ121" s="13">
        <f>BY121*VLOOKUP('Données projet'!$B$12,Paramètres!$A$1:$I$89,3,0)*VLOOKUP('Données projet'!$B$12,Paramètres!$A$1:$I$89,5,0)</f>
        <v>1.0049916454590858E-13</v>
      </c>
      <c r="CA121" s="13">
        <f t="shared" si="93"/>
        <v>1.5089081593838289E-12</v>
      </c>
      <c r="CB121" s="20">
        <f t="shared" si="64"/>
        <v>2.8030510891776262E-12</v>
      </c>
      <c r="CC121" s="59">
        <f t="shared" si="65"/>
        <v>293.3333333333361</v>
      </c>
      <c r="CD121" s="59">
        <f ca="1">AVERAGE(OFFSET($CC$3,0,0,'Données projet'!$E$12+1,1))-AVERAGE(OFFSET($H$3,0,0,'Données projet'!$E$12+1,1))</f>
        <v>220.26537310502334</v>
      </c>
      <c r="CE121" s="59">
        <f t="shared" si="94"/>
        <v>233.26853625122016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28.89300892351697</v>
      </c>
      <c r="CL121" s="21">
        <f>EXP(-LN(2)/25)*CL120+(1-EXP(-LN(2)/25))/(LN(2)/25)*Calculateur!CG121*Calculateur!CI121*VLOOKUP('Données projet'!$B$12,Paramètres!$A$1:$I$89,3,0)*0.475*44/12</f>
        <v>8.6652634812851854</v>
      </c>
      <c r="CM121" s="21">
        <f>EXP(-LN(2)/2)*CM120+(1-EXP(-LN(2)/2))/(LN(2)/2)*CG121*CJ121*VLOOKUP('Données projet'!$B$12,Paramètres!$A$1:$I$89,3,0)*0.475*44/12</f>
        <v>8.9450367673680195E-9</v>
      </c>
      <c r="CN121" s="22">
        <f t="shared" si="66"/>
        <v>37.55827241374719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-1.5961632016114892E-13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263.37813242097957</v>
      </c>
      <c r="T122" s="59">
        <f t="shared" si="88"/>
        <v>314.89350816766904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31.087297862416253</v>
      </c>
      <c r="AA122" s="21">
        <f>EXP(-LN(2)/25)*AA121+(1-EXP(-LN(2)/25))/(LN(2)/25)*Calculateur!V122*Calculateur!X122*VLOOKUP('Données projet'!$B$9,Paramètres!$A$1:$I$89,3,0)*0.475*44/12</f>
        <v>8.7357228528133337</v>
      </c>
      <c r="AB122" s="21">
        <f>EXP(-LN(2)/2)*AB121+(1-EXP(-LN(2)/2))/(LN(2)/2)*V122*Y122*VLOOKUP('Données projet'!$B$9,Paramètres!$A$1:$I$89,3,0)*0.475*44/12</f>
        <v>2.5986325684202552E-9</v>
      </c>
      <c r="AC122" s="22">
        <f t="shared" si="57"/>
        <v>39.823020717828221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4.5815795601811263E-14</v>
      </c>
      <c r="AK122" s="13">
        <f t="shared" si="89"/>
        <v>7.5374618042508364E-13</v>
      </c>
      <c r="AL122" s="20">
        <f t="shared" si="58"/>
        <v>1.392570441580175E-12</v>
      </c>
      <c r="AM122" s="59">
        <f t="shared" si="59"/>
        <v>293.33333333333468</v>
      </c>
      <c r="AN122" s="59">
        <f ca="1">AVERAGE(OFFSET($AM$3,0,0,'Données projet'!$E$10+1,1))-AVERAGE(OFFSET($H$3,0,0,'Données projet'!$E$10+1,1))</f>
        <v>344.29957955721721</v>
      </c>
      <c r="AO122" s="59">
        <f t="shared" si="90"/>
        <v>297.12790038882594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103.44551070537027</v>
      </c>
      <c r="AV122" s="21">
        <f>EXP(-LN(2)/25)*AV121+(1-EXP(-LN(2)/25))/(LN(2)/25)*Calculateur!AQ122*Calculateur!AS122*VLOOKUP('Données projet'!$B$10,Paramètres!$A$1:$I$89,3,0)*0.475*44/12</f>
        <v>25.854499970255599</v>
      </c>
      <c r="AW122" s="21">
        <f>EXP(-LN(2)/2)*AW121+(1-EXP(-LN(2)/2))/(LN(2)/2)*AQ122*AT122*VLOOKUP('Données projet'!$B$10,Paramètres!$A$1:$I$89,3,0)*0.475*44/12</f>
        <v>1.1223338348337031E-4</v>
      </c>
      <c r="AX122" s="21">
        <f t="shared" si="60"/>
        <v>129.30012290900933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2.2737367544323206E-13</v>
      </c>
      <c r="BE122" s="13">
        <f>BD122*VLOOKUP('Données projet'!$B$11,Paramètres!$A$1:$I$89,3,0)*VLOOKUP('Données projet'!$B$11,Paramètres!$A$1:$I$89,5,0)</f>
        <v>1.064108801074326E-13</v>
      </c>
      <c r="BF122" s="13">
        <f t="shared" si="91"/>
        <v>1.5870730813698654E-12</v>
      </c>
      <c r="BG122" s="20">
        <f t="shared" si="61"/>
        <v>2.9494845662396269E-12</v>
      </c>
      <c r="BH122" s="59">
        <f t="shared" si="62"/>
        <v>293.33333333333627</v>
      </c>
      <c r="BI122" s="59">
        <f ca="1">AVERAGE(OFFSET($BH$3,0,0,'Données projet'!$E$11+1,1))-AVERAGE(OFFSET($H$3,0,0,'Données projet'!$E$11+1,1))</f>
        <v>234.83702199169585</v>
      </c>
      <c r="BJ122" s="59">
        <f t="shared" si="92"/>
        <v>248.83008816685089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29.992695502788141</v>
      </c>
      <c r="BQ122" s="21">
        <f>EXP(-LN(2)/25)*BQ121+(1-EXP(-LN(2)/25))/(LN(2)/25)*Calculateur!BL122*Calculateur!BN122*VLOOKUP('Données projet'!$B$11,Paramètres!$A$1:$I$89,3,0)*0.475*44/12</f>
        <v>8.9240944189796849</v>
      </c>
      <c r="BR122" s="21">
        <f>EXP(-LN(2)/2)*BR121+(1-EXP(-LN(2)/2))/(LN(2)/2)*BL122*BO122*VLOOKUP('Données projet'!$B$11,Paramètres!$A$1:$I$89,3,0)*0.475*44/12</f>
        <v>6.6971606359435613E-9</v>
      </c>
      <c r="BS122" s="22">
        <f t="shared" si="63"/>
        <v>38.916789928464993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2.2737367544323206E-13</v>
      </c>
      <c r="BZ122" s="13">
        <f>BY122*VLOOKUP('Données projet'!$B$12,Paramètres!$A$1:$I$89,3,0)*VLOOKUP('Données projet'!$B$12,Paramètres!$A$1:$I$89,5,0)</f>
        <v>1.0049916454590858E-13</v>
      </c>
      <c r="CA122" s="13">
        <f t="shared" si="93"/>
        <v>1.5089081593838289E-12</v>
      </c>
      <c r="CB122" s="20">
        <f t="shared" si="64"/>
        <v>2.8030510891776262E-12</v>
      </c>
      <c r="CC122" s="59">
        <f t="shared" si="65"/>
        <v>293.3333333333361</v>
      </c>
      <c r="CD122" s="59">
        <f ca="1">AVERAGE(OFFSET($CC$3,0,0,'Données projet'!$E$12+1,1))-AVERAGE(OFFSET($H$3,0,0,'Données projet'!$E$12+1,1))</f>
        <v>220.26537310502334</v>
      </c>
      <c r="CE122" s="59">
        <f t="shared" si="94"/>
        <v>233.26853625122016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28.32643464152212</v>
      </c>
      <c r="CL122" s="21">
        <f>EXP(-LN(2)/25)*CL121+(1-EXP(-LN(2)/25))/(LN(2)/25)*Calculateur!CG122*Calculateur!CI122*VLOOKUP('Données projet'!$B$12,Paramètres!$A$1:$I$89,3,0)*0.475*44/12</f>
        <v>8.4283113957030409</v>
      </c>
      <c r="CM122" s="21">
        <f>EXP(-LN(2)/2)*CM121+(1-EXP(-LN(2)/2))/(LN(2)/2)*CG122*CJ122*VLOOKUP('Données projet'!$B$12,Paramètres!$A$1:$I$89,3,0)*0.475*44/12</f>
        <v>6.3250961561689207E-9</v>
      </c>
      <c r="CN122" s="22">
        <f t="shared" si="66"/>
        <v>36.754746043550256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-1.5961632016114892E-13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263.37813242097957</v>
      </c>
      <c r="T123" s="59">
        <f t="shared" si="88"/>
        <v>314.89350816766904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30.477694912713687</v>
      </c>
      <c r="AA123" s="21">
        <f>EXP(-LN(2)/25)*AA122+(1-EXP(-LN(2)/25))/(LN(2)/25)*Calculateur!V123*Calculateur!X123*VLOOKUP('Données projet'!$B$9,Paramètres!$A$1:$I$89,3,0)*0.475*44/12</f>
        <v>8.4968440520114541</v>
      </c>
      <c r="AB123" s="21">
        <f>EXP(-LN(2)/2)*AB122+(1-EXP(-LN(2)/2))/(LN(2)/2)*V123*Y123*VLOOKUP('Données projet'!$B$9,Paramètres!$A$1:$I$89,3,0)*0.475*44/12</f>
        <v>1.8375107109421776E-9</v>
      </c>
      <c r="AC123" s="22">
        <f t="shared" si="57"/>
        <v>38.974538966562655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4.5815795601811263E-14</v>
      </c>
      <c r="AK123" s="13">
        <f t="shared" si="89"/>
        <v>7.5374618042508364E-13</v>
      </c>
      <c r="AL123" s="20">
        <f t="shared" si="58"/>
        <v>1.392570441580175E-12</v>
      </c>
      <c r="AM123" s="59">
        <f t="shared" si="59"/>
        <v>293.33333333333468</v>
      </c>
      <c r="AN123" s="59">
        <f ca="1">AVERAGE(OFFSET($AM$3,0,0,'Données projet'!$E$10+1,1))-AVERAGE(OFFSET($H$3,0,0,'Données projet'!$E$10+1,1))</f>
        <v>344.29957955721721</v>
      </c>
      <c r="AO123" s="59">
        <f t="shared" si="90"/>
        <v>297.12790038882594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101.41700733596932</v>
      </c>
      <c r="AV123" s="21">
        <f>EXP(-LN(2)/25)*AV122+(1-EXP(-LN(2)/25))/(LN(2)/25)*Calculateur!AQ123*Calculateur!AS123*VLOOKUP('Données projet'!$B$10,Paramètres!$A$1:$I$89,3,0)*0.475*44/12</f>
        <v>25.147507308939897</v>
      </c>
      <c r="AW123" s="21">
        <f>EXP(-LN(2)/2)*AW122+(1-EXP(-LN(2)/2))/(LN(2)/2)*AQ123*AT123*VLOOKUP('Données projet'!$B$10,Paramètres!$A$1:$I$89,3,0)*0.475*44/12</f>
        <v>7.9360986536601406E-5</v>
      </c>
      <c r="AX123" s="21">
        <f t="shared" si="60"/>
        <v>126.56459400589574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2.2737367544323206E-13</v>
      </c>
      <c r="BE123" s="13">
        <f>BD123*VLOOKUP('Données projet'!$B$11,Paramètres!$A$1:$I$89,3,0)*VLOOKUP('Données projet'!$B$11,Paramètres!$A$1:$I$89,5,0)</f>
        <v>1.064108801074326E-13</v>
      </c>
      <c r="BF123" s="13">
        <f t="shared" si="91"/>
        <v>1.5870730813698654E-12</v>
      </c>
      <c r="BG123" s="20">
        <f t="shared" si="61"/>
        <v>2.9494845662396269E-12</v>
      </c>
      <c r="BH123" s="59">
        <f t="shared" si="62"/>
        <v>293.33333333333627</v>
      </c>
      <c r="BI123" s="59">
        <f ca="1">AVERAGE(OFFSET($BH$3,0,0,'Données projet'!$E$11+1,1))-AVERAGE(OFFSET($H$3,0,0,'Données projet'!$E$11+1,1))</f>
        <v>234.83702199169585</v>
      </c>
      <c r="BJ123" s="59">
        <f t="shared" si="92"/>
        <v>248.83008816685089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29.404557037716366</v>
      </c>
      <c r="BQ123" s="21">
        <f>EXP(-LN(2)/25)*BQ122+(1-EXP(-LN(2)/25))/(LN(2)/25)*Calculateur!BL123*Calculateur!BN123*VLOOKUP('Données projet'!$B$11,Paramètres!$A$1:$I$89,3,0)*0.475*44/12</f>
        <v>8.6800645877949556</v>
      </c>
      <c r="BR123" s="21">
        <f>EXP(-LN(2)/2)*BR122+(1-EXP(-LN(2)/2))/(LN(2)/2)*BL123*BO123*VLOOKUP('Données projet'!$B$11,Paramètres!$A$1:$I$89,3,0)*0.475*44/12</f>
        <v>4.7356077003713032E-9</v>
      </c>
      <c r="BS123" s="22">
        <f t="shared" si="63"/>
        <v>38.084621630246929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2.2737367544323206E-13</v>
      </c>
      <c r="BZ123" s="13">
        <f>BY123*VLOOKUP('Données projet'!$B$12,Paramètres!$A$1:$I$89,3,0)*VLOOKUP('Données projet'!$B$12,Paramètres!$A$1:$I$89,5,0)</f>
        <v>1.0049916454590858E-13</v>
      </c>
      <c r="CA123" s="13">
        <f t="shared" si="93"/>
        <v>1.5089081593838289E-12</v>
      </c>
      <c r="CB123" s="20">
        <f t="shared" si="64"/>
        <v>2.8030510891776262E-12</v>
      </c>
      <c r="CC123" s="59">
        <f t="shared" si="65"/>
        <v>293.3333333333361</v>
      </c>
      <c r="CD123" s="59">
        <f ca="1">AVERAGE(OFFSET($CC$3,0,0,'Données projet'!$E$12+1,1))-AVERAGE(OFFSET($H$3,0,0,'Données projet'!$E$12+1,1))</f>
        <v>220.26537310502334</v>
      </c>
      <c r="CE123" s="59">
        <f t="shared" si="94"/>
        <v>233.26853625122016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27.770970535621</v>
      </c>
      <c r="CL123" s="21">
        <f>EXP(-LN(2)/25)*CL122+(1-EXP(-LN(2)/25))/(LN(2)/25)*Calculateur!CG123*Calculateur!CI123*VLOOKUP('Données projet'!$B$12,Paramètres!$A$1:$I$89,3,0)*0.475*44/12</f>
        <v>8.1978387773619072</v>
      </c>
      <c r="CM123" s="21">
        <f>EXP(-LN(2)/2)*CM122+(1-EXP(-LN(2)/2))/(LN(2)/2)*CG123*CJ123*VLOOKUP('Données projet'!$B$12,Paramètres!$A$1:$I$89,3,0)*0.475*44/12</f>
        <v>4.4725183836840097E-9</v>
      </c>
      <c r="CN123" s="22">
        <f t="shared" si="66"/>
        <v>35.968809317455424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-1.5961632016114892E-13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263.37813242097957</v>
      </c>
      <c r="T124" s="59">
        <f t="shared" si="88"/>
        <v>314.89350816766904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29.880045905033704</v>
      </c>
      <c r="AA124" s="21">
        <f>EXP(-LN(2)/25)*AA123+(1-EXP(-LN(2)/25))/(LN(2)/25)*Calculateur!V124*Calculateur!X124*VLOOKUP('Données projet'!$B$9,Paramètres!$A$1:$I$89,3,0)*0.475*44/12</f>
        <v>8.2644974045795916</v>
      </c>
      <c r="AB124" s="21">
        <f>EXP(-LN(2)/2)*AB123+(1-EXP(-LN(2)/2))/(LN(2)/2)*V124*Y124*VLOOKUP('Données projet'!$B$9,Paramètres!$A$1:$I$89,3,0)*0.475*44/12</f>
        <v>1.2993162842101278E-9</v>
      </c>
      <c r="AC124" s="22">
        <f t="shared" si="57"/>
        <v>38.144543310912617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4.5815795601811263E-14</v>
      </c>
      <c r="AK124" s="13">
        <f t="shared" si="89"/>
        <v>7.5374618042508364E-13</v>
      </c>
      <c r="AL124" s="20">
        <f t="shared" si="58"/>
        <v>1.392570441580175E-12</v>
      </c>
      <c r="AM124" s="59">
        <f t="shared" si="59"/>
        <v>293.33333333333468</v>
      </c>
      <c r="AN124" s="59">
        <f ca="1">AVERAGE(OFFSET($AM$3,0,0,'Données projet'!$E$10+1,1))-AVERAGE(OFFSET($H$3,0,0,'Données projet'!$E$10+1,1))</f>
        <v>344.29957955721721</v>
      </c>
      <c r="AO124" s="59">
        <f t="shared" si="90"/>
        <v>297.12790038882594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99.428281680377438</v>
      </c>
      <c r="AV124" s="21">
        <f>EXP(-LN(2)/25)*AV123+(1-EXP(-LN(2)/25))/(LN(2)/25)*Calculateur!AQ124*Calculateur!AS124*VLOOKUP('Données projet'!$B$10,Paramètres!$A$1:$I$89,3,0)*0.475*44/12</f>
        <v>24.459847399127</v>
      </c>
      <c r="AW124" s="21">
        <f>EXP(-LN(2)/2)*AW123+(1-EXP(-LN(2)/2))/(LN(2)/2)*AQ124*AT124*VLOOKUP('Données projet'!$B$10,Paramètres!$A$1:$I$89,3,0)*0.475*44/12</f>
        <v>5.6116691741685155E-5</v>
      </c>
      <c r="AX124" s="21">
        <f t="shared" si="60"/>
        <v>123.88818519619618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2.2737367544323206E-13</v>
      </c>
      <c r="BE124" s="13">
        <f>BD124*VLOOKUP('Données projet'!$B$11,Paramètres!$A$1:$I$89,3,0)*VLOOKUP('Données projet'!$B$11,Paramètres!$A$1:$I$89,5,0)</f>
        <v>1.064108801074326E-13</v>
      </c>
      <c r="BF124" s="13">
        <f t="shared" si="91"/>
        <v>1.5870730813698654E-12</v>
      </c>
      <c r="BG124" s="20">
        <f t="shared" si="61"/>
        <v>2.9494845662396269E-12</v>
      </c>
      <c r="BH124" s="59">
        <f t="shared" si="62"/>
        <v>293.33333333333627</v>
      </c>
      <c r="BI124" s="59">
        <f ca="1">AVERAGE(OFFSET($BH$3,0,0,'Données projet'!$E$11+1,1))-AVERAGE(OFFSET($H$3,0,0,'Données projet'!$E$11+1,1))</f>
        <v>234.83702199169585</v>
      </c>
      <c r="BJ124" s="59">
        <f t="shared" si="92"/>
        <v>248.83008816685089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28.827951609215607</v>
      </c>
      <c r="BQ124" s="21">
        <f>EXP(-LN(2)/25)*BQ123+(1-EXP(-LN(2)/25))/(LN(2)/25)*Calculateur!BL124*Calculateur!BN124*VLOOKUP('Données projet'!$B$11,Paramètres!$A$1:$I$89,3,0)*0.475*44/12</f>
        <v>8.4427077651769444</v>
      </c>
      <c r="BR124" s="21">
        <f>EXP(-LN(2)/2)*BR123+(1-EXP(-LN(2)/2))/(LN(2)/2)*BL124*BO124*VLOOKUP('Données projet'!$B$11,Paramètres!$A$1:$I$89,3,0)*0.475*44/12</f>
        <v>3.3485803179717807E-9</v>
      </c>
      <c r="BS124" s="22">
        <f t="shared" si="63"/>
        <v>37.270659377741133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2.2737367544323206E-13</v>
      </c>
      <c r="BZ124" s="13">
        <f>BY124*VLOOKUP('Données projet'!$B$12,Paramètres!$A$1:$I$89,3,0)*VLOOKUP('Données projet'!$B$12,Paramètres!$A$1:$I$89,5,0)</f>
        <v>1.0049916454590858E-13</v>
      </c>
      <c r="CA124" s="13">
        <f t="shared" si="93"/>
        <v>1.5089081593838289E-12</v>
      </c>
      <c r="CB124" s="20">
        <f t="shared" si="64"/>
        <v>2.8030510891776262E-12</v>
      </c>
      <c r="CC124" s="59">
        <f t="shared" si="65"/>
        <v>293.3333333333361</v>
      </c>
      <c r="CD124" s="59">
        <f ca="1">AVERAGE(OFFSET($CC$3,0,0,'Données projet'!$E$12+1,1))-AVERAGE(OFFSET($H$3,0,0,'Données projet'!$E$12+1,1))</f>
        <v>220.26537310502334</v>
      </c>
      <c r="CE124" s="59">
        <f t="shared" si="94"/>
        <v>233.26853625122016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27.226398742036949</v>
      </c>
      <c r="CL124" s="21">
        <f>EXP(-LN(2)/25)*CL123+(1-EXP(-LN(2)/25))/(LN(2)/25)*Calculateur!CG124*Calculateur!CI124*VLOOKUP('Données projet'!$B$12,Paramètres!$A$1:$I$89,3,0)*0.475*44/12</f>
        <v>7.9736684448893413</v>
      </c>
      <c r="CM124" s="21">
        <f>EXP(-LN(2)/2)*CM123+(1-EXP(-LN(2)/2))/(LN(2)/2)*CG124*CJ124*VLOOKUP('Données projet'!$B$12,Paramètres!$A$1:$I$89,3,0)*0.475*44/12</f>
        <v>3.1625480780844604E-9</v>
      </c>
      <c r="CN124" s="22">
        <f t="shared" si="66"/>
        <v>35.200067190088838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-1.5961632016114892E-13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263.37813242097957</v>
      </c>
      <c r="T125" s="59">
        <f t="shared" si="88"/>
        <v>314.89350816766904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29.294116429864424</v>
      </c>
      <c r="AA125" s="21">
        <f>EXP(-LN(2)/25)*AA124+(1-EXP(-LN(2)/25))/(LN(2)/25)*Calculateur!V125*Calculateur!X125*VLOOKUP('Données projet'!$B$9,Paramètres!$A$1:$I$89,3,0)*0.475*44/12</f>
        <v>8.0385042884403326</v>
      </c>
      <c r="AB125" s="21">
        <f>EXP(-LN(2)/2)*AB124+(1-EXP(-LN(2)/2))/(LN(2)/2)*V125*Y125*VLOOKUP('Données projet'!$B$9,Paramètres!$A$1:$I$89,3,0)*0.475*44/12</f>
        <v>9.187553554710889E-10</v>
      </c>
      <c r="AC125" s="22">
        <f t="shared" si="57"/>
        <v>37.332620719223506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4.5815795601811263E-14</v>
      </c>
      <c r="AK125" s="13">
        <f t="shared" si="89"/>
        <v>7.5374618042508364E-13</v>
      </c>
      <c r="AL125" s="20">
        <f t="shared" si="58"/>
        <v>1.392570441580175E-12</v>
      </c>
      <c r="AM125" s="59">
        <f t="shared" si="59"/>
        <v>293.33333333333468</v>
      </c>
      <c r="AN125" s="59">
        <f ca="1">AVERAGE(OFFSET($AM$3,0,0,'Données projet'!$E$10+1,1))-AVERAGE(OFFSET($H$3,0,0,'Données projet'!$E$10+1,1))</f>
        <v>344.29957955721721</v>
      </c>
      <c r="AO125" s="59">
        <f t="shared" si="90"/>
        <v>297.12790038882594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97.478553721888844</v>
      </c>
      <c r="AV125" s="21">
        <f>EXP(-LN(2)/25)*AV124+(1-EXP(-LN(2)/25))/(LN(2)/25)*Calculateur!AQ125*Calculateur!AS125*VLOOKUP('Données projet'!$B$10,Paramètres!$A$1:$I$89,3,0)*0.475*44/12</f>
        <v>23.790991585710401</v>
      </c>
      <c r="AW125" s="21">
        <f>EXP(-LN(2)/2)*AW124+(1-EXP(-LN(2)/2))/(LN(2)/2)*AQ125*AT125*VLOOKUP('Données projet'!$B$10,Paramètres!$A$1:$I$89,3,0)*0.475*44/12</f>
        <v>3.9680493268300703E-5</v>
      </c>
      <c r="AX125" s="21">
        <f t="shared" si="60"/>
        <v>121.26958498809252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2.2737367544323206E-13</v>
      </c>
      <c r="BE125" s="13">
        <f>BD125*VLOOKUP('Données projet'!$B$11,Paramètres!$A$1:$I$89,3,0)*VLOOKUP('Données projet'!$B$11,Paramètres!$A$1:$I$89,5,0)</f>
        <v>1.064108801074326E-13</v>
      </c>
      <c r="BF125" s="13">
        <f t="shared" si="91"/>
        <v>1.5870730813698654E-12</v>
      </c>
      <c r="BG125" s="20">
        <f t="shared" si="61"/>
        <v>2.9494845662396269E-12</v>
      </c>
      <c r="BH125" s="59">
        <f t="shared" si="62"/>
        <v>293.33333333333627</v>
      </c>
      <c r="BI125" s="59">
        <f ca="1">AVERAGE(OFFSET($BH$3,0,0,'Données projet'!$E$11+1,1))-AVERAGE(OFFSET($H$3,0,0,'Données projet'!$E$11+1,1))</f>
        <v>234.83702199169585</v>
      </c>
      <c r="BJ125" s="59">
        <f t="shared" si="92"/>
        <v>248.83008816685089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28.262653061473163</v>
      </c>
      <c r="BQ125" s="21">
        <f>EXP(-LN(2)/25)*BQ124+(1-EXP(-LN(2)/25))/(LN(2)/25)*Calculateur!BL125*Calculateur!BN125*VLOOKUP('Données projet'!$B$11,Paramètres!$A$1:$I$89,3,0)*0.475*44/12</f>
        <v>8.2118414773554758</v>
      </c>
      <c r="BR125" s="21">
        <f>EXP(-LN(2)/2)*BR124+(1-EXP(-LN(2)/2))/(LN(2)/2)*BL125*BO125*VLOOKUP('Données projet'!$B$11,Paramètres!$A$1:$I$89,3,0)*0.475*44/12</f>
        <v>2.3678038501856516E-9</v>
      </c>
      <c r="BS125" s="22">
        <f t="shared" si="63"/>
        <v>36.474494541196442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2.2737367544323206E-13</v>
      </c>
      <c r="BZ125" s="13">
        <f>BY125*VLOOKUP('Données projet'!$B$12,Paramètres!$A$1:$I$89,3,0)*VLOOKUP('Données projet'!$B$12,Paramètres!$A$1:$I$89,5,0)</f>
        <v>1.0049916454590858E-13</v>
      </c>
      <c r="CA125" s="13">
        <f t="shared" si="93"/>
        <v>1.5089081593838289E-12</v>
      </c>
      <c r="CB125" s="20">
        <f t="shared" si="64"/>
        <v>2.8030510891776262E-12</v>
      </c>
      <c r="CC125" s="59">
        <f t="shared" si="65"/>
        <v>293.3333333333361</v>
      </c>
      <c r="CD125" s="59">
        <f ca="1">AVERAGE(OFFSET($CC$3,0,0,'Données projet'!$E$12+1,1))-AVERAGE(OFFSET($H$3,0,0,'Données projet'!$E$12+1,1))</f>
        <v>220.26537310502334</v>
      </c>
      <c r="CE125" s="59">
        <f t="shared" si="94"/>
        <v>233.26853625122016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26.692505669169083</v>
      </c>
      <c r="CL125" s="21">
        <f>EXP(-LN(2)/25)*CL124+(1-EXP(-LN(2)/25))/(LN(2)/25)*Calculateur!CG125*Calculateur!CI125*VLOOKUP('Données projet'!$B$12,Paramètres!$A$1:$I$89,3,0)*0.475*44/12</f>
        <v>7.755628061946843</v>
      </c>
      <c r="CM125" s="21">
        <f>EXP(-LN(2)/2)*CM124+(1-EXP(-LN(2)/2))/(LN(2)/2)*CG125*CJ125*VLOOKUP('Données projet'!$B$12,Paramètres!$A$1:$I$89,3,0)*0.475*44/12</f>
        <v>2.2362591918420049E-9</v>
      </c>
      <c r="CN125" s="22">
        <f t="shared" si="66"/>
        <v>34.448133733352186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-1.5961632016114892E-13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263.37813242097957</v>
      </c>
      <c r="T126" s="59">
        <f t="shared" si="88"/>
        <v>314.89350816766904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28.719676674321523</v>
      </c>
      <c r="AA126" s="21">
        <f>EXP(-LN(2)/25)*AA125+(1-EXP(-LN(2)/25))/(LN(2)/25)*Calculateur!V126*Calculateur!X126*VLOOKUP('Données projet'!$B$9,Paramètres!$A$1:$I$89,3,0)*0.475*44/12</f>
        <v>7.818690965946363</v>
      </c>
      <c r="AB126" s="21">
        <f>EXP(-LN(2)/2)*AB125+(1-EXP(-LN(2)/2))/(LN(2)/2)*V126*Y126*VLOOKUP('Données projet'!$B$9,Paramètres!$A$1:$I$89,3,0)*0.475*44/12</f>
        <v>6.4965814210506402E-10</v>
      </c>
      <c r="AC126" s="22">
        <f t="shared" si="57"/>
        <v>36.538367640917542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4.5815795601811263E-14</v>
      </c>
      <c r="AK126" s="13">
        <f t="shared" si="89"/>
        <v>7.5374618042508364E-13</v>
      </c>
      <c r="AL126" s="20">
        <f t="shared" si="58"/>
        <v>1.392570441580175E-12</v>
      </c>
      <c r="AM126" s="59">
        <f t="shared" si="59"/>
        <v>293.33333333333468</v>
      </c>
      <c r="AN126" s="59">
        <f ca="1">AVERAGE(OFFSET($AM$3,0,0,'Données projet'!$E$10+1,1))-AVERAGE(OFFSET($H$3,0,0,'Données projet'!$E$10+1,1))</f>
        <v>344.29957955721721</v>
      </c>
      <c r="AO126" s="59">
        <f t="shared" si="90"/>
        <v>297.12790038882594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95.567058739449578</v>
      </c>
      <c r="AV126" s="21">
        <f>EXP(-LN(2)/25)*AV125+(1-EXP(-LN(2)/25))/(LN(2)/25)*Calculateur!AQ126*Calculateur!AS126*VLOOKUP('Données projet'!$B$10,Paramètres!$A$1:$I$89,3,0)*0.475*44/12</f>
        <v>23.140425669685278</v>
      </c>
      <c r="AW126" s="21">
        <f>EXP(-LN(2)/2)*AW125+(1-EXP(-LN(2)/2))/(LN(2)/2)*AQ126*AT126*VLOOKUP('Données projet'!$B$10,Paramètres!$A$1:$I$89,3,0)*0.475*44/12</f>
        <v>2.8058345870842578E-5</v>
      </c>
      <c r="AX126" s="21">
        <f t="shared" si="60"/>
        <v>118.70751246748073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2.2737367544323206E-13</v>
      </c>
      <c r="BE126" s="13">
        <f>BD126*VLOOKUP('Données projet'!$B$11,Paramètres!$A$1:$I$89,3,0)*VLOOKUP('Données projet'!$B$11,Paramètres!$A$1:$I$89,5,0)</f>
        <v>1.064108801074326E-13</v>
      </c>
      <c r="BF126" s="13">
        <f t="shared" si="91"/>
        <v>1.5870730813698654E-12</v>
      </c>
      <c r="BG126" s="20">
        <f t="shared" si="61"/>
        <v>2.9494845662396269E-12</v>
      </c>
      <c r="BH126" s="59">
        <f t="shared" si="62"/>
        <v>293.33333333333627</v>
      </c>
      <c r="BI126" s="59">
        <f ca="1">AVERAGE(OFFSET($BH$3,0,0,'Données projet'!$E$11+1,1))-AVERAGE(OFFSET($H$3,0,0,'Données projet'!$E$11+1,1))</f>
        <v>234.83702199169585</v>
      </c>
      <c r="BJ126" s="59">
        <f t="shared" si="92"/>
        <v>248.83008816685089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27.708439673453878</v>
      </c>
      <c r="BQ126" s="21">
        <f>EXP(-LN(2)/25)*BQ125+(1-EXP(-LN(2)/25))/(LN(2)/25)*Calculateur!BL126*Calculateur!BN126*VLOOKUP('Données projet'!$B$11,Paramètres!$A$1:$I$89,3,0)*0.475*44/12</f>
        <v>7.9872882403152152</v>
      </c>
      <c r="BR126" s="21">
        <f>EXP(-LN(2)/2)*BR125+(1-EXP(-LN(2)/2))/(LN(2)/2)*BL126*BO126*VLOOKUP('Données projet'!$B$11,Paramètres!$A$1:$I$89,3,0)*0.475*44/12</f>
        <v>1.6742901589858903E-9</v>
      </c>
      <c r="BS126" s="22">
        <f t="shared" si="63"/>
        <v>35.695727915443378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2.2737367544323206E-13</v>
      </c>
      <c r="BZ126" s="13">
        <f>BY126*VLOOKUP('Données projet'!$B$12,Paramètres!$A$1:$I$89,3,0)*VLOOKUP('Données projet'!$B$12,Paramètres!$A$1:$I$89,5,0)</f>
        <v>1.0049916454590858E-13</v>
      </c>
      <c r="CA126" s="13">
        <f t="shared" si="93"/>
        <v>1.5089081593838289E-12</v>
      </c>
      <c r="CB126" s="20">
        <f t="shared" si="64"/>
        <v>2.8030510891776262E-12</v>
      </c>
      <c r="CC126" s="59">
        <f t="shared" si="65"/>
        <v>293.3333333333361</v>
      </c>
      <c r="CD126" s="59">
        <f ca="1">AVERAGE(OFFSET($CC$3,0,0,'Données projet'!$E$12+1,1))-AVERAGE(OFFSET($H$3,0,0,'Données projet'!$E$12+1,1))</f>
        <v>220.26537310502334</v>
      </c>
      <c r="CE126" s="59">
        <f t="shared" si="94"/>
        <v>233.26853625122016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26.169081913817539</v>
      </c>
      <c r="CL126" s="21">
        <f>EXP(-LN(2)/25)*CL125+(1-EXP(-LN(2)/25))/(LN(2)/25)*Calculateur!CG126*Calculateur!CI126*VLOOKUP('Données projet'!$B$12,Paramètres!$A$1:$I$89,3,0)*0.475*44/12</f>
        <v>7.5435500047421522</v>
      </c>
      <c r="CM126" s="21">
        <f>EXP(-LN(2)/2)*CM125+(1-EXP(-LN(2)/2))/(LN(2)/2)*CG126*CJ126*VLOOKUP('Données projet'!$B$12,Paramètres!$A$1:$I$89,3,0)*0.475*44/12</f>
        <v>1.5812740390422302E-9</v>
      </c>
      <c r="CN126" s="22">
        <f t="shared" si="66"/>
        <v>33.712631920140971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-1.5961632016114892E-13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263.37813242097957</v>
      </c>
      <c r="T127" s="59">
        <f t="shared" si="88"/>
        <v>314.89350816766904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28.15650133201116</v>
      </c>
      <c r="AA127" s="21">
        <f>EXP(-LN(2)/25)*AA126+(1-EXP(-LN(2)/25))/(LN(2)/25)*Calculateur!V127*Calculateur!X127*VLOOKUP('Données projet'!$B$9,Paramètres!$A$1:$I$89,3,0)*0.475*44/12</f>
        <v>7.6048884503154719</v>
      </c>
      <c r="AB127" s="21">
        <f>EXP(-LN(2)/2)*AB126+(1-EXP(-LN(2)/2))/(LN(2)/2)*V127*Y127*VLOOKUP('Données projet'!$B$9,Paramètres!$A$1:$I$89,3,0)*0.475*44/12</f>
        <v>4.5937767773554455E-10</v>
      </c>
      <c r="AC127" s="22">
        <f t="shared" si="57"/>
        <v>35.761389782786011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4.5815795601811263E-14</v>
      </c>
      <c r="AK127" s="13">
        <f t="shared" si="89"/>
        <v>7.5374618042508364E-13</v>
      </c>
      <c r="AL127" s="20">
        <f t="shared" si="58"/>
        <v>1.392570441580175E-12</v>
      </c>
      <c r="AM127" s="59">
        <f t="shared" si="59"/>
        <v>293.33333333333468</v>
      </c>
      <c r="AN127" s="59">
        <f ca="1">AVERAGE(OFFSET($AM$3,0,0,'Données projet'!$E$10+1,1))-AVERAGE(OFFSET($H$3,0,0,'Données projet'!$E$10+1,1))</f>
        <v>344.29957955721721</v>
      </c>
      <c r="AO127" s="59">
        <f t="shared" si="90"/>
        <v>297.12790038882594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93.69304700771913</v>
      </c>
      <c r="AV127" s="21">
        <f>EXP(-LN(2)/25)*AV126+(1-EXP(-LN(2)/25))/(LN(2)/25)*Calculateur!AQ127*Calculateur!AS127*VLOOKUP('Données projet'!$B$10,Paramètres!$A$1:$I$89,3,0)*0.475*44/12</f>
        <v>22.507649512845635</v>
      </c>
      <c r="AW127" s="21">
        <f>EXP(-LN(2)/2)*AW126+(1-EXP(-LN(2)/2))/(LN(2)/2)*AQ127*AT127*VLOOKUP('Données projet'!$B$10,Paramètres!$A$1:$I$89,3,0)*0.475*44/12</f>
        <v>1.9840246634150352E-5</v>
      </c>
      <c r="AX127" s="21">
        <f t="shared" si="60"/>
        <v>116.2007163608114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2.2737367544323206E-13</v>
      </c>
      <c r="BE127" s="13">
        <f>BD127*VLOOKUP('Données projet'!$B$11,Paramètres!$A$1:$I$89,3,0)*VLOOKUP('Données projet'!$B$11,Paramètres!$A$1:$I$89,5,0)</f>
        <v>1.064108801074326E-13</v>
      </c>
      <c r="BF127" s="13">
        <f t="shared" si="91"/>
        <v>1.5870730813698654E-12</v>
      </c>
      <c r="BG127" s="20">
        <f t="shared" si="61"/>
        <v>2.9494845662396269E-12</v>
      </c>
      <c r="BH127" s="59">
        <f t="shared" si="62"/>
        <v>293.33333333333627</v>
      </c>
      <c r="BI127" s="59">
        <f ca="1">AVERAGE(OFFSET($BH$3,0,0,'Données projet'!$E$11+1,1))-AVERAGE(OFFSET($H$3,0,0,'Données projet'!$E$11+1,1))</f>
        <v>234.83702199169585</v>
      </c>
      <c r="BJ127" s="59">
        <f t="shared" si="92"/>
        <v>248.83008816685089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27.165094071936863</v>
      </c>
      <c r="BQ127" s="21">
        <f>EXP(-LN(2)/25)*BQ126+(1-EXP(-LN(2)/25))/(LN(2)/25)*Calculateur!BL127*Calculateur!BN127*VLOOKUP('Données projet'!$B$11,Paramètres!$A$1:$I$89,3,0)*0.475*44/12</f>
        <v>7.7688754233505621</v>
      </c>
      <c r="BR127" s="21">
        <f>EXP(-LN(2)/2)*BR126+(1-EXP(-LN(2)/2))/(LN(2)/2)*BL127*BO127*VLOOKUP('Données projet'!$B$11,Paramètres!$A$1:$I$89,3,0)*0.475*44/12</f>
        <v>1.1839019250928258E-9</v>
      </c>
      <c r="BS127" s="22">
        <f t="shared" si="63"/>
        <v>34.933969496471327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2.2737367544323206E-13</v>
      </c>
      <c r="BZ127" s="13">
        <f>BY127*VLOOKUP('Données projet'!$B$12,Paramètres!$A$1:$I$89,3,0)*VLOOKUP('Données projet'!$B$12,Paramètres!$A$1:$I$89,5,0)</f>
        <v>1.0049916454590858E-13</v>
      </c>
      <c r="CA127" s="13">
        <f t="shared" si="93"/>
        <v>1.5089081593838289E-12</v>
      </c>
      <c r="CB127" s="20">
        <f t="shared" si="64"/>
        <v>2.8030510891776262E-12</v>
      </c>
      <c r="CC127" s="59">
        <f t="shared" si="65"/>
        <v>293.3333333333361</v>
      </c>
      <c r="CD127" s="59">
        <f ca="1">AVERAGE(OFFSET($CC$3,0,0,'Données projet'!$E$12+1,1))-AVERAGE(OFFSET($H$3,0,0,'Données projet'!$E$12+1,1))</f>
        <v>220.26537310502334</v>
      </c>
      <c r="CE127" s="59">
        <f t="shared" si="94"/>
        <v>233.26853625122016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25.655922179051473</v>
      </c>
      <c r="CL127" s="21">
        <f>EXP(-LN(2)/25)*CL126+(1-EXP(-LN(2)/25))/(LN(2)/25)*Calculateur!CG127*Calculateur!CI127*VLOOKUP('Données projet'!$B$12,Paramètres!$A$1:$I$89,3,0)*0.475*44/12</f>
        <v>7.3372712331644241</v>
      </c>
      <c r="CM127" s="21">
        <f>EXP(-LN(2)/2)*CM126+(1-EXP(-LN(2)/2))/(LN(2)/2)*CG127*CJ127*VLOOKUP('Données projet'!$B$12,Paramètres!$A$1:$I$89,3,0)*0.475*44/12</f>
        <v>1.1181295959210024E-9</v>
      </c>
      <c r="CN127" s="22">
        <f t="shared" si="66"/>
        <v>32.993193413334026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-1.5961632016114892E-13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263.37813242097957</v>
      </c>
      <c r="T128" s="59">
        <f t="shared" si="88"/>
        <v>314.89350816766904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27.604369514660466</v>
      </c>
      <c r="AA128" s="21">
        <f>EXP(-LN(2)/25)*AA127+(1-EXP(-LN(2)/25))/(LN(2)/25)*Calculateur!V128*Calculateur!X128*VLOOKUP('Données projet'!$B$9,Paramètres!$A$1:$I$89,3,0)*0.475*44/12</f>
        <v>7.3969323757178929</v>
      </c>
      <c r="AB128" s="21">
        <f>EXP(-LN(2)/2)*AB127+(1-EXP(-LN(2)/2))/(LN(2)/2)*V128*Y128*VLOOKUP('Données projet'!$B$9,Paramètres!$A$1:$I$89,3,0)*0.475*44/12</f>
        <v>3.2482907105253206E-10</v>
      </c>
      <c r="AC128" s="22">
        <f t="shared" si="57"/>
        <v>35.001301890703189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4.5815795601811263E-14</v>
      </c>
      <c r="AK128" s="13">
        <f t="shared" si="89"/>
        <v>7.5374618042508364E-13</v>
      </c>
      <c r="AL128" s="20">
        <f t="shared" si="58"/>
        <v>1.392570441580175E-12</v>
      </c>
      <c r="AM128" s="59">
        <f t="shared" si="59"/>
        <v>293.33333333333468</v>
      </c>
      <c r="AN128" s="59">
        <f ca="1">AVERAGE(OFFSET($AM$3,0,0,'Données projet'!$E$10+1,1))-AVERAGE(OFFSET($H$3,0,0,'Données projet'!$E$10+1,1))</f>
        <v>344.29957955721721</v>
      </c>
      <c r="AO128" s="59">
        <f t="shared" si="90"/>
        <v>297.12790038882594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91.855783503013626</v>
      </c>
      <c r="AV128" s="21">
        <f>EXP(-LN(2)/25)*AV127+(1-EXP(-LN(2)/25))/(LN(2)/25)*Calculateur!AQ128*Calculateur!AS128*VLOOKUP('Données projet'!$B$10,Paramètres!$A$1:$I$89,3,0)*0.475*44/12</f>
        <v>21.892176653291024</v>
      </c>
      <c r="AW128" s="21">
        <f>EXP(-LN(2)/2)*AW127+(1-EXP(-LN(2)/2))/(LN(2)/2)*AQ128*AT128*VLOOKUP('Données projet'!$B$10,Paramètres!$A$1:$I$89,3,0)*0.475*44/12</f>
        <v>1.4029172935421289E-5</v>
      </c>
      <c r="AX128" s="21">
        <f t="shared" si="60"/>
        <v>113.74797418547759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2.2737367544323206E-13</v>
      </c>
      <c r="BE128" s="13">
        <f>BD128*VLOOKUP('Données projet'!$B$11,Paramètres!$A$1:$I$89,3,0)*VLOOKUP('Données projet'!$B$11,Paramètres!$A$1:$I$89,5,0)</f>
        <v>1.064108801074326E-13</v>
      </c>
      <c r="BF128" s="13">
        <f t="shared" si="91"/>
        <v>1.5870730813698654E-12</v>
      </c>
      <c r="BG128" s="20">
        <f t="shared" si="61"/>
        <v>2.9494845662396269E-12</v>
      </c>
      <c r="BH128" s="59">
        <f t="shared" si="62"/>
        <v>293.33333333333627</v>
      </c>
      <c r="BI128" s="59">
        <f ca="1">AVERAGE(OFFSET($BH$3,0,0,'Données projet'!$E$11+1,1))-AVERAGE(OFFSET($H$3,0,0,'Données projet'!$E$11+1,1))</f>
        <v>234.83702199169585</v>
      </c>
      <c r="BJ128" s="59">
        <f t="shared" si="92"/>
        <v>248.83008816685089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26.632403146257506</v>
      </c>
      <c r="BQ128" s="21">
        <f>EXP(-LN(2)/25)*BQ127+(1-EXP(-LN(2)/25))/(LN(2)/25)*Calculateur!BL128*Calculateur!BN128*VLOOKUP('Données projet'!$B$11,Paramètres!$A$1:$I$89,3,0)*0.475*44/12</f>
        <v>7.5564351163516381</v>
      </c>
      <c r="BR128" s="21">
        <f>EXP(-LN(2)/2)*BR127+(1-EXP(-LN(2)/2))/(LN(2)/2)*BL128*BO128*VLOOKUP('Données projet'!$B$11,Paramètres!$A$1:$I$89,3,0)*0.475*44/12</f>
        <v>8.3714507949294516E-10</v>
      </c>
      <c r="BS128" s="22">
        <f t="shared" si="63"/>
        <v>34.188838263446293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2.2737367544323206E-13</v>
      </c>
      <c r="BZ128" s="13">
        <f>BY128*VLOOKUP('Données projet'!$B$12,Paramètres!$A$1:$I$89,3,0)*VLOOKUP('Données projet'!$B$12,Paramètres!$A$1:$I$89,5,0)</f>
        <v>1.0049916454590858E-13</v>
      </c>
      <c r="CA128" s="13">
        <f t="shared" si="93"/>
        <v>1.5089081593838289E-12</v>
      </c>
      <c r="CB128" s="20">
        <f t="shared" si="64"/>
        <v>2.8030510891776262E-12</v>
      </c>
      <c r="CC128" s="59">
        <f t="shared" si="65"/>
        <v>293.3333333333361</v>
      </c>
      <c r="CD128" s="59">
        <f ca="1">AVERAGE(OFFSET($CC$3,0,0,'Données projet'!$E$12+1,1))-AVERAGE(OFFSET($H$3,0,0,'Données projet'!$E$12+1,1))</f>
        <v>220.26537310502334</v>
      </c>
      <c r="CE128" s="59">
        <f t="shared" si="94"/>
        <v>233.26853625122016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25.152825193687633</v>
      </c>
      <c r="CL128" s="21">
        <f>EXP(-LN(2)/25)*CL127+(1-EXP(-LN(2)/25))/(LN(2)/25)*Calculateur!CG128*Calculateur!CI128*VLOOKUP('Données projet'!$B$12,Paramètres!$A$1:$I$89,3,0)*0.475*44/12</f>
        <v>7.136633165443218</v>
      </c>
      <c r="CM128" s="21">
        <f>EXP(-LN(2)/2)*CM127+(1-EXP(-LN(2)/2))/(LN(2)/2)*CG128*CJ128*VLOOKUP('Données projet'!$B$12,Paramètres!$A$1:$I$89,3,0)*0.475*44/12</f>
        <v>7.9063701952111509E-10</v>
      </c>
      <c r="CN128" s="22">
        <f t="shared" si="66"/>
        <v>32.289458359921483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-1.5961632016114892E-13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263.37813242097957</v>
      </c>
      <c r="T129" s="59">
        <f t="shared" si="88"/>
        <v>314.89350816766904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27.063064665480862</v>
      </c>
      <c r="AA129" s="21">
        <f>EXP(-LN(2)/25)*AA128+(1-EXP(-LN(2)/25))/(LN(2)/25)*Calculateur!V129*Calculateur!X129*VLOOKUP('Données projet'!$B$9,Paramètres!$A$1:$I$89,3,0)*0.475*44/12</f>
        <v>7.1946628709161198</v>
      </c>
      <c r="AB129" s="21">
        <f>EXP(-LN(2)/2)*AB128+(1-EXP(-LN(2)/2))/(LN(2)/2)*V129*Y129*VLOOKUP('Données projet'!$B$9,Paramètres!$A$1:$I$89,3,0)*0.475*44/12</f>
        <v>2.296888388677723E-10</v>
      </c>
      <c r="AC129" s="22">
        <f t="shared" si="57"/>
        <v>34.257727536626675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4.5815795601811263E-14</v>
      </c>
      <c r="AK129" s="13">
        <f t="shared" si="89"/>
        <v>7.5374618042508364E-13</v>
      </c>
      <c r="AL129" s="20">
        <f t="shared" si="58"/>
        <v>1.392570441580175E-12</v>
      </c>
      <c r="AM129" s="59">
        <f t="shared" si="59"/>
        <v>293.33333333333468</v>
      </c>
      <c r="AN129" s="59">
        <f ca="1">AVERAGE(OFFSET($AM$3,0,0,'Données projet'!$E$10+1,1))-AVERAGE(OFFSET($H$3,0,0,'Données projet'!$E$10+1,1))</f>
        <v>344.29957955721721</v>
      </c>
      <c r="AO129" s="59">
        <f t="shared" si="90"/>
        <v>297.12790038882594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90.054547615015309</v>
      </c>
      <c r="AV129" s="21">
        <f>EXP(-LN(2)/25)*AV128+(1-EXP(-LN(2)/25))/(LN(2)/25)*Calculateur!AQ129*Calculateur!AS129*VLOOKUP('Données projet'!$B$10,Paramètres!$A$1:$I$89,3,0)*0.475*44/12</f>
        <v>21.293533931447246</v>
      </c>
      <c r="AW129" s="21">
        <f>EXP(-LN(2)/2)*AW128+(1-EXP(-LN(2)/2))/(LN(2)/2)*AQ129*AT129*VLOOKUP('Données projet'!$B$10,Paramètres!$A$1:$I$89,3,0)*0.475*44/12</f>
        <v>9.9201233170751758E-6</v>
      </c>
      <c r="AX129" s="21">
        <f t="shared" si="60"/>
        <v>111.34809146658587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2.2737367544323206E-13</v>
      </c>
      <c r="BE129" s="13">
        <f>BD129*VLOOKUP('Données projet'!$B$11,Paramètres!$A$1:$I$89,3,0)*VLOOKUP('Données projet'!$B$11,Paramètres!$A$1:$I$89,5,0)</f>
        <v>1.064108801074326E-13</v>
      </c>
      <c r="BF129" s="13">
        <f t="shared" si="91"/>
        <v>1.5870730813698654E-12</v>
      </c>
      <c r="BG129" s="20">
        <f t="shared" si="61"/>
        <v>2.9494845662396269E-12</v>
      </c>
      <c r="BH129" s="59">
        <f t="shared" si="62"/>
        <v>293.33333333333627</v>
      </c>
      <c r="BI129" s="59">
        <f ca="1">AVERAGE(OFFSET($BH$3,0,0,'Données projet'!$E$11+1,1))-AVERAGE(OFFSET($H$3,0,0,'Données projet'!$E$11+1,1))</f>
        <v>234.83702199169585</v>
      </c>
      <c r="BJ129" s="59">
        <f t="shared" si="92"/>
        <v>248.83008816685089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26.110157964721338</v>
      </c>
      <c r="BQ129" s="21">
        <f>EXP(-LN(2)/25)*BQ128+(1-EXP(-LN(2)/25))/(LN(2)/25)*Calculateur!BL129*Calculateur!BN129*VLOOKUP('Données projet'!$B$11,Paramètres!$A$1:$I$89,3,0)*0.475*44/12</f>
        <v>7.3498040007193506</v>
      </c>
      <c r="BR129" s="21">
        <f>EXP(-LN(2)/2)*BR128+(1-EXP(-LN(2)/2))/(LN(2)/2)*BL129*BO129*VLOOKUP('Données projet'!$B$11,Paramètres!$A$1:$I$89,3,0)*0.475*44/12</f>
        <v>5.919509625464129E-10</v>
      </c>
      <c r="BS129" s="22">
        <f t="shared" si="63"/>
        <v>33.459961966032644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2.2737367544323206E-13</v>
      </c>
      <c r="BZ129" s="13">
        <f>BY129*VLOOKUP('Données projet'!$B$12,Paramètres!$A$1:$I$89,3,0)*VLOOKUP('Données projet'!$B$12,Paramètres!$A$1:$I$89,5,0)</f>
        <v>1.0049916454590858E-13</v>
      </c>
      <c r="CA129" s="13">
        <f t="shared" si="93"/>
        <v>1.5089081593838289E-12</v>
      </c>
      <c r="CB129" s="20">
        <f t="shared" si="64"/>
        <v>2.8030510891776262E-12</v>
      </c>
      <c r="CC129" s="59">
        <f t="shared" si="65"/>
        <v>293.3333333333361</v>
      </c>
      <c r="CD129" s="59">
        <f ca="1">AVERAGE(OFFSET($CC$3,0,0,'Données projet'!$E$12+1,1))-AVERAGE(OFFSET($H$3,0,0,'Données projet'!$E$12+1,1))</f>
        <v>220.26537310502334</v>
      </c>
      <c r="CE129" s="59">
        <f t="shared" si="94"/>
        <v>233.26853625122016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24.659593633347917</v>
      </c>
      <c r="CL129" s="21">
        <f>EXP(-LN(2)/25)*CL128+(1-EXP(-LN(2)/25))/(LN(2)/25)*Calculateur!CG129*Calculateur!CI129*VLOOKUP('Données projet'!$B$12,Paramètres!$A$1:$I$89,3,0)*0.475*44/12</f>
        <v>6.9414815562349457</v>
      </c>
      <c r="CM129" s="21">
        <f>EXP(-LN(2)/2)*CM128+(1-EXP(-LN(2)/2))/(LN(2)/2)*CG129*CJ129*VLOOKUP('Données projet'!$B$12,Paramètres!$A$1:$I$89,3,0)*0.475*44/12</f>
        <v>5.5906479796050122E-10</v>
      </c>
      <c r="CN129" s="22">
        <f t="shared" si="66"/>
        <v>31.60107519014193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-1.5961632016114892E-13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263.37813242097957</v>
      </c>
      <c r="T130" s="59">
        <f t="shared" si="88"/>
        <v>314.89350816766904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26.532374474230313</v>
      </c>
      <c r="AA130" s="21">
        <f>EXP(-LN(2)/25)*AA129+(1-EXP(-LN(2)/25))/(LN(2)/25)*Calculateur!V130*Calculateur!X130*VLOOKUP('Données projet'!$B$9,Paramètres!$A$1:$I$89,3,0)*0.475*44/12</f>
        <v>6.9979244363600417</v>
      </c>
      <c r="AB130" s="21">
        <f>EXP(-LN(2)/2)*AB129+(1-EXP(-LN(2)/2))/(LN(2)/2)*V130*Y130*VLOOKUP('Données projet'!$B$9,Paramètres!$A$1:$I$89,3,0)*0.475*44/12</f>
        <v>1.6241453552626606E-10</v>
      </c>
      <c r="AC130" s="22">
        <f t="shared" si="57"/>
        <v>33.530298910752769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4.5815795601811263E-14</v>
      </c>
      <c r="AK130" s="13">
        <f t="shared" si="89"/>
        <v>7.5374618042508364E-13</v>
      </c>
      <c r="AL130" s="20">
        <f t="shared" si="58"/>
        <v>1.392570441580175E-12</v>
      </c>
      <c r="AM130" s="59">
        <f t="shared" si="59"/>
        <v>293.33333333333468</v>
      </c>
      <c r="AN130" s="59">
        <f ca="1">AVERAGE(OFFSET($AM$3,0,0,'Données projet'!$E$10+1,1))-AVERAGE(OFFSET($H$3,0,0,'Données projet'!$E$10+1,1))</f>
        <v>344.29957955721721</v>
      </c>
      <c r="AO130" s="59">
        <f t="shared" si="90"/>
        <v>297.12790038882594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88.288632864135224</v>
      </c>
      <c r="AV130" s="21">
        <f>EXP(-LN(2)/25)*AV129+(1-EXP(-LN(2)/25))/(LN(2)/25)*Calculateur!AQ130*Calculateur!AS130*VLOOKUP('Données projet'!$B$10,Paramètres!$A$1:$I$89,3,0)*0.475*44/12</f>
        <v>20.711261126313538</v>
      </c>
      <c r="AW130" s="21">
        <f>EXP(-LN(2)/2)*AW129+(1-EXP(-LN(2)/2))/(LN(2)/2)*AQ130*AT130*VLOOKUP('Données projet'!$B$10,Paramètres!$A$1:$I$89,3,0)*0.475*44/12</f>
        <v>7.0145864677106444E-6</v>
      </c>
      <c r="AX130" s="21">
        <f t="shared" si="60"/>
        <v>108.99990100503523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2.2737367544323206E-13</v>
      </c>
      <c r="BE130" s="13">
        <f>BD130*VLOOKUP('Données projet'!$B$11,Paramètres!$A$1:$I$89,3,0)*VLOOKUP('Données projet'!$B$11,Paramètres!$A$1:$I$89,5,0)</f>
        <v>1.064108801074326E-13</v>
      </c>
      <c r="BF130" s="13">
        <f t="shared" si="91"/>
        <v>1.5870730813698654E-12</v>
      </c>
      <c r="BG130" s="20">
        <f t="shared" si="61"/>
        <v>2.9494845662396269E-12</v>
      </c>
      <c r="BH130" s="59">
        <f t="shared" si="62"/>
        <v>293.33333333333627</v>
      </c>
      <c r="BI130" s="59">
        <f ca="1">AVERAGE(OFFSET($BH$3,0,0,'Données projet'!$E$11+1,1))-AVERAGE(OFFSET($H$3,0,0,'Données projet'!$E$11+1,1))</f>
        <v>234.83702199169585</v>
      </c>
      <c r="BJ130" s="59">
        <f t="shared" si="92"/>
        <v>248.83008816685089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25.598153692656986</v>
      </c>
      <c r="BQ130" s="21">
        <f>EXP(-LN(2)/25)*BQ129+(1-EXP(-LN(2)/25))/(LN(2)/25)*Calculateur!BL130*Calculateur!BN130*VLOOKUP('Données projet'!$B$11,Paramètres!$A$1:$I$89,3,0)*0.475*44/12</f>
        <v>7.148823223810286</v>
      </c>
      <c r="BR130" s="21">
        <f>EXP(-LN(2)/2)*BR129+(1-EXP(-LN(2)/2))/(LN(2)/2)*BL130*BO130*VLOOKUP('Données projet'!$B$11,Paramètres!$A$1:$I$89,3,0)*0.475*44/12</f>
        <v>4.1857253974647258E-10</v>
      </c>
      <c r="BS130" s="22">
        <f t="shared" si="63"/>
        <v>32.746976916885849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2.2737367544323206E-13</v>
      </c>
      <c r="BZ130" s="13">
        <f>BY130*VLOOKUP('Données projet'!$B$12,Paramètres!$A$1:$I$89,3,0)*VLOOKUP('Données projet'!$B$12,Paramètres!$A$1:$I$89,5,0)</f>
        <v>1.0049916454590858E-13</v>
      </c>
      <c r="CA130" s="13">
        <f t="shared" si="93"/>
        <v>1.5089081593838289E-12</v>
      </c>
      <c r="CB130" s="20">
        <f t="shared" si="64"/>
        <v>2.8030510891776262E-12</v>
      </c>
      <c r="CC130" s="59">
        <f t="shared" si="65"/>
        <v>293.3333333333361</v>
      </c>
      <c r="CD130" s="59">
        <f ca="1">AVERAGE(OFFSET($CC$3,0,0,'Données projet'!$E$12+1,1))-AVERAGE(OFFSET($H$3,0,0,'Données projet'!$E$12+1,1))</f>
        <v>220.26537310502334</v>
      </c>
      <c r="CE130" s="59">
        <f t="shared" si="94"/>
        <v>233.26853625122016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24.17603404306492</v>
      </c>
      <c r="CL130" s="21">
        <f>EXP(-LN(2)/25)*CL129+(1-EXP(-LN(2)/25))/(LN(2)/25)*Calculateur!CG130*Calculateur!CI130*VLOOKUP('Données projet'!$B$12,Paramètres!$A$1:$I$89,3,0)*0.475*44/12</f>
        <v>6.7516663780430513</v>
      </c>
      <c r="CM130" s="21">
        <f>EXP(-LN(2)/2)*CM129+(1-EXP(-LN(2)/2))/(LN(2)/2)*CG130*CJ130*VLOOKUP('Données projet'!$B$12,Paramètres!$A$1:$I$89,3,0)*0.475*44/12</f>
        <v>3.9531850976055754E-10</v>
      </c>
      <c r="CN130" s="22">
        <f t="shared" si="66"/>
        <v>30.927700421503289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-1.5961632016114892E-13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263.37813242097957</v>
      </c>
      <c r="T131" s="59">
        <f t="shared" si="88"/>
        <v>314.89350816766904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26.012090793941134</v>
      </c>
      <c r="AA131" s="21">
        <f>EXP(-LN(2)/25)*AA130+(1-EXP(-LN(2)/25))/(LN(2)/25)*Calculateur!V131*Calculateur!X131*VLOOKUP('Données projet'!$B$9,Paramètres!$A$1:$I$89,3,0)*0.475*44/12</f>
        <v>6.8065658246429246</v>
      </c>
      <c r="AB131" s="21">
        <f>EXP(-LN(2)/2)*AB130+(1-EXP(-LN(2)/2))/(LN(2)/2)*V131*Y131*VLOOKUP('Données projet'!$B$9,Paramètres!$A$1:$I$89,3,0)*0.475*44/12</f>
        <v>1.1484441943388616E-10</v>
      </c>
      <c r="AC131" s="22">
        <f t="shared" si="57"/>
        <v>32.818656618698903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4.5815795601811263E-14</v>
      </c>
      <c r="AK131" s="13">
        <f t="shared" si="89"/>
        <v>7.5374618042508364E-13</v>
      </c>
      <c r="AL131" s="20">
        <f t="shared" si="58"/>
        <v>1.392570441580175E-12</v>
      </c>
      <c r="AM131" s="59">
        <f t="shared" si="59"/>
        <v>293.33333333333468</v>
      </c>
      <c r="AN131" s="59">
        <f ca="1">AVERAGE(OFFSET($AM$3,0,0,'Données projet'!$E$10+1,1))-AVERAGE(OFFSET($H$3,0,0,'Données projet'!$E$10+1,1))</f>
        <v>344.29957955721721</v>
      </c>
      <c r="AO131" s="59">
        <f t="shared" si="90"/>
        <v>297.12790038882594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86.557346624418258</v>
      </c>
      <c r="AV131" s="21">
        <f>EXP(-LN(2)/25)*AV130+(1-EXP(-LN(2)/25))/(LN(2)/25)*Calculateur!AQ131*Calculateur!AS131*VLOOKUP('Données projet'!$B$10,Paramètres!$A$1:$I$89,3,0)*0.475*44/12</f>
        <v>20.144910601656608</v>
      </c>
      <c r="AW131" s="21">
        <f>EXP(-LN(2)/2)*AW130+(1-EXP(-LN(2)/2))/(LN(2)/2)*AQ131*AT131*VLOOKUP('Données projet'!$B$10,Paramètres!$A$1:$I$89,3,0)*0.475*44/12</f>
        <v>4.9600616585375879E-6</v>
      </c>
      <c r="AX131" s="21">
        <f t="shared" si="60"/>
        <v>106.70226218613652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2.2737367544323206E-13</v>
      </c>
      <c r="BE131" s="13">
        <f>BD131*VLOOKUP('Données projet'!$B$11,Paramètres!$A$1:$I$89,3,0)*VLOOKUP('Données projet'!$B$11,Paramètres!$A$1:$I$89,5,0)</f>
        <v>1.064108801074326E-13</v>
      </c>
      <c r="BF131" s="13">
        <f t="shared" si="91"/>
        <v>1.5870730813698654E-12</v>
      </c>
      <c r="BG131" s="20">
        <f t="shared" si="61"/>
        <v>2.9494845662396269E-12</v>
      </c>
      <c r="BH131" s="59">
        <f t="shared" si="62"/>
        <v>293.33333333333627</v>
      </c>
      <c r="BI131" s="59">
        <f ca="1">AVERAGE(OFFSET($BH$3,0,0,'Données projet'!$E$11+1,1))-AVERAGE(OFFSET($H$3,0,0,'Données projet'!$E$11+1,1))</f>
        <v>234.83702199169585</v>
      </c>
      <c r="BJ131" s="59">
        <f t="shared" si="92"/>
        <v>248.83008816685089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25.096189512076048</v>
      </c>
      <c r="BQ131" s="21">
        <f>EXP(-LN(2)/25)*BQ130+(1-EXP(-LN(2)/25))/(LN(2)/25)*Calculateur!BL131*Calculateur!BN131*VLOOKUP('Données projet'!$B$11,Paramètres!$A$1:$I$89,3,0)*0.475*44/12</f>
        <v>6.953338276814919</v>
      </c>
      <c r="BR131" s="21">
        <f>EXP(-LN(2)/2)*BR130+(1-EXP(-LN(2)/2))/(LN(2)/2)*BL131*BO131*VLOOKUP('Données projet'!$B$11,Paramètres!$A$1:$I$89,3,0)*0.475*44/12</f>
        <v>2.9597548127320645E-10</v>
      </c>
      <c r="BS131" s="22">
        <f t="shared" si="63"/>
        <v>32.049527789186946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2.2737367544323206E-13</v>
      </c>
      <c r="BZ131" s="13">
        <f>BY131*VLOOKUP('Données projet'!$B$12,Paramètres!$A$1:$I$89,3,0)*VLOOKUP('Données projet'!$B$12,Paramètres!$A$1:$I$89,5,0)</f>
        <v>1.0049916454590858E-13</v>
      </c>
      <c r="CA131" s="13">
        <f t="shared" si="93"/>
        <v>1.5089081593838289E-12</v>
      </c>
      <c r="CB131" s="20">
        <f t="shared" si="64"/>
        <v>2.8030510891776262E-12</v>
      </c>
      <c r="CC131" s="59">
        <f t="shared" si="65"/>
        <v>293.3333333333361</v>
      </c>
      <c r="CD131" s="59">
        <f ca="1">AVERAGE(OFFSET($CC$3,0,0,'Données projet'!$E$12+1,1))-AVERAGE(OFFSET($H$3,0,0,'Données projet'!$E$12+1,1))</f>
        <v>220.26537310502334</v>
      </c>
      <c r="CE131" s="59">
        <f t="shared" si="94"/>
        <v>233.26853625122016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23.701956761405143</v>
      </c>
      <c r="CL131" s="21">
        <f>EXP(-LN(2)/25)*CL130+(1-EXP(-LN(2)/25))/(LN(2)/25)*Calculateur!CG131*Calculateur!CI131*VLOOKUP('Données projet'!$B$12,Paramètres!$A$1:$I$89,3,0)*0.475*44/12</f>
        <v>6.5670417058807606</v>
      </c>
      <c r="CM131" s="21">
        <f>EXP(-LN(2)/2)*CM130+(1-EXP(-LN(2)/2))/(LN(2)/2)*CG131*CJ131*VLOOKUP('Données projet'!$B$12,Paramètres!$A$1:$I$89,3,0)*0.475*44/12</f>
        <v>2.7953239898025061E-10</v>
      </c>
      <c r="CN131" s="22">
        <f t="shared" si="66"/>
        <v>30.268998467565435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-1.5961632016114892E-13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263.37813242097957</v>
      </c>
      <c r="T132" s="59">
        <f t="shared" si="88"/>
        <v>314.89350816766904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25.502009559280715</v>
      </c>
      <c r="AA132" s="21">
        <f>EXP(-LN(2)/25)*AA131+(1-EXP(-LN(2)/25))/(LN(2)/25)*Calculateur!V132*Calculateur!X132*VLOOKUP('Données projet'!$B$9,Paramètres!$A$1:$I$89,3,0)*0.475*44/12</f>
        <v>6.6204399242263241</v>
      </c>
      <c r="AB132" s="21">
        <f>EXP(-LN(2)/2)*AB131+(1-EXP(-LN(2)/2))/(LN(2)/2)*V132*Y132*VLOOKUP('Données projet'!$B$9,Paramètres!$A$1:$I$89,3,0)*0.475*44/12</f>
        <v>8.1207267763133041E-11</v>
      </c>
      <c r="AC132" s="22">
        <f t="shared" ref="AC132:AC153" si="111">SUM(Z132:AB132)</f>
        <v>32.122449483588248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4.5815795601811263E-14</v>
      </c>
      <c r="AK132" s="13">
        <f t="shared" si="89"/>
        <v>7.5374618042508364E-13</v>
      </c>
      <c r="AL132" s="20">
        <f t="shared" ref="AL132:AL153" si="112">(AJ132+AK132)*0.475*44/12</f>
        <v>1.392570441580175E-12</v>
      </c>
      <c r="AM132" s="59">
        <f t="shared" ref="AM132:AM195" si="113">AL132+(AD132+AE132)*44/12</f>
        <v>293.33333333333468</v>
      </c>
      <c r="AN132" s="59">
        <f ca="1">AVERAGE(OFFSET($AM$3,0,0,'Données projet'!$E$10+1,1))-AVERAGE(OFFSET($H$3,0,0,'Données projet'!$E$10+1,1))</f>
        <v>344.29957955721721</v>
      </c>
      <c r="AO132" s="59">
        <f t="shared" si="90"/>
        <v>297.12790038882594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84.860009851881813</v>
      </c>
      <c r="AV132" s="21">
        <f>EXP(-LN(2)/25)*AV131+(1-EXP(-LN(2)/25))/(LN(2)/25)*Calculateur!AQ132*Calculateur!AS132*VLOOKUP('Données projet'!$B$10,Paramètres!$A$1:$I$89,3,0)*0.475*44/12</f>
        <v>19.594046961879503</v>
      </c>
      <c r="AW132" s="21">
        <f>EXP(-LN(2)/2)*AW131+(1-EXP(-LN(2)/2))/(LN(2)/2)*AQ132*AT132*VLOOKUP('Données projet'!$B$10,Paramètres!$A$1:$I$89,3,0)*0.475*44/12</f>
        <v>3.5072932338553222E-6</v>
      </c>
      <c r="AX132" s="21">
        <f t="shared" ref="AX132:AX153" si="114">SUM(AU132:AW132)</f>
        <v>104.45406032105454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2.2737367544323206E-13</v>
      </c>
      <c r="BE132" s="13">
        <f>BD132*VLOOKUP('Données projet'!$B$11,Paramètres!$A$1:$I$89,3,0)*VLOOKUP('Données projet'!$B$11,Paramètres!$A$1:$I$89,5,0)</f>
        <v>1.064108801074326E-13</v>
      </c>
      <c r="BF132" s="13">
        <f t="shared" si="91"/>
        <v>1.5870730813698654E-12</v>
      </c>
      <c r="BG132" s="20">
        <f t="shared" ref="BG132:BG153" si="115">(BE132+BF132)*0.475*44/12</f>
        <v>2.9494845662396269E-12</v>
      </c>
      <c r="BH132" s="59">
        <f t="shared" ref="BH132:BH195" si="116">BG132+(AY132+AZ132)*44/12</f>
        <v>293.33333333333627</v>
      </c>
      <c r="BI132" s="59">
        <f ca="1">AVERAGE(OFFSET($BH$3,0,0,'Données projet'!$E$11+1,1))-AVERAGE(OFFSET($H$3,0,0,'Données projet'!$E$11+1,1))</f>
        <v>234.83702199169585</v>
      </c>
      <c r="BJ132" s="59">
        <f t="shared" si="92"/>
        <v>248.83008816685089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24.604068542908383</v>
      </c>
      <c r="BQ132" s="21">
        <f>EXP(-LN(2)/25)*BQ131+(1-EXP(-LN(2)/25))/(LN(2)/25)*Calculateur!BL132*Calculateur!BN132*VLOOKUP('Données projet'!$B$11,Paramètres!$A$1:$I$89,3,0)*0.475*44/12</f>
        <v>6.763198875975247</v>
      </c>
      <c r="BR132" s="21">
        <f>EXP(-LN(2)/2)*BR131+(1-EXP(-LN(2)/2))/(LN(2)/2)*BL132*BO132*VLOOKUP('Données projet'!$B$11,Paramètres!$A$1:$I$89,3,0)*0.475*44/12</f>
        <v>2.0928626987323629E-10</v>
      </c>
      <c r="BS132" s="22">
        <f t="shared" ref="BS132:BS153" si="117">SUM(BP132:BR132)</f>
        <v>31.367267419092915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2.2737367544323206E-13</v>
      </c>
      <c r="BZ132" s="13">
        <f>BY132*VLOOKUP('Données projet'!$B$12,Paramètres!$A$1:$I$89,3,0)*VLOOKUP('Données projet'!$B$12,Paramètres!$A$1:$I$89,5,0)</f>
        <v>1.0049916454590858E-13</v>
      </c>
      <c r="CA132" s="13">
        <f t="shared" si="93"/>
        <v>1.5089081593838289E-12</v>
      </c>
      <c r="CB132" s="20">
        <f t="shared" ref="CB132:CB153" si="118">(BZ132+CA132)*0.475*44/12</f>
        <v>2.8030510891776262E-12</v>
      </c>
      <c r="CC132" s="59">
        <f t="shared" ref="CC132:CC195" si="119">CB132+(BT132+BU132)*44/12</f>
        <v>293.3333333333361</v>
      </c>
      <c r="CD132" s="59">
        <f ca="1">AVERAGE(OFFSET($CC$3,0,0,'Données projet'!$E$12+1,1))-AVERAGE(OFFSET($H$3,0,0,'Données projet'!$E$12+1,1))</f>
        <v>220.26537310502334</v>
      </c>
      <c r="CE132" s="59">
        <f t="shared" si="94"/>
        <v>233.26853625122016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23.237175846080124</v>
      </c>
      <c r="CL132" s="21">
        <f>EXP(-LN(2)/25)*CL131+(1-EXP(-LN(2)/25))/(LN(2)/25)*Calculateur!CG132*Calculateur!CI132*VLOOKUP('Données projet'!$B$12,Paramètres!$A$1:$I$89,3,0)*0.475*44/12</f>
        <v>6.387465605087737</v>
      </c>
      <c r="CM132" s="21">
        <f>EXP(-LN(2)/2)*CM131+(1-EXP(-LN(2)/2))/(LN(2)/2)*CG132*CJ132*VLOOKUP('Données projet'!$B$12,Paramètres!$A$1:$I$89,3,0)*0.475*44/12</f>
        <v>1.9765925488027877E-10</v>
      </c>
      <c r="CN132" s="22">
        <f t="shared" ref="CN132:CN153" si="120">SUM(CK132:CM132)</f>
        <v>29.62464145136552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-1.5961632016114892E-13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263.37813242097957</v>
      </c>
      <c r="T133" s="59">
        <f t="shared" ref="T133:T196" si="142">$T$3</f>
        <v>314.89350816766904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25.001930706513154</v>
      </c>
      <c r="AA133" s="21">
        <f>EXP(-LN(2)/25)*AA132+(1-EXP(-LN(2)/25))/(LN(2)/25)*Calculateur!V133*Calculateur!X133*VLOOKUP('Données projet'!$B$9,Paramètres!$A$1:$I$89,3,0)*0.475*44/12</f>
        <v>6.4394036463445508</v>
      </c>
      <c r="AB133" s="21">
        <f>EXP(-LN(2)/2)*AB132+(1-EXP(-LN(2)/2))/(LN(2)/2)*V133*Y133*VLOOKUP('Données projet'!$B$9,Paramètres!$A$1:$I$89,3,0)*0.475*44/12</f>
        <v>5.7422209716943095E-11</v>
      </c>
      <c r="AC133" s="22">
        <f t="shared" si="111"/>
        <v>31.441334352915128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4.5815795601811263E-14</v>
      </c>
      <c r="AK133" s="13">
        <f t="shared" ref="AK133:AK153" si="143">EXP(-1.0587+0.8836*LN(AJ133)+0.284)</f>
        <v>7.5374618042508364E-13</v>
      </c>
      <c r="AL133" s="20">
        <f t="shared" si="112"/>
        <v>1.392570441580175E-12</v>
      </c>
      <c r="AM133" s="59">
        <f t="shared" si="113"/>
        <v>293.33333333333468</v>
      </c>
      <c r="AN133" s="59">
        <f ca="1">AVERAGE(OFFSET($AM$3,0,0,'Données projet'!$E$10+1,1))-AVERAGE(OFFSET($H$3,0,0,'Données projet'!$E$10+1,1))</f>
        <v>344.29957955721721</v>
      </c>
      <c r="AO133" s="59">
        <f t="shared" ref="AO133:AO196" si="144">$AO$3</f>
        <v>297.12790038882594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83.1959568181816</v>
      </c>
      <c r="AV133" s="21">
        <f>EXP(-LN(2)/25)*AV132+(1-EXP(-LN(2)/25))/(LN(2)/25)*Calculateur!AQ133*Calculateur!AS133*VLOOKUP('Données projet'!$B$10,Paramètres!$A$1:$I$89,3,0)*0.475*44/12</f>
        <v>19.058246717300761</v>
      </c>
      <c r="AW133" s="21">
        <f>EXP(-LN(2)/2)*AW132+(1-EXP(-LN(2)/2))/(LN(2)/2)*AQ133*AT133*VLOOKUP('Données projet'!$B$10,Paramètres!$A$1:$I$89,3,0)*0.475*44/12</f>
        <v>2.4800308292687939E-6</v>
      </c>
      <c r="AX133" s="21">
        <f t="shared" si="114"/>
        <v>102.25420601551319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2.2737367544323206E-13</v>
      </c>
      <c r="BE133" s="13">
        <f>BD133*VLOOKUP('Données projet'!$B$11,Paramètres!$A$1:$I$89,3,0)*VLOOKUP('Données projet'!$B$11,Paramètres!$A$1:$I$89,5,0)</f>
        <v>1.064108801074326E-13</v>
      </c>
      <c r="BF133" s="13">
        <f t="shared" ref="BF133:BF153" si="145">EXP(-1.0587+0.8836*LN(BE133)+0.284)</f>
        <v>1.5870730813698654E-12</v>
      </c>
      <c r="BG133" s="20">
        <f t="shared" si="115"/>
        <v>2.9494845662396269E-12</v>
      </c>
      <c r="BH133" s="59">
        <f t="shared" si="116"/>
        <v>293.33333333333627</v>
      </c>
      <c r="BI133" s="59">
        <f ca="1">AVERAGE(OFFSET($BH$3,0,0,'Données projet'!$E$11+1,1))-AVERAGE(OFFSET($H$3,0,0,'Données projet'!$E$11+1,1))</f>
        <v>234.83702199169585</v>
      </c>
      <c r="BJ133" s="59">
        <f t="shared" ref="BJ133:BJ196" si="146">$BJ$3</f>
        <v>248.83008816685089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24.121597765781942</v>
      </c>
      <c r="BQ133" s="21">
        <f>EXP(-LN(2)/25)*BQ132+(1-EXP(-LN(2)/25))/(LN(2)/25)*Calculateur!BL133*Calculateur!BN133*VLOOKUP('Données projet'!$B$11,Paramètres!$A$1:$I$89,3,0)*0.475*44/12</f>
        <v>6.5782588470505328</v>
      </c>
      <c r="BR133" s="21">
        <f>EXP(-LN(2)/2)*BR132+(1-EXP(-LN(2)/2))/(LN(2)/2)*BL133*BO133*VLOOKUP('Données projet'!$B$11,Paramètres!$A$1:$I$89,3,0)*0.475*44/12</f>
        <v>1.4798774063660323E-10</v>
      </c>
      <c r="BS133" s="22">
        <f t="shared" si="117"/>
        <v>30.699856612980465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2.2737367544323206E-13</v>
      </c>
      <c r="BZ133" s="13">
        <f>BY133*VLOOKUP('Données projet'!$B$12,Paramètres!$A$1:$I$89,3,0)*VLOOKUP('Données projet'!$B$12,Paramètres!$A$1:$I$89,5,0)</f>
        <v>1.0049916454590858E-13</v>
      </c>
      <c r="CA133" s="13">
        <f t="shared" ref="CA133:CA153" si="147">EXP(-1.0587+0.8836*LN(BZ133)+0.284)</f>
        <v>1.5089081593838289E-12</v>
      </c>
      <c r="CB133" s="20">
        <f t="shared" si="118"/>
        <v>2.8030510891776262E-12</v>
      </c>
      <c r="CC133" s="59">
        <f t="shared" si="119"/>
        <v>293.3333333333361</v>
      </c>
      <c r="CD133" s="59">
        <f ca="1">AVERAGE(OFFSET($CC$3,0,0,'Données projet'!$E$12+1,1))-AVERAGE(OFFSET($H$3,0,0,'Données projet'!$E$12+1,1))</f>
        <v>220.26537310502334</v>
      </c>
      <c r="CE133" s="59">
        <f t="shared" ref="CE133:CE196" si="148">$CE$3</f>
        <v>233.26853625122016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22.781509001016264</v>
      </c>
      <c r="CL133" s="21">
        <f>EXP(-LN(2)/25)*CL132+(1-EXP(-LN(2)/25))/(LN(2)/25)*Calculateur!CG133*Calculateur!CI133*VLOOKUP('Données projet'!$B$12,Paramètres!$A$1:$I$89,3,0)*0.475*44/12</f>
        <v>6.2128000222143953</v>
      </c>
      <c r="CM133" s="21">
        <f>EXP(-LN(2)/2)*CM132+(1-EXP(-LN(2)/2))/(LN(2)/2)*CG133*CJ133*VLOOKUP('Données projet'!$B$12,Paramètres!$A$1:$I$89,3,0)*0.475*44/12</f>
        <v>1.397661994901253E-10</v>
      </c>
      <c r="CN133" s="22">
        <f t="shared" si="120"/>
        <v>28.994309023370427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-1.5961632016114892E-13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263.37813242097957</v>
      </c>
      <c r="T134" s="59">
        <f t="shared" si="142"/>
        <v>314.89350816766904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24.511658095030381</v>
      </c>
      <c r="AA134" s="21">
        <f>EXP(-LN(2)/25)*AA133+(1-EXP(-LN(2)/25))/(LN(2)/25)*Calculateur!V134*Calculateur!X134*VLOOKUP('Données projet'!$B$9,Paramètres!$A$1:$I$89,3,0)*0.475*44/12</f>
        <v>6.2633178150017388</v>
      </c>
      <c r="AB134" s="21">
        <f>EXP(-LN(2)/2)*AB133+(1-EXP(-LN(2)/2))/(LN(2)/2)*V134*Y134*VLOOKUP('Données projet'!$B$9,Paramètres!$A$1:$I$89,3,0)*0.475*44/12</f>
        <v>4.0603633881566527E-11</v>
      </c>
      <c r="AC134" s="22">
        <f t="shared" si="111"/>
        <v>30.774975910072722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4.5815795601811263E-14</v>
      </c>
      <c r="AK134" s="13">
        <f t="shared" si="143"/>
        <v>7.5374618042508364E-13</v>
      </c>
      <c r="AL134" s="20">
        <f t="shared" si="112"/>
        <v>1.392570441580175E-12</v>
      </c>
      <c r="AM134" s="59">
        <f t="shared" si="113"/>
        <v>293.33333333333468</v>
      </c>
      <c r="AN134" s="59">
        <f ca="1">AVERAGE(OFFSET($AM$3,0,0,'Données projet'!$E$10+1,1))-AVERAGE(OFFSET($H$3,0,0,'Données projet'!$E$10+1,1))</f>
        <v>344.29957955721721</v>
      </c>
      <c r="AO134" s="59">
        <f t="shared" si="144"/>
        <v>297.12790038882594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81.564534849500106</v>
      </c>
      <c r="AV134" s="21">
        <f>EXP(-LN(2)/25)*AV133+(1-EXP(-LN(2)/25))/(LN(2)/25)*Calculateur!AQ134*Calculateur!AS134*VLOOKUP('Données projet'!$B$10,Paramètres!$A$1:$I$89,3,0)*0.475*44/12</f>
        <v>18.537097958586536</v>
      </c>
      <c r="AW134" s="21">
        <f>EXP(-LN(2)/2)*AW133+(1-EXP(-LN(2)/2))/(LN(2)/2)*AQ134*AT134*VLOOKUP('Données projet'!$B$10,Paramètres!$A$1:$I$89,3,0)*0.475*44/12</f>
        <v>1.7536466169276611E-6</v>
      </c>
      <c r="AX134" s="21">
        <f t="shared" si="114"/>
        <v>100.10163456173325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2.2737367544323206E-13</v>
      </c>
      <c r="BE134" s="13">
        <f>BD134*VLOOKUP('Données projet'!$B$11,Paramètres!$A$1:$I$89,3,0)*VLOOKUP('Données projet'!$B$11,Paramètres!$A$1:$I$89,5,0)</f>
        <v>1.064108801074326E-13</v>
      </c>
      <c r="BF134" s="13">
        <f t="shared" si="145"/>
        <v>1.5870730813698654E-12</v>
      </c>
      <c r="BG134" s="20">
        <f t="shared" si="115"/>
        <v>2.9494845662396269E-12</v>
      </c>
      <c r="BH134" s="59">
        <f t="shared" si="116"/>
        <v>293.33333333333627</v>
      </c>
      <c r="BI134" s="59">
        <f ca="1">AVERAGE(OFFSET($BH$3,0,0,'Données projet'!$E$11+1,1))-AVERAGE(OFFSET($H$3,0,0,'Données projet'!$E$11+1,1))</f>
        <v>234.83702199169585</v>
      </c>
      <c r="BJ134" s="59">
        <f t="shared" si="146"/>
        <v>248.83008816685089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23.648587946316834</v>
      </c>
      <c r="BQ134" s="21">
        <f>EXP(-LN(2)/25)*BQ133+(1-EXP(-LN(2)/25))/(LN(2)/25)*Calculateur!BL134*Calculateur!BN134*VLOOKUP('Données projet'!$B$11,Paramètres!$A$1:$I$89,3,0)*0.475*44/12</f>
        <v>6.3983760129423377</v>
      </c>
      <c r="BR134" s="21">
        <f>EXP(-LN(2)/2)*BR133+(1-EXP(-LN(2)/2))/(LN(2)/2)*BL134*BO134*VLOOKUP('Données projet'!$B$11,Paramètres!$A$1:$I$89,3,0)*0.475*44/12</f>
        <v>1.0464313493661815E-10</v>
      </c>
      <c r="BS134" s="22">
        <f t="shared" si="117"/>
        <v>30.046963959363815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2.2737367544323206E-13</v>
      </c>
      <c r="BZ134" s="13">
        <f>BY134*VLOOKUP('Données projet'!$B$12,Paramètres!$A$1:$I$89,3,0)*VLOOKUP('Données projet'!$B$12,Paramètres!$A$1:$I$89,5,0)</f>
        <v>1.0049916454590858E-13</v>
      </c>
      <c r="CA134" s="13">
        <f t="shared" si="147"/>
        <v>1.5089081593838289E-12</v>
      </c>
      <c r="CB134" s="20">
        <f t="shared" si="118"/>
        <v>2.8030510891776262E-12</v>
      </c>
      <c r="CC134" s="59">
        <f t="shared" si="119"/>
        <v>293.3333333333361</v>
      </c>
      <c r="CD134" s="59">
        <f ca="1">AVERAGE(OFFSET($CC$3,0,0,'Données projet'!$E$12+1,1))-AVERAGE(OFFSET($H$3,0,0,'Données projet'!$E$12+1,1))</f>
        <v>220.26537310502334</v>
      </c>
      <c r="CE134" s="59">
        <f t="shared" si="148"/>
        <v>233.26853625122016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22.334777504854774</v>
      </c>
      <c r="CL134" s="21">
        <f>EXP(-LN(2)/25)*CL133+(1-EXP(-LN(2)/25))/(LN(2)/25)*Calculateur!CG134*Calculateur!CI134*VLOOKUP('Données projet'!$B$12,Paramètres!$A$1:$I$89,3,0)*0.475*44/12</f>
        <v>6.0429106788899887</v>
      </c>
      <c r="CM134" s="21">
        <f>EXP(-LN(2)/2)*CM133+(1-EXP(-LN(2)/2))/(LN(2)/2)*CG134*CJ134*VLOOKUP('Données projet'!$B$12,Paramètres!$A$1:$I$89,3,0)*0.475*44/12</f>
        <v>9.8829627440139386E-11</v>
      </c>
      <c r="CN134" s="22">
        <f t="shared" si="120"/>
        <v>28.377688183843592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-1.5961632016114892E-13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263.37813242097957</v>
      </c>
      <c r="T135" s="59">
        <f t="shared" si="142"/>
        <v>314.89350816766904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24.030999430422021</v>
      </c>
      <c r="AA135" s="21">
        <f>EXP(-LN(2)/25)*AA134+(1-EXP(-LN(2)/25))/(LN(2)/25)*Calculateur!V135*Calculateur!X135*VLOOKUP('Données projet'!$B$9,Paramètres!$A$1:$I$89,3,0)*0.475*44/12</f>
        <v>6.092047059976947</v>
      </c>
      <c r="AB135" s="21">
        <f>EXP(-LN(2)/2)*AB134+(1-EXP(-LN(2)/2))/(LN(2)/2)*V135*Y135*VLOOKUP('Données projet'!$B$9,Paramètres!$A$1:$I$89,3,0)*0.475*44/12</f>
        <v>2.8711104858471551E-11</v>
      </c>
      <c r="AC135" s="22">
        <f t="shared" si="111"/>
        <v>30.123046490427679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4.5815795601811263E-14</v>
      </c>
      <c r="AK135" s="13">
        <f t="shared" si="143"/>
        <v>7.5374618042508364E-13</v>
      </c>
      <c r="AL135" s="20">
        <f t="shared" si="112"/>
        <v>1.392570441580175E-12</v>
      </c>
      <c r="AM135" s="59">
        <f t="shared" si="113"/>
        <v>293.33333333333468</v>
      </c>
      <c r="AN135" s="59">
        <f ca="1">AVERAGE(OFFSET($AM$3,0,0,'Données projet'!$E$10+1,1))-AVERAGE(OFFSET($H$3,0,0,'Données projet'!$E$10+1,1))</f>
        <v>344.29957955721721</v>
      </c>
      <c r="AO135" s="59">
        <f t="shared" si="144"/>
        <v>297.12790038882594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79.965104070555313</v>
      </c>
      <c r="AV135" s="21">
        <f>EXP(-LN(2)/25)*AV134+(1-EXP(-LN(2)/25))/(LN(2)/25)*Calculateur!AQ135*Calculateur!AS135*VLOOKUP('Données projet'!$B$10,Paramètres!$A$1:$I$89,3,0)*0.475*44/12</f>
        <v>18.030200040085372</v>
      </c>
      <c r="AW135" s="21">
        <f>EXP(-LN(2)/2)*AW134+(1-EXP(-LN(2)/2))/(LN(2)/2)*AQ135*AT135*VLOOKUP('Données projet'!$B$10,Paramètres!$A$1:$I$89,3,0)*0.475*44/12</f>
        <v>1.240015414634397E-6</v>
      </c>
      <c r="AX135" s="21">
        <f t="shared" si="114"/>
        <v>97.995305350656096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2.2737367544323206E-13</v>
      </c>
      <c r="BE135" s="13">
        <f>BD135*VLOOKUP('Données projet'!$B$11,Paramètres!$A$1:$I$89,3,0)*VLOOKUP('Données projet'!$B$11,Paramètres!$A$1:$I$89,5,0)</f>
        <v>1.064108801074326E-13</v>
      </c>
      <c r="BF135" s="13">
        <f t="shared" si="145"/>
        <v>1.5870730813698654E-12</v>
      </c>
      <c r="BG135" s="20">
        <f t="shared" si="115"/>
        <v>2.9494845662396269E-12</v>
      </c>
      <c r="BH135" s="59">
        <f t="shared" si="116"/>
        <v>293.33333333333627</v>
      </c>
      <c r="BI135" s="59">
        <f ca="1">AVERAGE(OFFSET($BH$3,0,0,'Données projet'!$E$11+1,1))-AVERAGE(OFFSET($H$3,0,0,'Données projet'!$E$11+1,1))</f>
        <v>234.83702199169585</v>
      </c>
      <c r="BJ135" s="59">
        <f t="shared" si="146"/>
        <v>248.83008816685089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23.184853560903935</v>
      </c>
      <c r="BQ135" s="21">
        <f>EXP(-LN(2)/25)*BQ134+(1-EXP(-LN(2)/25))/(LN(2)/25)*Calculateur!BL135*Calculateur!BN135*VLOOKUP('Données projet'!$B$11,Paramètres!$A$1:$I$89,3,0)*0.475*44/12</f>
        <v>6.223412084392459</v>
      </c>
      <c r="BR135" s="21">
        <f>EXP(-LN(2)/2)*BR134+(1-EXP(-LN(2)/2))/(LN(2)/2)*BL135*BO135*VLOOKUP('Données projet'!$B$11,Paramètres!$A$1:$I$89,3,0)*0.475*44/12</f>
        <v>7.3993870318301613E-11</v>
      </c>
      <c r="BS135" s="22">
        <f t="shared" si="117"/>
        <v>29.408265645370388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2.2737367544323206E-13</v>
      </c>
      <c r="BZ135" s="13">
        <f>BY135*VLOOKUP('Données projet'!$B$12,Paramètres!$A$1:$I$89,3,0)*VLOOKUP('Données projet'!$B$12,Paramètres!$A$1:$I$89,5,0)</f>
        <v>1.0049916454590858E-13</v>
      </c>
      <c r="CA135" s="13">
        <f t="shared" si="147"/>
        <v>1.5089081593838289E-12</v>
      </c>
      <c r="CB135" s="20">
        <f t="shared" si="118"/>
        <v>2.8030510891776262E-12</v>
      </c>
      <c r="CC135" s="59">
        <f t="shared" si="119"/>
        <v>293.3333333333361</v>
      </c>
      <c r="CD135" s="59">
        <f ca="1">AVERAGE(OFFSET($CC$3,0,0,'Données projet'!$E$12+1,1))-AVERAGE(OFFSET($H$3,0,0,'Données projet'!$E$12+1,1))</f>
        <v>220.26537310502334</v>
      </c>
      <c r="CE135" s="59">
        <f t="shared" si="148"/>
        <v>233.26853625122016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21.896806140853702</v>
      </c>
      <c r="CL135" s="21">
        <f>EXP(-LN(2)/25)*CL134+(1-EXP(-LN(2)/25))/(LN(2)/25)*Calculateur!CG135*Calculateur!CI135*VLOOKUP('Données projet'!$B$12,Paramètres!$A$1:$I$89,3,0)*0.475*44/12</f>
        <v>5.8776669685928802</v>
      </c>
      <c r="CM135" s="21">
        <f>EXP(-LN(2)/2)*CM134+(1-EXP(-LN(2)/2))/(LN(2)/2)*CG135*CJ135*VLOOKUP('Données projet'!$B$12,Paramètres!$A$1:$I$89,3,0)*0.475*44/12</f>
        <v>6.9883099745062652E-11</v>
      </c>
      <c r="CN135" s="22">
        <f t="shared" si="120"/>
        <v>27.774473109516464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-1.5961632016114892E-13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263.37813242097957</v>
      </c>
      <c r="T136" s="59">
        <f t="shared" si="142"/>
        <v>314.89350816766904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23.559766189053793</v>
      </c>
      <c r="AA136" s="21">
        <f>EXP(-LN(2)/25)*AA135+(1-EXP(-LN(2)/25))/(LN(2)/25)*Calculateur!V136*Calculateur!X136*VLOOKUP('Données projet'!$B$9,Paramètres!$A$1:$I$89,3,0)*0.475*44/12</f>
        <v>5.9254597127550461</v>
      </c>
      <c r="AB136" s="21">
        <f>EXP(-LN(2)/2)*AB135+(1-EXP(-LN(2)/2))/(LN(2)/2)*V136*Y136*VLOOKUP('Données projet'!$B$9,Paramètres!$A$1:$I$89,3,0)*0.475*44/12</f>
        <v>2.0301816940783267E-11</v>
      </c>
      <c r="AC136" s="22">
        <f t="shared" si="111"/>
        <v>29.485225901829139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4.5815795601811263E-14</v>
      </c>
      <c r="AK136" s="13">
        <f t="shared" si="143"/>
        <v>7.5374618042508364E-13</v>
      </c>
      <c r="AL136" s="20">
        <f t="shared" si="112"/>
        <v>1.392570441580175E-12</v>
      </c>
      <c r="AM136" s="59">
        <f t="shared" si="113"/>
        <v>293.33333333333468</v>
      </c>
      <c r="AN136" s="59">
        <f ca="1">AVERAGE(OFFSET($AM$3,0,0,'Données projet'!$E$10+1,1))-AVERAGE(OFFSET($H$3,0,0,'Données projet'!$E$10+1,1))</f>
        <v>344.29957955721721</v>
      </c>
      <c r="AO136" s="59">
        <f t="shared" si="144"/>
        <v>297.12790038882594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78.397037153629185</v>
      </c>
      <c r="AV136" s="21">
        <f>EXP(-LN(2)/25)*AV135+(1-EXP(-LN(2)/25))/(LN(2)/25)*Calculateur!AQ136*Calculateur!AS136*VLOOKUP('Données projet'!$B$10,Paramètres!$A$1:$I$89,3,0)*0.475*44/12</f>
        <v>17.537163271822227</v>
      </c>
      <c r="AW136" s="21">
        <f>EXP(-LN(2)/2)*AW135+(1-EXP(-LN(2)/2))/(LN(2)/2)*AQ136*AT136*VLOOKUP('Données projet'!$B$10,Paramètres!$A$1:$I$89,3,0)*0.475*44/12</f>
        <v>8.7682330846383055E-7</v>
      </c>
      <c r="AX136" s="21">
        <f t="shared" si="114"/>
        <v>95.934201302274715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2.2737367544323206E-13</v>
      </c>
      <c r="BE136" s="13">
        <f>BD136*VLOOKUP('Données projet'!$B$11,Paramètres!$A$1:$I$89,3,0)*VLOOKUP('Données projet'!$B$11,Paramètres!$A$1:$I$89,5,0)</f>
        <v>1.064108801074326E-13</v>
      </c>
      <c r="BF136" s="13">
        <f t="shared" si="145"/>
        <v>1.5870730813698654E-12</v>
      </c>
      <c r="BG136" s="20">
        <f t="shared" si="115"/>
        <v>2.9494845662396269E-12</v>
      </c>
      <c r="BH136" s="59">
        <f t="shared" si="116"/>
        <v>293.33333333333627</v>
      </c>
      <c r="BI136" s="59">
        <f ca="1">AVERAGE(OFFSET($BH$3,0,0,'Données projet'!$E$11+1,1))-AVERAGE(OFFSET($H$3,0,0,'Données projet'!$E$11+1,1))</f>
        <v>234.83702199169585</v>
      </c>
      <c r="BJ136" s="59">
        <f t="shared" si="146"/>
        <v>248.83008816685089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22.730212723938937</v>
      </c>
      <c r="BQ136" s="21">
        <f>EXP(-LN(2)/25)*BQ135+(1-EXP(-LN(2)/25))/(LN(2)/25)*Calculateur!BL136*Calculateur!BN136*VLOOKUP('Données projet'!$B$11,Paramètres!$A$1:$I$89,3,0)*0.475*44/12</f>
        <v>6.0532325536697291</v>
      </c>
      <c r="BR136" s="21">
        <f>EXP(-LN(2)/2)*BR135+(1-EXP(-LN(2)/2))/(LN(2)/2)*BL136*BO136*VLOOKUP('Données projet'!$B$11,Paramètres!$A$1:$I$89,3,0)*0.475*44/12</f>
        <v>5.2321567468309073E-11</v>
      </c>
      <c r="BS136" s="22">
        <f t="shared" si="117"/>
        <v>28.783445277660988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2.2737367544323206E-13</v>
      </c>
      <c r="BZ136" s="13">
        <f>BY136*VLOOKUP('Données projet'!$B$12,Paramètres!$A$1:$I$89,3,0)*VLOOKUP('Données projet'!$B$12,Paramètres!$A$1:$I$89,5,0)</f>
        <v>1.0049916454590858E-13</v>
      </c>
      <c r="CA136" s="13">
        <f t="shared" si="147"/>
        <v>1.5089081593838289E-12</v>
      </c>
      <c r="CB136" s="20">
        <f t="shared" si="118"/>
        <v>2.8030510891776262E-12</v>
      </c>
      <c r="CC136" s="59">
        <f t="shared" si="119"/>
        <v>293.3333333333361</v>
      </c>
      <c r="CD136" s="59">
        <f ca="1">AVERAGE(OFFSET($CC$3,0,0,'Données projet'!$E$12+1,1))-AVERAGE(OFFSET($H$3,0,0,'Données projet'!$E$12+1,1))</f>
        <v>220.26537310502334</v>
      </c>
      <c r="CE136" s="59">
        <f t="shared" si="148"/>
        <v>233.26853625122016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21.467423128164537</v>
      </c>
      <c r="CL136" s="21">
        <f>EXP(-LN(2)/25)*CL135+(1-EXP(-LN(2)/25))/(LN(2)/25)*Calculateur!CG136*Calculateur!CI136*VLOOKUP('Données projet'!$B$12,Paramètres!$A$1:$I$89,3,0)*0.475*44/12</f>
        <v>5.7169418562436354</v>
      </c>
      <c r="CM136" s="21">
        <f>EXP(-LN(2)/2)*CM135+(1-EXP(-LN(2)/2))/(LN(2)/2)*CG136*CJ136*VLOOKUP('Données projet'!$B$12,Paramètres!$A$1:$I$89,3,0)*0.475*44/12</f>
        <v>4.9414813720069693E-11</v>
      </c>
      <c r="CN136" s="22">
        <f t="shared" si="120"/>
        <v>27.184364984457588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-1.5961632016114892E-13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263.37813242097957</v>
      </c>
      <c r="T137" s="59">
        <f t="shared" si="142"/>
        <v>314.89350816766904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23.097773544124898</v>
      </c>
      <c r="AA137" s="21">
        <f>EXP(-LN(2)/25)*AA136+(1-EXP(-LN(2)/25))/(LN(2)/25)*Calculateur!V137*Calculateur!X137*VLOOKUP('Données projet'!$B$9,Paramètres!$A$1:$I$89,3,0)*0.475*44/12</f>
        <v>5.7634277053033758</v>
      </c>
      <c r="AB137" s="21">
        <f>EXP(-LN(2)/2)*AB136+(1-EXP(-LN(2)/2))/(LN(2)/2)*V137*Y137*VLOOKUP('Données projet'!$B$9,Paramètres!$A$1:$I$89,3,0)*0.475*44/12</f>
        <v>1.4355552429235779E-11</v>
      </c>
      <c r="AC137" s="22">
        <f t="shared" si="111"/>
        <v>28.86120124944263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4.5815795601811263E-14</v>
      </c>
      <c r="AK137" s="13">
        <f t="shared" si="143"/>
        <v>7.5374618042508364E-13</v>
      </c>
      <c r="AL137" s="20">
        <f t="shared" si="112"/>
        <v>1.392570441580175E-12</v>
      </c>
      <c r="AM137" s="59">
        <f t="shared" si="113"/>
        <v>293.33333333333468</v>
      </c>
      <c r="AN137" s="59">
        <f ca="1">AVERAGE(OFFSET($AM$3,0,0,'Données projet'!$E$10+1,1))-AVERAGE(OFFSET($H$3,0,0,'Données projet'!$E$10+1,1))</f>
        <v>344.29957955721721</v>
      </c>
      <c r="AO137" s="59">
        <f t="shared" si="144"/>
        <v>297.12790038882594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76.859719072517592</v>
      </c>
      <c r="AV137" s="21">
        <f>EXP(-LN(2)/25)*AV136+(1-EXP(-LN(2)/25))/(LN(2)/25)*Calculateur!AQ137*Calculateur!AS137*VLOOKUP('Données projet'!$B$10,Paramètres!$A$1:$I$89,3,0)*0.475*44/12</f>
        <v>17.057608619914912</v>
      </c>
      <c r="AW137" s="21">
        <f>EXP(-LN(2)/2)*AW136+(1-EXP(-LN(2)/2))/(LN(2)/2)*AQ137*AT137*VLOOKUP('Données projet'!$B$10,Paramètres!$A$1:$I$89,3,0)*0.475*44/12</f>
        <v>6.2000770731719848E-7</v>
      </c>
      <c r="AX137" s="21">
        <f t="shared" si="114"/>
        <v>93.917328312440219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2.2737367544323206E-13</v>
      </c>
      <c r="BE137" s="13">
        <f>BD137*VLOOKUP('Données projet'!$B$11,Paramètres!$A$1:$I$89,3,0)*VLOOKUP('Données projet'!$B$11,Paramètres!$A$1:$I$89,5,0)</f>
        <v>1.064108801074326E-13</v>
      </c>
      <c r="BF137" s="13">
        <f t="shared" si="145"/>
        <v>1.5870730813698654E-12</v>
      </c>
      <c r="BG137" s="20">
        <f t="shared" si="115"/>
        <v>2.9494845662396269E-12</v>
      </c>
      <c r="BH137" s="59">
        <f t="shared" si="116"/>
        <v>293.33333333333627</v>
      </c>
      <c r="BI137" s="59">
        <f ca="1">AVERAGE(OFFSET($BH$3,0,0,'Données projet'!$E$11+1,1))-AVERAGE(OFFSET($H$3,0,0,'Données projet'!$E$11+1,1))</f>
        <v>234.83702199169585</v>
      </c>
      <c r="BJ137" s="59">
        <f t="shared" si="146"/>
        <v>248.83008816685089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22.284487116483294</v>
      </c>
      <c r="BQ137" s="21">
        <f>EXP(-LN(2)/25)*BQ136+(1-EXP(-LN(2)/25))/(LN(2)/25)*Calculateur!BL137*Calculateur!BN137*VLOOKUP('Données projet'!$B$11,Paramètres!$A$1:$I$89,3,0)*0.475*44/12</f>
        <v>5.8877065911639654</v>
      </c>
      <c r="BR137" s="21">
        <f>EXP(-LN(2)/2)*BR136+(1-EXP(-LN(2)/2))/(LN(2)/2)*BL137*BO137*VLOOKUP('Données projet'!$B$11,Paramètres!$A$1:$I$89,3,0)*0.475*44/12</f>
        <v>3.6996935159150806E-11</v>
      </c>
      <c r="BS137" s="22">
        <f t="shared" si="117"/>
        <v>28.172193707684258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2.2737367544323206E-13</v>
      </c>
      <c r="BZ137" s="13">
        <f>BY137*VLOOKUP('Données projet'!$B$12,Paramètres!$A$1:$I$89,3,0)*VLOOKUP('Données projet'!$B$12,Paramètres!$A$1:$I$89,5,0)</f>
        <v>1.0049916454590858E-13</v>
      </c>
      <c r="CA137" s="13">
        <f t="shared" si="147"/>
        <v>1.5089081593838289E-12</v>
      </c>
      <c r="CB137" s="20">
        <f t="shared" si="118"/>
        <v>2.8030510891776262E-12</v>
      </c>
      <c r="CC137" s="59">
        <f t="shared" si="119"/>
        <v>293.3333333333361</v>
      </c>
      <c r="CD137" s="59">
        <f ca="1">AVERAGE(OFFSET($CC$3,0,0,'Données projet'!$E$12+1,1))-AVERAGE(OFFSET($H$3,0,0,'Données projet'!$E$12+1,1))</f>
        <v>220.26537310502334</v>
      </c>
      <c r="CE137" s="59">
        <f t="shared" si="148"/>
        <v>233.26853625122016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21.046460054456428</v>
      </c>
      <c r="CL137" s="21">
        <f>EXP(-LN(2)/25)*CL136+(1-EXP(-LN(2)/25))/(LN(2)/25)*Calculateur!CG137*Calculateur!CI137*VLOOKUP('Données projet'!$B$12,Paramètres!$A$1:$I$89,3,0)*0.475*44/12</f>
        <v>5.5606117805437476</v>
      </c>
      <c r="CM137" s="21">
        <f>EXP(-LN(2)/2)*CM136+(1-EXP(-LN(2)/2))/(LN(2)/2)*CG137*CJ137*VLOOKUP('Données projet'!$B$12,Paramètres!$A$1:$I$89,3,0)*0.475*44/12</f>
        <v>3.4941549872531326E-11</v>
      </c>
      <c r="CN137" s="22">
        <f t="shared" si="120"/>
        <v>26.607071835035118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-1.5961632016114892E-13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263.37813242097957</v>
      </c>
      <c r="T138" s="59">
        <f t="shared" si="142"/>
        <v>314.89350816766904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22.644840293175371</v>
      </c>
      <c r="AA138" s="21">
        <f>EXP(-LN(2)/25)*AA137+(1-EXP(-LN(2)/25))/(LN(2)/25)*Calculateur!V138*Calculateur!X138*VLOOKUP('Données projet'!$B$9,Paramètres!$A$1:$I$89,3,0)*0.475*44/12</f>
        <v>5.6058264716163642</v>
      </c>
      <c r="AB138" s="21">
        <f>EXP(-LN(2)/2)*AB137+(1-EXP(-LN(2)/2))/(LN(2)/2)*V138*Y138*VLOOKUP('Données projet'!$B$9,Paramètres!$A$1:$I$89,3,0)*0.475*44/12</f>
        <v>1.0150908470391635E-11</v>
      </c>
      <c r="AC138" s="22">
        <f t="shared" si="111"/>
        <v>28.250666764801885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4.5815795601811263E-14</v>
      </c>
      <c r="AK138" s="13">
        <f t="shared" si="143"/>
        <v>7.5374618042508364E-13</v>
      </c>
      <c r="AL138" s="20">
        <f t="shared" si="112"/>
        <v>1.392570441580175E-12</v>
      </c>
      <c r="AM138" s="59">
        <f t="shared" si="113"/>
        <v>293.33333333333468</v>
      </c>
      <c r="AN138" s="59">
        <f ca="1">AVERAGE(OFFSET($AM$3,0,0,'Données projet'!$E$10+1,1))-AVERAGE(OFFSET($H$3,0,0,'Données projet'!$E$10+1,1))</f>
        <v>344.29957955721721</v>
      </c>
      <c r="AO138" s="59">
        <f t="shared" si="144"/>
        <v>297.12790038882594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75.352546861305157</v>
      </c>
      <c r="AV138" s="21">
        <f>EXP(-LN(2)/25)*AV137+(1-EXP(-LN(2)/25))/(LN(2)/25)*Calculateur!AQ138*Calculateur!AS138*VLOOKUP('Données projet'!$B$10,Paramètres!$A$1:$I$89,3,0)*0.475*44/12</f>
        <v>16.591167415182689</v>
      </c>
      <c r="AW138" s="21">
        <f>EXP(-LN(2)/2)*AW137+(1-EXP(-LN(2)/2))/(LN(2)/2)*AQ138*AT138*VLOOKUP('Données projet'!$B$10,Paramètres!$A$1:$I$89,3,0)*0.475*44/12</f>
        <v>4.3841165423191528E-7</v>
      </c>
      <c r="AX138" s="21">
        <f t="shared" si="114"/>
        <v>91.9437147148995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2.2737367544323206E-13</v>
      </c>
      <c r="BE138" s="13">
        <f>BD138*VLOOKUP('Données projet'!$B$11,Paramètres!$A$1:$I$89,3,0)*VLOOKUP('Données projet'!$B$11,Paramètres!$A$1:$I$89,5,0)</f>
        <v>1.064108801074326E-13</v>
      </c>
      <c r="BF138" s="13">
        <f t="shared" si="145"/>
        <v>1.5870730813698654E-12</v>
      </c>
      <c r="BG138" s="20">
        <f t="shared" si="115"/>
        <v>2.9494845662396269E-12</v>
      </c>
      <c r="BH138" s="59">
        <f t="shared" si="116"/>
        <v>293.33333333333627</v>
      </c>
      <c r="BI138" s="59">
        <f ca="1">AVERAGE(OFFSET($BH$3,0,0,'Données projet'!$E$11+1,1))-AVERAGE(OFFSET($H$3,0,0,'Données projet'!$E$11+1,1))</f>
        <v>234.83702199169585</v>
      </c>
      <c r="BJ138" s="59">
        <f t="shared" si="146"/>
        <v>248.83008816685089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21.847501916324081</v>
      </c>
      <c r="BQ138" s="21">
        <f>EXP(-LN(2)/25)*BQ137+(1-EXP(-LN(2)/25))/(LN(2)/25)*Calculateur!BL138*Calculateur!BN138*VLOOKUP('Données projet'!$B$11,Paramètres!$A$1:$I$89,3,0)*0.475*44/12</f>
        <v>5.726706944807554</v>
      </c>
      <c r="BR138" s="21">
        <f>EXP(-LN(2)/2)*BR137+(1-EXP(-LN(2)/2))/(LN(2)/2)*BL138*BO138*VLOOKUP('Données projet'!$B$11,Paramètres!$A$1:$I$89,3,0)*0.475*44/12</f>
        <v>2.6160783734154536E-11</v>
      </c>
      <c r="BS138" s="22">
        <f t="shared" si="117"/>
        <v>27.574208861157796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2.2737367544323206E-13</v>
      </c>
      <c r="BZ138" s="13">
        <f>BY138*VLOOKUP('Données projet'!$B$12,Paramètres!$A$1:$I$89,3,0)*VLOOKUP('Données projet'!$B$12,Paramètres!$A$1:$I$89,5,0)</f>
        <v>1.0049916454590858E-13</v>
      </c>
      <c r="CA138" s="13">
        <f t="shared" si="147"/>
        <v>1.5089081593838289E-12</v>
      </c>
      <c r="CB138" s="20">
        <f t="shared" si="118"/>
        <v>2.8030510891776262E-12</v>
      </c>
      <c r="CC138" s="59">
        <f t="shared" si="119"/>
        <v>293.3333333333361</v>
      </c>
      <c r="CD138" s="59">
        <f ca="1">AVERAGE(OFFSET($CC$3,0,0,'Données projet'!$E$12+1,1))-AVERAGE(OFFSET($H$3,0,0,'Données projet'!$E$12+1,1))</f>
        <v>220.26537310502334</v>
      </c>
      <c r="CE138" s="59">
        <f t="shared" si="148"/>
        <v>233.26853625122016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20.633751809861614</v>
      </c>
      <c r="CL138" s="21">
        <f>EXP(-LN(2)/25)*CL137+(1-EXP(-LN(2)/25))/(LN(2)/25)*Calculateur!CG138*Calculateur!CI138*VLOOKUP('Données projet'!$B$12,Paramètres!$A$1:$I$89,3,0)*0.475*44/12</f>
        <v>5.4085565589849143</v>
      </c>
      <c r="CM138" s="21">
        <f>EXP(-LN(2)/2)*CM137+(1-EXP(-LN(2)/2))/(LN(2)/2)*CG138*CJ138*VLOOKUP('Données projet'!$B$12,Paramètres!$A$1:$I$89,3,0)*0.475*44/12</f>
        <v>2.4707406860034847E-11</v>
      </c>
      <c r="CN138" s="22">
        <f t="shared" si="120"/>
        <v>26.042308368871236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-1.5961632016114892E-13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263.37813242097957</v>
      </c>
      <c r="T139" s="59">
        <f t="shared" si="142"/>
        <v>314.89350816766904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22.200788787014961</v>
      </c>
      <c r="AA139" s="21">
        <f>EXP(-LN(2)/25)*AA138+(1-EXP(-LN(2)/25))/(LN(2)/25)*Calculateur!V139*Calculateur!X139*VLOOKUP('Données projet'!$B$9,Paramètres!$A$1:$I$89,3,0)*0.475*44/12</f>
        <v>5.4525348519524126</v>
      </c>
      <c r="AB139" s="21">
        <f>EXP(-LN(2)/2)*AB138+(1-EXP(-LN(2)/2))/(LN(2)/2)*V139*Y139*VLOOKUP('Données projet'!$B$9,Paramètres!$A$1:$I$89,3,0)*0.475*44/12</f>
        <v>7.1777762146178901E-12</v>
      </c>
      <c r="AC139" s="22">
        <f t="shared" si="111"/>
        <v>27.653323638974548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4.5815795601811263E-14</v>
      </c>
      <c r="AK139" s="13">
        <f t="shared" si="143"/>
        <v>7.5374618042508364E-13</v>
      </c>
      <c r="AL139" s="20">
        <f t="shared" si="112"/>
        <v>1.392570441580175E-12</v>
      </c>
      <c r="AM139" s="59">
        <f t="shared" si="113"/>
        <v>293.33333333333468</v>
      </c>
      <c r="AN139" s="59">
        <f ca="1">AVERAGE(OFFSET($AM$3,0,0,'Données projet'!$E$10+1,1))-AVERAGE(OFFSET($H$3,0,0,'Données projet'!$E$10+1,1))</f>
        <v>344.29957955721721</v>
      </c>
      <c r="AO139" s="59">
        <f t="shared" si="144"/>
        <v>297.12790038882594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73.87492937787033</v>
      </c>
      <c r="AV139" s="21">
        <f>EXP(-LN(2)/25)*AV138+(1-EXP(-LN(2)/25))/(LN(2)/25)*Calculateur!AQ139*Calculateur!AS139*VLOOKUP('Données projet'!$B$10,Paramètres!$A$1:$I$89,3,0)*0.475*44/12</f>
        <v>16.137481069722945</v>
      </c>
      <c r="AW139" s="21">
        <f>EXP(-LN(2)/2)*AW138+(1-EXP(-LN(2)/2))/(LN(2)/2)*AQ139*AT139*VLOOKUP('Données projet'!$B$10,Paramètres!$A$1:$I$89,3,0)*0.475*44/12</f>
        <v>3.1000385365859924E-7</v>
      </c>
      <c r="AX139" s="21">
        <f t="shared" si="114"/>
        <v>90.012410757597138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2.2737367544323206E-13</v>
      </c>
      <c r="BE139" s="13">
        <f>BD139*VLOOKUP('Données projet'!$B$11,Paramètres!$A$1:$I$89,3,0)*VLOOKUP('Données projet'!$B$11,Paramètres!$A$1:$I$89,5,0)</f>
        <v>1.064108801074326E-13</v>
      </c>
      <c r="BF139" s="13">
        <f t="shared" si="145"/>
        <v>1.5870730813698654E-12</v>
      </c>
      <c r="BG139" s="20">
        <f t="shared" si="115"/>
        <v>2.9494845662396269E-12</v>
      </c>
      <c r="BH139" s="59">
        <f t="shared" si="116"/>
        <v>293.33333333333627</v>
      </c>
      <c r="BI139" s="59">
        <f ca="1">AVERAGE(OFFSET($BH$3,0,0,'Données projet'!$E$11+1,1))-AVERAGE(OFFSET($H$3,0,0,'Données projet'!$E$11+1,1))</f>
        <v>234.83702199169585</v>
      </c>
      <c r="BJ139" s="59">
        <f t="shared" si="146"/>
        <v>248.83008816685089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21.419085729405335</v>
      </c>
      <c r="BQ139" s="21">
        <f>EXP(-LN(2)/25)*BQ138+(1-EXP(-LN(2)/25))/(LN(2)/25)*Calculateur!BL139*Calculateur!BN139*VLOOKUP('Données projet'!$B$11,Paramètres!$A$1:$I$89,3,0)*0.475*44/12</f>
        <v>5.5701098422473621</v>
      </c>
      <c r="BR139" s="21">
        <f>EXP(-LN(2)/2)*BR138+(1-EXP(-LN(2)/2))/(LN(2)/2)*BL139*BO139*VLOOKUP('Données projet'!$B$11,Paramètres!$A$1:$I$89,3,0)*0.475*44/12</f>
        <v>1.8498467579575403E-11</v>
      </c>
      <c r="BS139" s="22">
        <f t="shared" si="117"/>
        <v>26.989195571671196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2.2737367544323206E-13</v>
      </c>
      <c r="BZ139" s="13">
        <f>BY139*VLOOKUP('Données projet'!$B$12,Paramètres!$A$1:$I$89,3,0)*VLOOKUP('Données projet'!$B$12,Paramètres!$A$1:$I$89,5,0)</f>
        <v>1.0049916454590858E-13</v>
      </c>
      <c r="CA139" s="13">
        <f t="shared" si="147"/>
        <v>1.5089081593838289E-12</v>
      </c>
      <c r="CB139" s="20">
        <f t="shared" si="118"/>
        <v>2.8030510891776262E-12</v>
      </c>
      <c r="CC139" s="59">
        <f t="shared" si="119"/>
        <v>293.3333333333361</v>
      </c>
      <c r="CD139" s="59">
        <f ca="1">AVERAGE(OFFSET($CC$3,0,0,'Données projet'!$E$12+1,1))-AVERAGE(OFFSET($H$3,0,0,'Données projet'!$E$12+1,1))</f>
        <v>220.26537310502334</v>
      </c>
      <c r="CE139" s="59">
        <f t="shared" si="148"/>
        <v>233.26853625122016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20.229136522216134</v>
      </c>
      <c r="CL139" s="21">
        <f>EXP(-LN(2)/25)*CL138+(1-EXP(-LN(2)/25))/(LN(2)/25)*Calculateur!CG139*Calculateur!CI139*VLOOKUP('Données projet'!$B$12,Paramètres!$A$1:$I$89,3,0)*0.475*44/12</f>
        <v>5.2606592954558442</v>
      </c>
      <c r="CM139" s="21">
        <f>EXP(-LN(2)/2)*CM138+(1-EXP(-LN(2)/2))/(LN(2)/2)*CG139*CJ139*VLOOKUP('Données projet'!$B$12,Paramètres!$A$1:$I$89,3,0)*0.475*44/12</f>
        <v>1.7470774936265663E-11</v>
      </c>
      <c r="CN139" s="22">
        <f t="shared" si="120"/>
        <v>25.489795817689451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-1.5961632016114892E-13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263.37813242097957</v>
      </c>
      <c r="T140" s="59">
        <f t="shared" si="142"/>
        <v>314.89350816766904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21.76544486004568</v>
      </c>
      <c r="AA140" s="21">
        <f>EXP(-LN(2)/25)*AA139+(1-EXP(-LN(2)/25))/(LN(2)/25)*Calculateur!V140*Calculateur!X140*VLOOKUP('Données projet'!$B$9,Paramètres!$A$1:$I$89,3,0)*0.475*44/12</f>
        <v>5.3034349996894283</v>
      </c>
      <c r="AB140" s="21">
        <f>EXP(-LN(2)/2)*AB139+(1-EXP(-LN(2)/2))/(LN(2)/2)*V140*Y140*VLOOKUP('Données projet'!$B$9,Paramètres!$A$1:$I$89,3,0)*0.475*44/12</f>
        <v>5.0754542351958183E-12</v>
      </c>
      <c r="AC140" s="22">
        <f t="shared" si="111"/>
        <v>27.068879859740186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4.5815795601811263E-14</v>
      </c>
      <c r="AK140" s="13">
        <f t="shared" si="143"/>
        <v>7.5374618042508364E-13</v>
      </c>
      <c r="AL140" s="20">
        <f t="shared" si="112"/>
        <v>1.392570441580175E-12</v>
      </c>
      <c r="AM140" s="59">
        <f t="shared" si="113"/>
        <v>293.33333333333468</v>
      </c>
      <c r="AN140" s="59">
        <f ca="1">AVERAGE(OFFSET($AM$3,0,0,'Données projet'!$E$10+1,1))-AVERAGE(OFFSET($H$3,0,0,'Données projet'!$E$10+1,1))</f>
        <v>344.29957955721721</v>
      </c>
      <c r="AO140" s="59">
        <f t="shared" si="144"/>
        <v>297.12790038882594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72.426287072027975</v>
      </c>
      <c r="AV140" s="21">
        <f>EXP(-LN(2)/25)*AV139+(1-EXP(-LN(2)/25))/(LN(2)/25)*Calculateur!AQ140*Calculateur!AS140*VLOOKUP('Données projet'!$B$10,Paramètres!$A$1:$I$89,3,0)*0.475*44/12</f>
        <v>15.696200801238124</v>
      </c>
      <c r="AW140" s="21">
        <f>EXP(-LN(2)/2)*AW139+(1-EXP(-LN(2)/2))/(LN(2)/2)*AQ140*AT140*VLOOKUP('Données projet'!$B$10,Paramètres!$A$1:$I$89,3,0)*0.475*44/12</f>
        <v>2.1920582711595764E-7</v>
      </c>
      <c r="AX140" s="21">
        <f t="shared" si="114"/>
        <v>88.122488092471926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2.2737367544323206E-13</v>
      </c>
      <c r="BE140" s="13">
        <f>BD140*VLOOKUP('Données projet'!$B$11,Paramètres!$A$1:$I$89,3,0)*VLOOKUP('Données projet'!$B$11,Paramètres!$A$1:$I$89,5,0)</f>
        <v>1.064108801074326E-13</v>
      </c>
      <c r="BF140" s="13">
        <f t="shared" si="145"/>
        <v>1.5870730813698654E-12</v>
      </c>
      <c r="BG140" s="20">
        <f t="shared" si="115"/>
        <v>2.9494845662396269E-12</v>
      </c>
      <c r="BH140" s="59">
        <f t="shared" si="116"/>
        <v>293.33333333333627</v>
      </c>
      <c r="BI140" s="59">
        <f ca="1">AVERAGE(OFFSET($BH$3,0,0,'Données projet'!$E$11+1,1))-AVERAGE(OFFSET($H$3,0,0,'Données projet'!$E$11+1,1))</f>
        <v>234.83702199169585</v>
      </c>
      <c r="BJ140" s="59">
        <f t="shared" si="146"/>
        <v>248.83008816685089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20.999070522603994</v>
      </c>
      <c r="BQ140" s="21">
        <f>EXP(-LN(2)/25)*BQ139+(1-EXP(-LN(2)/25))/(LN(2)/25)*Calculateur!BL140*Calculateur!BN140*VLOOKUP('Données projet'!$B$11,Paramètres!$A$1:$I$89,3,0)*0.475*44/12</f>
        <v>5.4177948956917623</v>
      </c>
      <c r="BR140" s="21">
        <f>EXP(-LN(2)/2)*BR139+(1-EXP(-LN(2)/2))/(LN(2)/2)*BL140*BO140*VLOOKUP('Données projet'!$B$11,Paramètres!$A$1:$I$89,3,0)*0.475*44/12</f>
        <v>1.3080391867077268E-11</v>
      </c>
      <c r="BS140" s="22">
        <f t="shared" si="117"/>
        <v>26.416865418308838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2.2737367544323206E-13</v>
      </c>
      <c r="BZ140" s="13">
        <f>BY140*VLOOKUP('Données projet'!$B$12,Paramètres!$A$1:$I$89,3,0)*VLOOKUP('Données projet'!$B$12,Paramètres!$A$1:$I$89,5,0)</f>
        <v>1.0049916454590858E-13</v>
      </c>
      <c r="CA140" s="13">
        <f t="shared" si="147"/>
        <v>1.5089081593838289E-12</v>
      </c>
      <c r="CB140" s="20">
        <f t="shared" si="118"/>
        <v>2.8030510891776262E-12</v>
      </c>
      <c r="CC140" s="59">
        <f t="shared" si="119"/>
        <v>293.3333333333361</v>
      </c>
      <c r="CD140" s="59">
        <f ca="1">AVERAGE(OFFSET($CC$3,0,0,'Données projet'!$E$12+1,1))-AVERAGE(OFFSET($H$3,0,0,'Données projet'!$E$12+1,1))</f>
        <v>220.26537310502334</v>
      </c>
      <c r="CE140" s="59">
        <f t="shared" si="148"/>
        <v>233.26853625122016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19.832455493570421</v>
      </c>
      <c r="CL140" s="21">
        <f>EXP(-LN(2)/25)*CL139+(1-EXP(-LN(2)/25))/(LN(2)/25)*Calculateur!CG140*Calculateur!CI140*VLOOKUP('Données projet'!$B$12,Paramètres!$A$1:$I$89,3,0)*0.475*44/12</f>
        <v>5.1168062903755551</v>
      </c>
      <c r="CM140" s="21">
        <f>EXP(-LN(2)/2)*CM139+(1-EXP(-LN(2)/2))/(LN(2)/2)*CG140*CJ140*VLOOKUP('Données projet'!$B$12,Paramètres!$A$1:$I$89,3,0)*0.475*44/12</f>
        <v>1.2353703430017423E-11</v>
      </c>
      <c r="CN140" s="22">
        <f t="shared" si="120"/>
        <v>24.949261783958331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-1.5961632016114892E-13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263.37813242097957</v>
      </c>
      <c r="T141" s="59">
        <f t="shared" si="142"/>
        <v>314.89350816766904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21.33863776195069</v>
      </c>
      <c r="AA141" s="21">
        <f>EXP(-LN(2)/25)*AA140+(1-EXP(-LN(2)/25))/(LN(2)/25)*Calculateur!V141*Calculateur!X141*VLOOKUP('Données projet'!$B$9,Paramètres!$A$1:$I$89,3,0)*0.475*44/12</f>
        <v>5.1584122907273953</v>
      </c>
      <c r="AB141" s="21">
        <f>EXP(-LN(2)/2)*AB140+(1-EXP(-LN(2)/2))/(LN(2)/2)*V141*Y141*VLOOKUP('Données projet'!$B$9,Paramètres!$A$1:$I$89,3,0)*0.475*44/12</f>
        <v>3.5888881073089455E-12</v>
      </c>
      <c r="AC141" s="22">
        <f t="shared" si="111"/>
        <v>26.497050052681672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4.5815795601811263E-14</v>
      </c>
      <c r="AK141" s="13">
        <f t="shared" si="143"/>
        <v>7.5374618042508364E-13</v>
      </c>
      <c r="AL141" s="20">
        <f t="shared" si="112"/>
        <v>1.392570441580175E-12</v>
      </c>
      <c r="AM141" s="59">
        <f t="shared" si="113"/>
        <v>293.33333333333468</v>
      </c>
      <c r="AN141" s="59">
        <f ca="1">AVERAGE(OFFSET($AM$3,0,0,'Données projet'!$E$10+1,1))-AVERAGE(OFFSET($H$3,0,0,'Données projet'!$E$10+1,1))</f>
        <v>344.29957955721721</v>
      </c>
      <c r="AO141" s="59">
        <f t="shared" si="144"/>
        <v>297.12790038882594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71.006051758218632</v>
      </c>
      <c r="AV141" s="21">
        <f>EXP(-LN(2)/25)*AV140+(1-EXP(-LN(2)/25))/(LN(2)/25)*Calculateur!AQ141*Calculateur!AS141*VLOOKUP('Données projet'!$B$10,Paramètres!$A$1:$I$89,3,0)*0.475*44/12</f>
        <v>15.266987364900942</v>
      </c>
      <c r="AW141" s="21">
        <f>EXP(-LN(2)/2)*AW140+(1-EXP(-LN(2)/2))/(LN(2)/2)*AQ141*AT141*VLOOKUP('Données projet'!$B$10,Paramètres!$A$1:$I$89,3,0)*0.475*44/12</f>
        <v>1.5500192682929962E-7</v>
      </c>
      <c r="AX141" s="21">
        <f t="shared" si="114"/>
        <v>86.273039278121502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2.2737367544323206E-13</v>
      </c>
      <c r="BE141" s="13">
        <f>BD141*VLOOKUP('Données projet'!$B$11,Paramètres!$A$1:$I$89,3,0)*VLOOKUP('Données projet'!$B$11,Paramètres!$A$1:$I$89,5,0)</f>
        <v>1.064108801074326E-13</v>
      </c>
      <c r="BF141" s="13">
        <f t="shared" si="145"/>
        <v>1.5870730813698654E-12</v>
      </c>
      <c r="BG141" s="20">
        <f t="shared" si="115"/>
        <v>2.9494845662396269E-12</v>
      </c>
      <c r="BH141" s="59">
        <f t="shared" si="116"/>
        <v>293.33333333333627</v>
      </c>
      <c r="BI141" s="59">
        <f ca="1">AVERAGE(OFFSET($BH$3,0,0,'Données projet'!$E$11+1,1))-AVERAGE(OFFSET($H$3,0,0,'Données projet'!$E$11+1,1))</f>
        <v>234.83702199169585</v>
      </c>
      <c r="BJ141" s="59">
        <f t="shared" si="146"/>
        <v>248.83008816685089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20.587291557824045</v>
      </c>
      <c r="BQ141" s="21">
        <f>EXP(-LN(2)/25)*BQ140+(1-EXP(-LN(2)/25))/(LN(2)/25)*Calculateur!BL141*Calculateur!BN141*VLOOKUP('Données projet'!$B$11,Paramètres!$A$1:$I$89,3,0)*0.475*44/12</f>
        <v>5.2696450093596203</v>
      </c>
      <c r="BR141" s="21">
        <f>EXP(-LN(2)/2)*BR140+(1-EXP(-LN(2)/2))/(LN(2)/2)*BL141*BO141*VLOOKUP('Données projet'!$B$11,Paramètres!$A$1:$I$89,3,0)*0.475*44/12</f>
        <v>9.2492337897877016E-12</v>
      </c>
      <c r="BS141" s="22">
        <f t="shared" si="117"/>
        <v>25.856936567192914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2.2737367544323206E-13</v>
      </c>
      <c r="BZ141" s="13">
        <f>BY141*VLOOKUP('Données projet'!$B$12,Paramètres!$A$1:$I$89,3,0)*VLOOKUP('Données projet'!$B$12,Paramètres!$A$1:$I$89,5,0)</f>
        <v>1.0049916454590858E-13</v>
      </c>
      <c r="CA141" s="13">
        <f t="shared" si="147"/>
        <v>1.5089081593838289E-12</v>
      </c>
      <c r="CB141" s="20">
        <f t="shared" si="118"/>
        <v>2.8030510891776262E-12</v>
      </c>
      <c r="CC141" s="59">
        <f t="shared" si="119"/>
        <v>293.3333333333361</v>
      </c>
      <c r="CD141" s="59">
        <f ca="1">AVERAGE(OFFSET($CC$3,0,0,'Données projet'!$E$12+1,1))-AVERAGE(OFFSET($H$3,0,0,'Données projet'!$E$12+1,1))</f>
        <v>220.26537310502334</v>
      </c>
      <c r="CE141" s="59">
        <f t="shared" si="148"/>
        <v>233.26853625122016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19.443553137944917</v>
      </c>
      <c r="CL141" s="21">
        <f>EXP(-LN(2)/25)*CL140+(1-EXP(-LN(2)/25))/(LN(2)/25)*Calculateur!CG141*Calculateur!CI141*VLOOKUP('Données projet'!$B$12,Paramètres!$A$1:$I$89,3,0)*0.475*44/12</f>
        <v>4.9768869532840876</v>
      </c>
      <c r="CM141" s="21">
        <f>EXP(-LN(2)/2)*CM140+(1-EXP(-LN(2)/2))/(LN(2)/2)*CG141*CJ141*VLOOKUP('Données projet'!$B$12,Paramètres!$A$1:$I$89,3,0)*0.475*44/12</f>
        <v>8.7353874681328315E-12</v>
      </c>
      <c r="CN141" s="22">
        <f t="shared" si="120"/>
        <v>24.42044009123774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-1.5961632016114892E-13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263.37813242097957</v>
      </c>
      <c r="T142" s="59">
        <f t="shared" si="142"/>
        <v>314.89350816766904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20.920200090722719</v>
      </c>
      <c r="AA142" s="21">
        <f>EXP(-LN(2)/25)*AA141+(1-EXP(-LN(2)/25))/(LN(2)/25)*Calculateur!V142*Calculateur!X142*VLOOKUP('Données projet'!$B$9,Paramètres!$A$1:$I$89,3,0)*0.475*44/12</f>
        <v>5.0173552353683419</v>
      </c>
      <c r="AB142" s="21">
        <f>EXP(-LN(2)/2)*AB141+(1-EXP(-LN(2)/2))/(LN(2)/2)*V142*Y142*VLOOKUP('Données projet'!$B$9,Paramètres!$A$1:$I$89,3,0)*0.475*44/12</f>
        <v>2.5377271175979096E-12</v>
      </c>
      <c r="AC142" s="22">
        <f t="shared" si="111"/>
        <v>25.937555326093598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4.5815795601811263E-14</v>
      </c>
      <c r="AK142" s="13">
        <f t="shared" si="143"/>
        <v>7.5374618042508364E-13</v>
      </c>
      <c r="AL142" s="20">
        <f t="shared" si="112"/>
        <v>1.392570441580175E-12</v>
      </c>
      <c r="AM142" s="59">
        <f t="shared" si="113"/>
        <v>293.33333333333468</v>
      </c>
      <c r="AN142" s="59">
        <f ca="1">AVERAGE(OFFSET($AM$3,0,0,'Données projet'!$E$10+1,1))-AVERAGE(OFFSET($H$3,0,0,'Données projet'!$E$10+1,1))</f>
        <v>344.29957955721721</v>
      </c>
      <c r="AO142" s="59">
        <f t="shared" si="144"/>
        <v>297.12790038882594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69.613666392655091</v>
      </c>
      <c r="AV142" s="21">
        <f>EXP(-LN(2)/25)*AV141+(1-EXP(-LN(2)/25))/(LN(2)/25)*Calculateur!AQ142*Calculateur!AS142*VLOOKUP('Données projet'!$B$10,Paramètres!$A$1:$I$89,3,0)*0.475*44/12</f>
        <v>14.849510792551753</v>
      </c>
      <c r="AW142" s="21">
        <f>EXP(-LN(2)/2)*AW141+(1-EXP(-LN(2)/2))/(LN(2)/2)*AQ142*AT142*VLOOKUP('Données projet'!$B$10,Paramètres!$A$1:$I$89,3,0)*0.475*44/12</f>
        <v>1.0960291355797882E-7</v>
      </c>
      <c r="AX142" s="21">
        <f t="shared" si="114"/>
        <v>84.463177294809753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2.2737367544323206E-13</v>
      </c>
      <c r="BE142" s="13">
        <f>BD142*VLOOKUP('Données projet'!$B$11,Paramètres!$A$1:$I$89,3,0)*VLOOKUP('Données projet'!$B$11,Paramètres!$A$1:$I$89,5,0)</f>
        <v>1.064108801074326E-13</v>
      </c>
      <c r="BF142" s="13">
        <f t="shared" si="145"/>
        <v>1.5870730813698654E-12</v>
      </c>
      <c r="BG142" s="20">
        <f t="shared" si="115"/>
        <v>2.9494845662396269E-12</v>
      </c>
      <c r="BH142" s="59">
        <f t="shared" si="116"/>
        <v>293.33333333333627</v>
      </c>
      <c r="BI142" s="59">
        <f ca="1">AVERAGE(OFFSET($BH$3,0,0,'Données projet'!$E$11+1,1))-AVERAGE(OFFSET($H$3,0,0,'Données projet'!$E$11+1,1))</f>
        <v>234.83702199169585</v>
      </c>
      <c r="BJ142" s="59">
        <f t="shared" si="146"/>
        <v>248.83008816685089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20.183587327383066</v>
      </c>
      <c r="BQ142" s="21">
        <f>EXP(-LN(2)/25)*BQ141+(1-EXP(-LN(2)/25))/(LN(2)/25)*Calculateur!BL142*Calculateur!BN142*VLOOKUP('Données projet'!$B$11,Paramètres!$A$1:$I$89,3,0)*0.475*44/12</f>
        <v>5.1255462894600941</v>
      </c>
      <c r="BR142" s="21">
        <f>EXP(-LN(2)/2)*BR141+(1-EXP(-LN(2)/2))/(LN(2)/2)*BL142*BO142*VLOOKUP('Données projet'!$B$11,Paramètres!$A$1:$I$89,3,0)*0.475*44/12</f>
        <v>6.5401959335386341E-12</v>
      </c>
      <c r="BS142" s="22">
        <f t="shared" si="117"/>
        <v>25.309133616849699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2.2737367544323206E-13</v>
      </c>
      <c r="BZ142" s="13">
        <f>BY142*VLOOKUP('Données projet'!$B$12,Paramètres!$A$1:$I$89,3,0)*VLOOKUP('Données projet'!$B$12,Paramètres!$A$1:$I$89,5,0)</f>
        <v>1.0049916454590858E-13</v>
      </c>
      <c r="CA142" s="13">
        <f t="shared" si="147"/>
        <v>1.5089081593838289E-12</v>
      </c>
      <c r="CB142" s="20">
        <f t="shared" si="118"/>
        <v>2.8030510891776262E-12</v>
      </c>
      <c r="CC142" s="59">
        <f t="shared" si="119"/>
        <v>293.3333333333361</v>
      </c>
      <c r="CD142" s="59">
        <f ca="1">AVERAGE(OFFSET($CC$3,0,0,'Données projet'!$E$12+1,1))-AVERAGE(OFFSET($H$3,0,0,'Données projet'!$E$12+1,1))</f>
        <v>220.26537310502334</v>
      </c>
      <c r="CE142" s="59">
        <f t="shared" si="148"/>
        <v>233.26853625122016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19.062276920306214</v>
      </c>
      <c r="CL142" s="21">
        <f>EXP(-LN(2)/25)*CL141+(1-EXP(-LN(2)/25))/(LN(2)/25)*Calculateur!CG142*Calculateur!CI142*VLOOKUP('Données projet'!$B$12,Paramètres!$A$1:$I$89,3,0)*0.475*44/12</f>
        <v>4.8407937178234244</v>
      </c>
      <c r="CM142" s="21">
        <f>EXP(-LN(2)/2)*CM141+(1-EXP(-LN(2)/2))/(LN(2)/2)*CG142*CJ142*VLOOKUP('Données projet'!$B$12,Paramètres!$A$1:$I$89,3,0)*0.475*44/12</f>
        <v>6.1768517150087116E-12</v>
      </c>
      <c r="CN142" s="22">
        <f t="shared" si="120"/>
        <v>23.903070638135816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-1.5961632016114892E-13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263.37813242097957</v>
      </c>
      <c r="T143" s="59">
        <f t="shared" si="142"/>
        <v>314.89350816766904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20.509967727005751</v>
      </c>
      <c r="AA143" s="21">
        <f>EXP(-LN(2)/25)*AA142+(1-EXP(-LN(2)/25))/(LN(2)/25)*Calculateur!V143*Calculateur!X143*VLOOKUP('Données projet'!$B$9,Paramètres!$A$1:$I$89,3,0)*0.475*44/12</f>
        <v>4.8801553926059498</v>
      </c>
      <c r="AB143" s="21">
        <f>EXP(-LN(2)/2)*AB142+(1-EXP(-LN(2)/2))/(LN(2)/2)*V143*Y143*VLOOKUP('Données projet'!$B$9,Paramètres!$A$1:$I$89,3,0)*0.475*44/12</f>
        <v>1.7944440536544731E-12</v>
      </c>
      <c r="AC143" s="22">
        <f t="shared" si="111"/>
        <v>25.390123119613495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4.5815795601811263E-14</v>
      </c>
      <c r="AK143" s="13">
        <f t="shared" si="143"/>
        <v>7.5374618042508364E-13</v>
      </c>
      <c r="AL143" s="20">
        <f t="shared" si="112"/>
        <v>1.392570441580175E-12</v>
      </c>
      <c r="AM143" s="59">
        <f t="shared" si="113"/>
        <v>293.33333333333468</v>
      </c>
      <c r="AN143" s="59">
        <f ca="1">AVERAGE(OFFSET($AM$3,0,0,'Données projet'!$E$10+1,1))-AVERAGE(OFFSET($H$3,0,0,'Données projet'!$E$10+1,1))</f>
        <v>344.29957955721721</v>
      </c>
      <c r="AO143" s="59">
        <f t="shared" si="144"/>
        <v>297.12790038882594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68.248584854839038</v>
      </c>
      <c r="AV143" s="21">
        <f>EXP(-LN(2)/25)*AV142+(1-EXP(-LN(2)/25))/(LN(2)/25)*Calculateur!AQ143*Calculateur!AS143*VLOOKUP('Données projet'!$B$10,Paramètres!$A$1:$I$89,3,0)*0.475*44/12</f>
        <v>14.443450139027592</v>
      </c>
      <c r="AW143" s="21">
        <f>EXP(-LN(2)/2)*AW142+(1-EXP(-LN(2)/2))/(LN(2)/2)*AQ143*AT143*VLOOKUP('Données projet'!$B$10,Paramètres!$A$1:$I$89,3,0)*0.475*44/12</f>
        <v>7.7500963414649811E-8</v>
      </c>
      <c r="AX143" s="21">
        <f t="shared" si="114"/>
        <v>82.692035071367584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2.2737367544323206E-13</v>
      </c>
      <c r="BE143" s="13">
        <f>BD143*VLOOKUP('Données projet'!$B$11,Paramètres!$A$1:$I$89,3,0)*VLOOKUP('Données projet'!$B$11,Paramètres!$A$1:$I$89,5,0)</f>
        <v>1.064108801074326E-13</v>
      </c>
      <c r="BF143" s="13">
        <f t="shared" si="145"/>
        <v>1.5870730813698654E-12</v>
      </c>
      <c r="BG143" s="20">
        <f t="shared" si="115"/>
        <v>2.9494845662396269E-12</v>
      </c>
      <c r="BH143" s="59">
        <f t="shared" si="116"/>
        <v>293.33333333333627</v>
      </c>
      <c r="BI143" s="59">
        <f ca="1">AVERAGE(OFFSET($BH$3,0,0,'Données projet'!$E$11+1,1))-AVERAGE(OFFSET($H$3,0,0,'Données projet'!$E$11+1,1))</f>
        <v>234.83702199169585</v>
      </c>
      <c r="BJ143" s="59">
        <f t="shared" si="146"/>
        <v>248.83008816685089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19.787799490665765</v>
      </c>
      <c r="BQ143" s="21">
        <f>EXP(-LN(2)/25)*BQ142+(1-EXP(-LN(2)/25))/(LN(2)/25)*Calculateur!BL143*Calculateur!BN143*VLOOKUP('Données projet'!$B$11,Paramètres!$A$1:$I$89,3,0)*0.475*44/12</f>
        <v>4.9853879566340433</v>
      </c>
      <c r="BR143" s="21">
        <f>EXP(-LN(2)/2)*BR142+(1-EXP(-LN(2)/2))/(LN(2)/2)*BL143*BO143*VLOOKUP('Données projet'!$B$11,Paramètres!$A$1:$I$89,3,0)*0.475*44/12</f>
        <v>4.6246168948938508E-12</v>
      </c>
      <c r="BS143" s="22">
        <f t="shared" si="117"/>
        <v>24.773187447304434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2.2737367544323206E-13</v>
      </c>
      <c r="BZ143" s="13">
        <f>BY143*VLOOKUP('Données projet'!$B$12,Paramètres!$A$1:$I$89,3,0)*VLOOKUP('Données projet'!$B$12,Paramètres!$A$1:$I$89,5,0)</f>
        <v>1.0049916454590858E-13</v>
      </c>
      <c r="CA143" s="13">
        <f t="shared" si="147"/>
        <v>1.5089081593838289E-12</v>
      </c>
      <c r="CB143" s="20">
        <f t="shared" si="118"/>
        <v>2.8030510891776262E-12</v>
      </c>
      <c r="CC143" s="59">
        <f t="shared" si="119"/>
        <v>293.3333333333361</v>
      </c>
      <c r="CD143" s="59">
        <f ca="1">AVERAGE(OFFSET($CC$3,0,0,'Données projet'!$E$12+1,1))-AVERAGE(OFFSET($H$3,0,0,'Données projet'!$E$12+1,1))</f>
        <v>220.26537310502334</v>
      </c>
      <c r="CE143" s="59">
        <f t="shared" si="148"/>
        <v>233.26853625122016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18.688477296739876</v>
      </c>
      <c r="CL143" s="21">
        <f>EXP(-LN(2)/25)*CL142+(1-EXP(-LN(2)/25))/(LN(2)/25)*Calculateur!CG143*Calculateur!CI143*VLOOKUP('Données projet'!$B$12,Paramètres!$A$1:$I$89,3,0)*0.475*44/12</f>
        <v>4.7084219590432648</v>
      </c>
      <c r="CM143" s="21">
        <f>EXP(-LN(2)/2)*CM142+(1-EXP(-LN(2)/2))/(LN(2)/2)*CG143*CJ143*VLOOKUP('Données projet'!$B$12,Paramètres!$A$1:$I$89,3,0)*0.475*44/12</f>
        <v>4.3676937340664158E-12</v>
      </c>
      <c r="CN143" s="22">
        <f t="shared" si="120"/>
        <v>23.396899255787506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-1.5961632016114892E-13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263.37813242097957</v>
      </c>
      <c r="T144" s="59">
        <f t="shared" si="142"/>
        <v>314.89350816766904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20.107779769724239</v>
      </c>
      <c r="AA144" s="21">
        <f>EXP(-LN(2)/25)*AA143+(1-EXP(-LN(2)/25))/(LN(2)/25)*Calculateur!V144*Calculateur!X144*VLOOKUP('Données projet'!$B$9,Paramètres!$A$1:$I$89,3,0)*0.475*44/12</f>
        <v>4.7467072867589213</v>
      </c>
      <c r="AB144" s="21">
        <f>EXP(-LN(2)/2)*AB143+(1-EXP(-LN(2)/2))/(LN(2)/2)*V144*Y144*VLOOKUP('Données projet'!$B$9,Paramètres!$A$1:$I$89,3,0)*0.475*44/12</f>
        <v>1.268863558798955E-12</v>
      </c>
      <c r="AC144" s="22">
        <f t="shared" si="111"/>
        <v>24.854487056484427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4.5815795601811263E-14</v>
      </c>
      <c r="AK144" s="13">
        <f t="shared" si="143"/>
        <v>7.5374618042508364E-13</v>
      </c>
      <c r="AL144" s="20">
        <f t="shared" si="112"/>
        <v>1.392570441580175E-12</v>
      </c>
      <c r="AM144" s="59">
        <f t="shared" si="113"/>
        <v>293.33333333333468</v>
      </c>
      <c r="AN144" s="59">
        <f ca="1">AVERAGE(OFFSET($AM$3,0,0,'Données projet'!$E$10+1,1))-AVERAGE(OFFSET($H$3,0,0,'Données projet'!$E$10+1,1))</f>
        <v>344.29957955721721</v>
      </c>
      <c r="AO144" s="59">
        <f t="shared" si="144"/>
        <v>297.12790038882594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66.910271733362023</v>
      </c>
      <c r="AV144" s="21">
        <f>EXP(-LN(2)/25)*AV143+(1-EXP(-LN(2)/25))/(LN(2)/25)*Calculateur!AQ144*Calculateur!AS144*VLOOKUP('Données projet'!$B$10,Paramètres!$A$1:$I$89,3,0)*0.475*44/12</f>
        <v>14.04849323542785</v>
      </c>
      <c r="AW144" s="21">
        <f>EXP(-LN(2)/2)*AW143+(1-EXP(-LN(2)/2))/(LN(2)/2)*AQ144*AT144*VLOOKUP('Données projet'!$B$10,Paramètres!$A$1:$I$89,3,0)*0.475*44/12</f>
        <v>5.4801456778989409E-8</v>
      </c>
      <c r="AX144" s="21">
        <f t="shared" si="114"/>
        <v>80.95876502359134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2.2737367544323206E-13</v>
      </c>
      <c r="BE144" s="13">
        <f>BD144*VLOOKUP('Données projet'!$B$11,Paramètres!$A$1:$I$89,3,0)*VLOOKUP('Données projet'!$B$11,Paramètres!$A$1:$I$89,5,0)</f>
        <v>1.064108801074326E-13</v>
      </c>
      <c r="BF144" s="13">
        <f t="shared" si="145"/>
        <v>1.5870730813698654E-12</v>
      </c>
      <c r="BG144" s="20">
        <f t="shared" si="115"/>
        <v>2.9494845662396269E-12</v>
      </c>
      <c r="BH144" s="59">
        <f t="shared" si="116"/>
        <v>293.33333333333627</v>
      </c>
      <c r="BI144" s="59">
        <f ca="1">AVERAGE(OFFSET($BH$3,0,0,'Données projet'!$E$11+1,1))-AVERAGE(OFFSET($H$3,0,0,'Données projet'!$E$11+1,1))</f>
        <v>234.83702199169585</v>
      </c>
      <c r="BJ144" s="59">
        <f t="shared" si="146"/>
        <v>248.83008816685089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19.399772812019748</v>
      </c>
      <c r="BQ144" s="21">
        <f>EXP(-LN(2)/25)*BQ143+(1-EXP(-LN(2)/25))/(LN(2)/25)*Calculateur!BL144*Calculateur!BN144*VLOOKUP('Données projet'!$B$11,Paramètres!$A$1:$I$89,3,0)*0.475*44/12</f>
        <v>4.8490622607897267</v>
      </c>
      <c r="BR144" s="21">
        <f>EXP(-LN(2)/2)*BR143+(1-EXP(-LN(2)/2))/(LN(2)/2)*BL144*BO144*VLOOKUP('Données projet'!$B$11,Paramètres!$A$1:$I$89,3,0)*0.475*44/12</f>
        <v>3.270097966769317E-12</v>
      </c>
      <c r="BS144" s="22">
        <f t="shared" si="117"/>
        <v>24.248835072812742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2.2737367544323206E-13</v>
      </c>
      <c r="BZ144" s="13">
        <f>BY144*VLOOKUP('Données projet'!$B$12,Paramètres!$A$1:$I$89,3,0)*VLOOKUP('Données projet'!$B$12,Paramètres!$A$1:$I$89,5,0)</f>
        <v>1.0049916454590858E-13</v>
      </c>
      <c r="CA144" s="13">
        <f t="shared" si="147"/>
        <v>1.5089081593838289E-12</v>
      </c>
      <c r="CB144" s="20">
        <f t="shared" si="118"/>
        <v>2.8030510891776262E-12</v>
      </c>
      <c r="CC144" s="59">
        <f t="shared" si="119"/>
        <v>293.3333333333361</v>
      </c>
      <c r="CD144" s="59">
        <f ca="1">AVERAGE(OFFSET($CC$3,0,0,'Données projet'!$E$12+1,1))-AVERAGE(OFFSET($H$3,0,0,'Données projet'!$E$12+1,1))</f>
        <v>220.26537310502334</v>
      </c>
      <c r="CE144" s="59">
        <f t="shared" si="148"/>
        <v>233.26853625122016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18.322007655796416</v>
      </c>
      <c r="CL144" s="21">
        <f>EXP(-LN(2)/25)*CL143+(1-EXP(-LN(2)/25))/(LN(2)/25)*Calculateur!CG144*Calculateur!CI144*VLOOKUP('Données projet'!$B$12,Paramètres!$A$1:$I$89,3,0)*0.475*44/12</f>
        <v>4.5796699129680771</v>
      </c>
      <c r="CM144" s="21">
        <f>EXP(-LN(2)/2)*CM143+(1-EXP(-LN(2)/2))/(LN(2)/2)*CG144*CJ144*VLOOKUP('Données projet'!$B$12,Paramètres!$A$1:$I$89,3,0)*0.475*44/12</f>
        <v>3.0884258575043558E-12</v>
      </c>
      <c r="CN144" s="22">
        <f t="shared" si="120"/>
        <v>22.901677568767578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-1.5961632016114892E-13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263.37813242097957</v>
      </c>
      <c r="T145" s="59">
        <f t="shared" si="142"/>
        <v>314.89350816766904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19.713478472974582</v>
      </c>
      <c r="AA145" s="21">
        <f>EXP(-LN(2)/25)*AA144+(1-EXP(-LN(2)/25))/(LN(2)/25)*Calculateur!V145*Calculateur!X145*VLOOKUP('Données projet'!$B$9,Paramètres!$A$1:$I$89,3,0)*0.475*44/12</f>
        <v>4.6169083263840109</v>
      </c>
      <c r="AB145" s="21">
        <f>EXP(-LN(2)/2)*AB144+(1-EXP(-LN(2)/2))/(LN(2)/2)*V145*Y145*VLOOKUP('Données projet'!$B$9,Paramètres!$A$1:$I$89,3,0)*0.475*44/12</f>
        <v>8.9722202682723667E-13</v>
      </c>
      <c r="AC145" s="22">
        <f t="shared" si="111"/>
        <v>24.330386799359491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4.5815795601811263E-14</v>
      </c>
      <c r="AK145" s="13">
        <f t="shared" si="143"/>
        <v>7.5374618042508364E-13</v>
      </c>
      <c r="AL145" s="20">
        <f t="shared" si="112"/>
        <v>1.392570441580175E-12</v>
      </c>
      <c r="AM145" s="59">
        <f t="shared" si="113"/>
        <v>293.33333333333468</v>
      </c>
      <c r="AN145" s="59">
        <f ca="1">AVERAGE(OFFSET($AM$3,0,0,'Données projet'!$E$10+1,1))-AVERAGE(OFFSET($H$3,0,0,'Données projet'!$E$10+1,1))</f>
        <v>344.29957955721721</v>
      </c>
      <c r="AO145" s="59">
        <f t="shared" si="144"/>
        <v>297.12790038882594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65.598202115906773</v>
      </c>
      <c r="AV145" s="21">
        <f>EXP(-LN(2)/25)*AV144+(1-EXP(-LN(2)/25))/(LN(2)/25)*Calculateur!AQ145*Calculateur!AS145*VLOOKUP('Données projet'!$B$10,Paramètres!$A$1:$I$89,3,0)*0.475*44/12</f>
        <v>13.664336449126925</v>
      </c>
      <c r="AW145" s="21">
        <f>EXP(-LN(2)/2)*AW144+(1-EXP(-LN(2)/2))/(LN(2)/2)*AQ145*AT145*VLOOKUP('Données projet'!$B$10,Paramètres!$A$1:$I$89,3,0)*0.475*44/12</f>
        <v>3.8750481707324905E-8</v>
      </c>
      <c r="AX145" s="21">
        <f t="shared" si="114"/>
        <v>79.262538603784179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2.2737367544323206E-13</v>
      </c>
      <c r="BE145" s="13">
        <f>BD145*VLOOKUP('Données projet'!$B$11,Paramètres!$A$1:$I$89,3,0)*VLOOKUP('Données projet'!$B$11,Paramètres!$A$1:$I$89,5,0)</f>
        <v>1.064108801074326E-13</v>
      </c>
      <c r="BF145" s="13">
        <f t="shared" si="145"/>
        <v>1.5870730813698654E-12</v>
      </c>
      <c r="BG145" s="20">
        <f t="shared" si="115"/>
        <v>2.9494845662396269E-12</v>
      </c>
      <c r="BH145" s="59">
        <f t="shared" si="116"/>
        <v>293.33333333333627</v>
      </c>
      <c r="BI145" s="59">
        <f ca="1">AVERAGE(OFFSET($BH$3,0,0,'Données projet'!$E$11+1,1))-AVERAGE(OFFSET($H$3,0,0,'Données projet'!$E$11+1,1))</f>
        <v>234.83702199169585</v>
      </c>
      <c r="BJ145" s="59">
        <f t="shared" si="146"/>
        <v>248.83008816685089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19.019355099869074</v>
      </c>
      <c r="BQ145" s="21">
        <f>EXP(-LN(2)/25)*BQ144+(1-EXP(-LN(2)/25))/(LN(2)/25)*Calculateur!BL145*Calculateur!BN145*VLOOKUP('Données projet'!$B$11,Paramètres!$A$1:$I$89,3,0)*0.475*44/12</f>
        <v>4.7164643982673304</v>
      </c>
      <c r="BR145" s="21">
        <f>EXP(-LN(2)/2)*BR144+(1-EXP(-LN(2)/2))/(LN(2)/2)*BL145*BO145*VLOOKUP('Données projet'!$B$11,Paramètres!$A$1:$I$89,3,0)*0.475*44/12</f>
        <v>2.3123084474469254E-12</v>
      </c>
      <c r="BS145" s="22">
        <f t="shared" si="117"/>
        <v>23.735819498138717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2.2737367544323206E-13</v>
      </c>
      <c r="BZ145" s="13">
        <f>BY145*VLOOKUP('Données projet'!$B$12,Paramètres!$A$1:$I$89,3,0)*VLOOKUP('Données projet'!$B$12,Paramètres!$A$1:$I$89,5,0)</f>
        <v>1.0049916454590858E-13</v>
      </c>
      <c r="CA145" s="13">
        <f t="shared" si="147"/>
        <v>1.5089081593838289E-12</v>
      </c>
      <c r="CB145" s="20">
        <f t="shared" si="118"/>
        <v>2.8030510891776262E-12</v>
      </c>
      <c r="CC145" s="59">
        <f t="shared" si="119"/>
        <v>293.3333333333361</v>
      </c>
      <c r="CD145" s="59">
        <f ca="1">AVERAGE(OFFSET($CC$3,0,0,'Données projet'!$E$12+1,1))-AVERAGE(OFFSET($H$3,0,0,'Données projet'!$E$12+1,1))</f>
        <v>220.26537310502334</v>
      </c>
      <c r="CE145" s="59">
        <f t="shared" si="148"/>
        <v>233.26853625122016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17.962724260987446</v>
      </c>
      <c r="CL145" s="21">
        <f>EXP(-LN(2)/25)*CL144+(1-EXP(-LN(2)/25))/(LN(2)/25)*Calculateur!CG145*Calculateur!CI145*VLOOKUP('Données projet'!$B$12,Paramètres!$A$1:$I$89,3,0)*0.475*44/12</f>
        <v>4.4544385983635912</v>
      </c>
      <c r="CM145" s="21">
        <f>EXP(-LN(2)/2)*CM144+(1-EXP(-LN(2)/2))/(LN(2)/2)*CG145*CJ145*VLOOKUP('Données projet'!$B$12,Paramètres!$A$1:$I$89,3,0)*0.475*44/12</f>
        <v>2.1838468670332079E-12</v>
      </c>
      <c r="CN145" s="22">
        <f t="shared" si="120"/>
        <v>22.417162859353223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-1.5961632016114892E-13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263.37813242097957</v>
      </c>
      <c r="T146" s="59">
        <f t="shared" si="142"/>
        <v>314.89350816766904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19.326909184154143</v>
      </c>
      <c r="AA146" s="21">
        <f>EXP(-LN(2)/25)*AA145+(1-EXP(-LN(2)/25))/(LN(2)/25)*Calculateur!V146*Calculateur!X146*VLOOKUP('Données projet'!$B$9,Paramètres!$A$1:$I$89,3,0)*0.475*44/12</f>
        <v>4.4906587254063837</v>
      </c>
      <c r="AB146" s="21">
        <f>EXP(-LN(2)/2)*AB145+(1-EXP(-LN(2)/2))/(LN(2)/2)*V146*Y146*VLOOKUP('Données projet'!$B$9,Paramètres!$A$1:$I$89,3,0)*0.475*44/12</f>
        <v>6.3443177939947759E-13</v>
      </c>
      <c r="AC146" s="22">
        <f t="shared" si="111"/>
        <v>23.817567909561163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4.5815795601811263E-14</v>
      </c>
      <c r="AK146" s="13">
        <f t="shared" si="143"/>
        <v>7.5374618042508364E-13</v>
      </c>
      <c r="AL146" s="20">
        <f t="shared" si="112"/>
        <v>1.392570441580175E-12</v>
      </c>
      <c r="AM146" s="59">
        <f t="shared" si="113"/>
        <v>293.33333333333468</v>
      </c>
      <c r="AN146" s="59">
        <f ca="1">AVERAGE(OFFSET($AM$3,0,0,'Données projet'!$E$10+1,1))-AVERAGE(OFFSET($H$3,0,0,'Données projet'!$E$10+1,1))</f>
        <v>344.29957955721721</v>
      </c>
      <c r="AO146" s="59">
        <f t="shared" si="144"/>
        <v>297.12790038882594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64.311861383366377</v>
      </c>
      <c r="AV146" s="21">
        <f>EXP(-LN(2)/25)*AV145+(1-EXP(-LN(2)/25))/(LN(2)/25)*Calculateur!AQ146*Calculateur!AS146*VLOOKUP('Données projet'!$B$10,Paramètres!$A$1:$I$89,3,0)*0.475*44/12</f>
        <v>13.290684450349325</v>
      </c>
      <c r="AW146" s="21">
        <f>EXP(-LN(2)/2)*AW145+(1-EXP(-LN(2)/2))/(LN(2)/2)*AQ146*AT146*VLOOKUP('Données projet'!$B$10,Paramètres!$A$1:$I$89,3,0)*0.475*44/12</f>
        <v>2.7400728389494705E-8</v>
      </c>
      <c r="AX146" s="21">
        <f t="shared" si="114"/>
        <v>77.60254586111644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2.2737367544323206E-13</v>
      </c>
      <c r="BE146" s="13">
        <f>BD146*VLOOKUP('Données projet'!$B$11,Paramètres!$A$1:$I$89,3,0)*VLOOKUP('Données projet'!$B$11,Paramètres!$A$1:$I$89,5,0)</f>
        <v>1.064108801074326E-13</v>
      </c>
      <c r="BF146" s="13">
        <f t="shared" si="145"/>
        <v>1.5870730813698654E-12</v>
      </c>
      <c r="BG146" s="20">
        <f t="shared" si="115"/>
        <v>2.9494845662396269E-12</v>
      </c>
      <c r="BH146" s="59">
        <f t="shared" si="116"/>
        <v>293.33333333333627</v>
      </c>
      <c r="BI146" s="59">
        <f ca="1">AVERAGE(OFFSET($BH$3,0,0,'Données projet'!$E$11+1,1))-AVERAGE(OFFSET($H$3,0,0,'Données projet'!$E$11+1,1))</f>
        <v>234.83702199169585</v>
      </c>
      <c r="BJ146" s="59">
        <f t="shared" si="146"/>
        <v>248.83008816685089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18.646397147021784</v>
      </c>
      <c r="BQ146" s="21">
        <f>EXP(-LN(2)/25)*BQ145+(1-EXP(-LN(2)/25))/(LN(2)/25)*Calculateur!BL146*Calculateur!BN146*VLOOKUP('Données projet'!$B$11,Paramètres!$A$1:$I$89,3,0)*0.475*44/12</f>
        <v>4.5874924312686272</v>
      </c>
      <c r="BR146" s="21">
        <f>EXP(-LN(2)/2)*BR145+(1-EXP(-LN(2)/2))/(LN(2)/2)*BL146*BO146*VLOOKUP('Données projet'!$B$11,Paramètres!$A$1:$I$89,3,0)*0.475*44/12</f>
        <v>1.6350489833846585E-12</v>
      </c>
      <c r="BS146" s="22">
        <f t="shared" si="117"/>
        <v>23.233889578292043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2.2737367544323206E-13</v>
      </c>
      <c r="BZ146" s="13">
        <f>BY146*VLOOKUP('Données projet'!$B$12,Paramètres!$A$1:$I$89,3,0)*VLOOKUP('Données projet'!$B$12,Paramètres!$A$1:$I$89,5,0)</f>
        <v>1.0049916454590858E-13</v>
      </c>
      <c r="CA146" s="13">
        <f t="shared" si="147"/>
        <v>1.5089081593838289E-12</v>
      </c>
      <c r="CB146" s="20">
        <f t="shared" si="118"/>
        <v>2.8030510891776262E-12</v>
      </c>
      <c r="CC146" s="59">
        <f t="shared" si="119"/>
        <v>293.3333333333361</v>
      </c>
      <c r="CD146" s="59">
        <f ca="1">AVERAGE(OFFSET($CC$3,0,0,'Données projet'!$E$12+1,1))-AVERAGE(OFFSET($H$3,0,0,'Données projet'!$E$12+1,1))</f>
        <v>220.26537310502334</v>
      </c>
      <c r="CE146" s="59">
        <f t="shared" si="148"/>
        <v>233.26853625122016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17.61048619440945</v>
      </c>
      <c r="CL146" s="21">
        <f>EXP(-LN(2)/25)*CL145+(1-EXP(-LN(2)/25))/(LN(2)/25)*Calculateur!CG146*Calculateur!CI146*VLOOKUP('Données projet'!$B$12,Paramètres!$A$1:$I$89,3,0)*0.475*44/12</f>
        <v>4.3326317406425936</v>
      </c>
      <c r="CM146" s="21">
        <f>EXP(-LN(2)/2)*CM145+(1-EXP(-LN(2)/2))/(LN(2)/2)*CG146*CJ146*VLOOKUP('Données projet'!$B$12,Paramètres!$A$1:$I$89,3,0)*0.475*44/12</f>
        <v>1.5442129287521779E-12</v>
      </c>
      <c r="CN146" s="22">
        <f t="shared" si="120"/>
        <v>21.943117935053589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-1.5961632016114892E-13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263.37813242097957</v>
      </c>
      <c r="T147" s="59">
        <f t="shared" si="142"/>
        <v>314.89350816766904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18.947920283303489</v>
      </c>
      <c r="AA147" s="21">
        <f>EXP(-LN(2)/25)*AA146+(1-EXP(-LN(2)/25))/(LN(2)/25)*Calculateur!V147*Calculateur!X147*VLOOKUP('Données projet'!$B$9,Paramètres!$A$1:$I$89,3,0)*0.475*44/12</f>
        <v>4.3678614264066669</v>
      </c>
      <c r="AB147" s="21">
        <f>EXP(-LN(2)/2)*AB146+(1-EXP(-LN(2)/2))/(LN(2)/2)*V147*Y147*VLOOKUP('Données projet'!$B$9,Paramètres!$A$1:$I$89,3,0)*0.475*44/12</f>
        <v>4.4861101341361843E-13</v>
      </c>
      <c r="AC147" s="22">
        <f t="shared" si="111"/>
        <v>23.315781709710603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4.5815795601811263E-14</v>
      </c>
      <c r="AK147" s="13">
        <f t="shared" si="143"/>
        <v>7.5374618042508364E-13</v>
      </c>
      <c r="AL147" s="20">
        <f t="shared" si="112"/>
        <v>1.392570441580175E-12</v>
      </c>
      <c r="AM147" s="59">
        <f t="shared" si="113"/>
        <v>293.33333333333468</v>
      </c>
      <c r="AN147" s="59">
        <f ca="1">AVERAGE(OFFSET($AM$3,0,0,'Données projet'!$E$10+1,1))-AVERAGE(OFFSET($H$3,0,0,'Données projet'!$E$10+1,1))</f>
        <v>344.29957955721721</v>
      </c>
      <c r="AO147" s="59">
        <f t="shared" si="144"/>
        <v>297.12790038882594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63.050745008000725</v>
      </c>
      <c r="AV147" s="21">
        <f>EXP(-LN(2)/25)*AV146+(1-EXP(-LN(2)/25))/(LN(2)/25)*Calculateur!AQ147*Calculateur!AS147*VLOOKUP('Données projet'!$B$10,Paramètres!$A$1:$I$89,3,0)*0.475*44/12</f>
        <v>12.927249985127803</v>
      </c>
      <c r="AW147" s="21">
        <f>EXP(-LN(2)/2)*AW146+(1-EXP(-LN(2)/2))/(LN(2)/2)*AQ147*AT147*VLOOKUP('Données projet'!$B$10,Paramètres!$A$1:$I$89,3,0)*0.475*44/12</f>
        <v>1.9375240853662453E-8</v>
      </c>
      <c r="AX147" s="21">
        <f t="shared" si="114"/>
        <v>75.977995012503769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2.2737367544323206E-13</v>
      </c>
      <c r="BE147" s="13">
        <f>BD147*VLOOKUP('Données projet'!$B$11,Paramètres!$A$1:$I$89,3,0)*VLOOKUP('Données projet'!$B$11,Paramètres!$A$1:$I$89,5,0)</f>
        <v>1.064108801074326E-13</v>
      </c>
      <c r="BF147" s="13">
        <f t="shared" si="145"/>
        <v>1.5870730813698654E-12</v>
      </c>
      <c r="BG147" s="20">
        <f t="shared" si="115"/>
        <v>2.9494845662396269E-12</v>
      </c>
      <c r="BH147" s="59">
        <f t="shared" si="116"/>
        <v>293.33333333333627</v>
      </c>
      <c r="BI147" s="59">
        <f ca="1">AVERAGE(OFFSET($BH$3,0,0,'Données projet'!$E$11+1,1))-AVERAGE(OFFSET($H$3,0,0,'Données projet'!$E$11+1,1))</f>
        <v>234.83702199169585</v>
      </c>
      <c r="BJ147" s="59">
        <f t="shared" si="146"/>
        <v>248.83008816685089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18.280752672147937</v>
      </c>
      <c r="BQ147" s="21">
        <f>EXP(-LN(2)/25)*BQ146+(1-EXP(-LN(2)/25))/(LN(2)/25)*Calculateur!BL147*Calculateur!BN147*VLOOKUP('Données projet'!$B$11,Paramètres!$A$1:$I$89,3,0)*0.475*44/12</f>
        <v>4.4620472094898442</v>
      </c>
      <c r="BR147" s="21">
        <f>EXP(-LN(2)/2)*BR146+(1-EXP(-LN(2)/2))/(LN(2)/2)*BL147*BO147*VLOOKUP('Données projet'!$B$11,Paramètres!$A$1:$I$89,3,0)*0.475*44/12</f>
        <v>1.1561542237234627E-12</v>
      </c>
      <c r="BS147" s="22">
        <f t="shared" si="117"/>
        <v>22.742799881638934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2.2737367544323206E-13</v>
      </c>
      <c r="BZ147" s="13">
        <f>BY147*VLOOKUP('Données projet'!$B$12,Paramètres!$A$1:$I$89,3,0)*VLOOKUP('Données projet'!$B$12,Paramètres!$A$1:$I$89,5,0)</f>
        <v>1.0049916454590858E-13</v>
      </c>
      <c r="CA147" s="13">
        <f t="shared" si="147"/>
        <v>1.5089081593838289E-12</v>
      </c>
      <c r="CB147" s="20">
        <f t="shared" si="118"/>
        <v>2.8030510891776262E-12</v>
      </c>
      <c r="CC147" s="59">
        <f t="shared" si="119"/>
        <v>293.3333333333361</v>
      </c>
      <c r="CD147" s="59">
        <f ca="1">AVERAGE(OFFSET($CC$3,0,0,'Données projet'!$E$12+1,1))-AVERAGE(OFFSET($H$3,0,0,'Données projet'!$E$12+1,1))</f>
        <v>220.26537310502334</v>
      </c>
      <c r="CE147" s="59">
        <f t="shared" si="148"/>
        <v>233.26853625122016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17.26515530147304</v>
      </c>
      <c r="CL147" s="21">
        <f>EXP(-LN(2)/25)*CL146+(1-EXP(-LN(2)/25))/(LN(2)/25)*Calculateur!CG147*Calculateur!CI147*VLOOKUP('Données projet'!$B$12,Paramètres!$A$1:$I$89,3,0)*0.475*44/12</f>
        <v>4.2141556978515213</v>
      </c>
      <c r="CM147" s="21">
        <f>EXP(-LN(2)/2)*CM146+(1-EXP(-LN(2)/2))/(LN(2)/2)*CG147*CJ147*VLOOKUP('Données projet'!$B$12,Paramètres!$A$1:$I$89,3,0)*0.475*44/12</f>
        <v>1.0919234335166039E-12</v>
      </c>
      <c r="CN147" s="22">
        <f t="shared" si="120"/>
        <v>21.479310999325651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-1.5961632016114892E-13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263.37813242097957</v>
      </c>
      <c r="T148" s="59">
        <f t="shared" si="142"/>
        <v>314.89350816766904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18.576363123638114</v>
      </c>
      <c r="AA148" s="21">
        <f>EXP(-LN(2)/25)*AA147+(1-EXP(-LN(2)/25))/(LN(2)/25)*Calculateur!V148*Calculateur!X148*VLOOKUP('Données projet'!$B$9,Paramètres!$A$1:$I$89,3,0)*0.475*44/12</f>
        <v>4.248422026005727</v>
      </c>
      <c r="AB148" s="21">
        <f>EXP(-LN(2)/2)*AB147+(1-EXP(-LN(2)/2))/(LN(2)/2)*V148*Y148*VLOOKUP('Données projet'!$B$9,Paramètres!$A$1:$I$89,3,0)*0.475*44/12</f>
        <v>3.1721588969973885E-13</v>
      </c>
      <c r="AC148" s="22">
        <f t="shared" si="111"/>
        <v>22.824785149644157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4.5815795601811263E-14</v>
      </c>
      <c r="AK148" s="13">
        <f t="shared" si="143"/>
        <v>7.5374618042508364E-13</v>
      </c>
      <c r="AL148" s="20">
        <f t="shared" si="112"/>
        <v>1.392570441580175E-12</v>
      </c>
      <c r="AM148" s="59">
        <f t="shared" si="113"/>
        <v>293.33333333333468</v>
      </c>
      <c r="AN148" s="59">
        <f ca="1">AVERAGE(OFFSET($AM$3,0,0,'Données projet'!$E$10+1,1))-AVERAGE(OFFSET($H$3,0,0,'Données projet'!$E$10+1,1))</f>
        <v>344.29957955721721</v>
      </c>
      <c r="AO148" s="59">
        <f t="shared" si="144"/>
        <v>297.12790038882594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61.814358355550958</v>
      </c>
      <c r="AV148" s="21">
        <f>EXP(-LN(2)/25)*AV147+(1-EXP(-LN(2)/25))/(LN(2)/25)*Calculateur!AQ148*Calculateur!AS148*VLOOKUP('Données projet'!$B$10,Paramètres!$A$1:$I$89,3,0)*0.475*44/12</f>
        <v>12.573753654469952</v>
      </c>
      <c r="AW148" s="21">
        <f>EXP(-LN(2)/2)*AW147+(1-EXP(-LN(2)/2))/(LN(2)/2)*AQ148*AT148*VLOOKUP('Données projet'!$B$10,Paramètres!$A$1:$I$89,3,0)*0.475*44/12</f>
        <v>1.3700364194747352E-8</v>
      </c>
      <c r="AX148" s="21">
        <f t="shared" si="114"/>
        <v>74.388112023721263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2.2737367544323206E-13</v>
      </c>
      <c r="BE148" s="13">
        <f>BD148*VLOOKUP('Données projet'!$B$11,Paramètres!$A$1:$I$89,3,0)*VLOOKUP('Données projet'!$B$11,Paramètres!$A$1:$I$89,5,0)</f>
        <v>1.064108801074326E-13</v>
      </c>
      <c r="BF148" s="13">
        <f t="shared" si="145"/>
        <v>1.5870730813698654E-12</v>
      </c>
      <c r="BG148" s="20">
        <f t="shared" si="115"/>
        <v>2.9494845662396269E-12</v>
      </c>
      <c r="BH148" s="59">
        <f t="shared" si="116"/>
        <v>293.33333333333627</v>
      </c>
      <c r="BI148" s="59">
        <f ca="1">AVERAGE(OFFSET($BH$3,0,0,'Données projet'!$E$11+1,1))-AVERAGE(OFFSET($H$3,0,0,'Données projet'!$E$11+1,1))</f>
        <v>234.83702199169585</v>
      </c>
      <c r="BJ148" s="59">
        <f t="shared" si="146"/>
        <v>248.83008816685089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17.922278262405261</v>
      </c>
      <c r="BQ148" s="21">
        <f>EXP(-LN(2)/25)*BQ147+(1-EXP(-LN(2)/25))/(LN(2)/25)*Calculateur!BL148*Calculateur!BN148*VLOOKUP('Données projet'!$B$11,Paramètres!$A$1:$I$89,3,0)*0.475*44/12</f>
        <v>4.3400322938974796</v>
      </c>
      <c r="BR148" s="21">
        <f>EXP(-LN(2)/2)*BR147+(1-EXP(-LN(2)/2))/(LN(2)/2)*BL148*BO148*VLOOKUP('Données projet'!$B$11,Paramètres!$A$1:$I$89,3,0)*0.475*44/12</f>
        <v>8.1752449169232926E-13</v>
      </c>
      <c r="BS148" s="22">
        <f t="shared" si="117"/>
        <v>22.262310556303557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2.2737367544323206E-13</v>
      </c>
      <c r="BZ148" s="13">
        <f>BY148*VLOOKUP('Données projet'!$B$12,Paramètres!$A$1:$I$89,3,0)*VLOOKUP('Données projet'!$B$12,Paramètres!$A$1:$I$89,5,0)</f>
        <v>1.0049916454590858E-13</v>
      </c>
      <c r="CA148" s="13">
        <f t="shared" si="147"/>
        <v>1.5089081593838289E-12</v>
      </c>
      <c r="CB148" s="20">
        <f t="shared" si="118"/>
        <v>2.8030510891776262E-12</v>
      </c>
      <c r="CC148" s="59">
        <f t="shared" si="119"/>
        <v>293.3333333333361</v>
      </c>
      <c r="CD148" s="59">
        <f ca="1">AVERAGE(OFFSET($CC$3,0,0,'Données projet'!$E$12+1,1))-AVERAGE(OFFSET($H$3,0,0,'Données projet'!$E$12+1,1))</f>
        <v>220.26537310502334</v>
      </c>
      <c r="CE148" s="59">
        <f t="shared" si="148"/>
        <v>233.26853625122016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16.926596136716068</v>
      </c>
      <c r="CL148" s="21">
        <f>EXP(-LN(2)/25)*CL147+(1-EXP(-LN(2)/25))/(LN(2)/25)*Calculateur!CG148*Calculateur!CI148*VLOOKUP('Données projet'!$B$12,Paramètres!$A$1:$I$89,3,0)*0.475*44/12</f>
        <v>4.0989193886809545</v>
      </c>
      <c r="CM148" s="21">
        <f>EXP(-LN(2)/2)*CM147+(1-EXP(-LN(2)/2))/(LN(2)/2)*CG148*CJ148*VLOOKUP('Données projet'!$B$12,Paramètres!$A$1:$I$89,3,0)*0.475*44/12</f>
        <v>7.7210646437608895E-13</v>
      </c>
      <c r="CN148" s="22">
        <f t="shared" si="120"/>
        <v>21.025515525397793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-1.5961632016114892E-13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263.37813242097957</v>
      </c>
      <c r="T149" s="59">
        <f t="shared" si="142"/>
        <v>314.89350816766904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18.212091973246284</v>
      </c>
      <c r="AA149" s="21">
        <f>EXP(-LN(2)/25)*AA148+(1-EXP(-LN(2)/25))/(LN(2)/25)*Calculateur!V149*Calculateur!X149*VLOOKUP('Données projet'!$B$9,Paramètres!$A$1:$I$89,3,0)*0.475*44/12</f>
        <v>4.1322487022897958</v>
      </c>
      <c r="AB149" s="21">
        <f>EXP(-LN(2)/2)*AB148+(1-EXP(-LN(2)/2))/(LN(2)/2)*V149*Y149*VLOOKUP('Données projet'!$B$9,Paramètres!$A$1:$I$89,3,0)*0.475*44/12</f>
        <v>2.2430550670680924E-13</v>
      </c>
      <c r="AC149" s="22">
        <f t="shared" si="111"/>
        <v>22.344340675536305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4.5815795601811263E-14</v>
      </c>
      <c r="AK149" s="13">
        <f t="shared" si="143"/>
        <v>7.5374618042508364E-13</v>
      </c>
      <c r="AL149" s="20">
        <f t="shared" si="112"/>
        <v>1.392570441580175E-12</v>
      </c>
      <c r="AM149" s="59">
        <f t="shared" si="113"/>
        <v>293.33333333333468</v>
      </c>
      <c r="AN149" s="59">
        <f ca="1">AVERAGE(OFFSET($AM$3,0,0,'Données projet'!$E$10+1,1))-AVERAGE(OFFSET($H$3,0,0,'Données projet'!$E$10+1,1))</f>
        <v>344.29957955721721</v>
      </c>
      <c r="AO149" s="59">
        <f t="shared" si="144"/>
        <v>297.12790038882594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60.602216491234337</v>
      </c>
      <c r="AV149" s="21">
        <f>EXP(-LN(2)/25)*AV148+(1-EXP(-LN(2)/25))/(LN(2)/25)*Calculateur!AQ149*Calculateur!AS149*VLOOKUP('Données projet'!$B$10,Paramètres!$A$1:$I$89,3,0)*0.475*44/12</f>
        <v>12.229923699563503</v>
      </c>
      <c r="AW149" s="21">
        <f>EXP(-LN(2)/2)*AW148+(1-EXP(-LN(2)/2))/(LN(2)/2)*AQ149*AT149*VLOOKUP('Données projet'!$B$10,Paramètres!$A$1:$I$89,3,0)*0.475*44/12</f>
        <v>9.6876204268312263E-9</v>
      </c>
      <c r="AX149" s="21">
        <f t="shared" si="114"/>
        <v>72.832140200485469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2.2737367544323206E-13</v>
      </c>
      <c r="BE149" s="13">
        <f>BD149*VLOOKUP('Données projet'!$B$11,Paramètres!$A$1:$I$89,3,0)*VLOOKUP('Données projet'!$B$11,Paramètres!$A$1:$I$89,5,0)</f>
        <v>1.064108801074326E-13</v>
      </c>
      <c r="BF149" s="13">
        <f t="shared" si="145"/>
        <v>1.5870730813698654E-12</v>
      </c>
      <c r="BG149" s="20">
        <f t="shared" si="115"/>
        <v>2.9494845662396269E-12</v>
      </c>
      <c r="BH149" s="59">
        <f t="shared" si="116"/>
        <v>293.33333333333627</v>
      </c>
      <c r="BI149" s="59">
        <f ca="1">AVERAGE(OFFSET($BH$3,0,0,'Données projet'!$E$11+1,1))-AVERAGE(OFFSET($H$3,0,0,'Données projet'!$E$11+1,1))</f>
        <v>234.83702199169585</v>
      </c>
      <c r="BJ149" s="59">
        <f t="shared" si="146"/>
        <v>248.83008816685089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17.570833317189837</v>
      </c>
      <c r="BQ149" s="21">
        <f>EXP(-LN(2)/25)*BQ148+(1-EXP(-LN(2)/25))/(LN(2)/25)*Calculateur!BL149*Calculateur!BN149*VLOOKUP('Données projet'!$B$11,Paramètres!$A$1:$I$89,3,0)*0.475*44/12</f>
        <v>4.221353882588474</v>
      </c>
      <c r="BR149" s="21">
        <f>EXP(-LN(2)/2)*BR148+(1-EXP(-LN(2)/2))/(LN(2)/2)*BL149*BO149*VLOOKUP('Données projet'!$B$11,Paramètres!$A$1:$I$89,3,0)*0.475*44/12</f>
        <v>5.7807711186173135E-13</v>
      </c>
      <c r="BS149" s="22">
        <f t="shared" si="117"/>
        <v>21.792187199778891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2.2737367544323206E-13</v>
      </c>
      <c r="BZ149" s="13">
        <f>BY149*VLOOKUP('Données projet'!$B$12,Paramètres!$A$1:$I$89,3,0)*VLOOKUP('Données projet'!$B$12,Paramètres!$A$1:$I$89,5,0)</f>
        <v>1.0049916454590858E-13</v>
      </c>
      <c r="CA149" s="13">
        <f t="shared" si="147"/>
        <v>1.5089081593838289E-12</v>
      </c>
      <c r="CB149" s="20">
        <f t="shared" si="118"/>
        <v>2.8030510891776262E-12</v>
      </c>
      <c r="CC149" s="59">
        <f t="shared" si="119"/>
        <v>293.3333333333361</v>
      </c>
      <c r="CD149" s="59">
        <f ca="1">AVERAGE(OFFSET($CC$3,0,0,'Données projet'!$E$12+1,1))-AVERAGE(OFFSET($H$3,0,0,'Données projet'!$E$12+1,1))</f>
        <v>220.26537310502334</v>
      </c>
      <c r="CE149" s="59">
        <f t="shared" si="148"/>
        <v>233.26853625122016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16.594675910679278</v>
      </c>
      <c r="CL149" s="21">
        <f>EXP(-LN(2)/25)*CL148+(1-EXP(-LN(2)/25))/(LN(2)/25)*Calculateur!CG149*Calculateur!CI149*VLOOKUP('Données projet'!$B$12,Paramètres!$A$1:$I$89,3,0)*0.475*44/12</f>
        <v>3.9868342224446716</v>
      </c>
      <c r="CM149" s="21">
        <f>EXP(-LN(2)/2)*CM148+(1-EXP(-LN(2)/2))/(LN(2)/2)*CG149*CJ149*VLOOKUP('Données projet'!$B$12,Paramètres!$A$1:$I$89,3,0)*0.475*44/12</f>
        <v>5.4596171675830197E-13</v>
      </c>
      <c r="CN149" s="22">
        <f t="shared" si="120"/>
        <v>20.581510133124496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-1.5961632016114892E-13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263.37813242097957</v>
      </c>
      <c r="T150" s="59">
        <f t="shared" si="142"/>
        <v>314.89350816766904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17.854963957930178</v>
      </c>
      <c r="AA150" s="21">
        <f>EXP(-LN(2)/25)*AA149+(1-EXP(-LN(2)/25))/(LN(2)/25)*Calculateur!V150*Calculateur!X150*VLOOKUP('Données projet'!$B$9,Paramètres!$A$1:$I$89,3,0)*0.475*44/12</f>
        <v>4.0192521442201663</v>
      </c>
      <c r="AB150" s="21">
        <f>EXP(-LN(2)/2)*AB149+(1-EXP(-LN(2)/2))/(LN(2)/2)*V150*Y150*VLOOKUP('Données projet'!$B$9,Paramètres!$A$1:$I$89,3,0)*0.475*44/12</f>
        <v>1.5860794484986945E-13</v>
      </c>
      <c r="AC150" s="22">
        <f t="shared" si="111"/>
        <v>21.874216102150502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4.5815795601811263E-14</v>
      </c>
      <c r="AK150" s="13">
        <f t="shared" si="143"/>
        <v>7.5374618042508364E-13</v>
      </c>
      <c r="AL150" s="20">
        <f t="shared" si="112"/>
        <v>1.392570441580175E-12</v>
      </c>
      <c r="AM150" s="59">
        <f t="shared" si="113"/>
        <v>293.33333333333468</v>
      </c>
      <c r="AN150" s="59">
        <f ca="1">AVERAGE(OFFSET($AM$3,0,0,'Données projet'!$E$10+1,1))-AVERAGE(OFFSET($H$3,0,0,'Données projet'!$E$10+1,1))</f>
        <v>344.29957955721721</v>
      </c>
      <c r="AO150" s="59">
        <f t="shared" si="144"/>
        <v>297.12790038882594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59.41384398954343</v>
      </c>
      <c r="AV150" s="21">
        <f>EXP(-LN(2)/25)*AV149+(1-EXP(-LN(2)/25))/(LN(2)/25)*Calculateur!AQ150*Calculateur!AS150*VLOOKUP('Données projet'!$B$10,Paramètres!$A$1:$I$89,3,0)*0.475*44/12</f>
        <v>11.895495792855204</v>
      </c>
      <c r="AW150" s="21">
        <f>EXP(-LN(2)/2)*AW149+(1-EXP(-LN(2)/2))/(LN(2)/2)*AQ150*AT150*VLOOKUP('Données projet'!$B$10,Paramètres!$A$1:$I$89,3,0)*0.475*44/12</f>
        <v>6.8501820973736762E-9</v>
      </c>
      <c r="AX150" s="21">
        <f t="shared" si="114"/>
        <v>71.309339789248824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2.2737367544323206E-13</v>
      </c>
      <c r="BE150" s="13">
        <f>BD150*VLOOKUP('Données projet'!$B$11,Paramètres!$A$1:$I$89,3,0)*VLOOKUP('Données projet'!$B$11,Paramètres!$A$1:$I$89,5,0)</f>
        <v>1.064108801074326E-13</v>
      </c>
      <c r="BF150" s="13">
        <f t="shared" si="145"/>
        <v>1.5870730813698654E-12</v>
      </c>
      <c r="BG150" s="20">
        <f t="shared" si="115"/>
        <v>2.9494845662396269E-12</v>
      </c>
      <c r="BH150" s="59">
        <f t="shared" si="116"/>
        <v>293.33333333333627</v>
      </c>
      <c r="BI150" s="59">
        <f ca="1">AVERAGE(OFFSET($BH$3,0,0,'Données projet'!$E$11+1,1))-AVERAGE(OFFSET($H$3,0,0,'Données projet'!$E$11+1,1))</f>
        <v>234.83702199169585</v>
      </c>
      <c r="BJ150" s="59">
        <f t="shared" si="146"/>
        <v>248.83008816685089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17.226279992989838</v>
      </c>
      <c r="BQ150" s="21">
        <f>EXP(-LN(2)/25)*BQ149+(1-EXP(-LN(2)/25))/(LN(2)/25)*Calculateur!BL150*Calculateur!BN150*VLOOKUP('Données projet'!$B$11,Paramètres!$A$1:$I$89,3,0)*0.475*44/12</f>
        <v>4.1059207386777397</v>
      </c>
      <c r="BR150" s="21">
        <f>EXP(-LN(2)/2)*BR149+(1-EXP(-LN(2)/2))/(LN(2)/2)*BL150*BO150*VLOOKUP('Données projet'!$B$11,Paramètres!$A$1:$I$89,3,0)*0.475*44/12</f>
        <v>4.0876224584616463E-13</v>
      </c>
      <c r="BS150" s="22">
        <f t="shared" si="117"/>
        <v>21.332200731667985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2.2737367544323206E-13</v>
      </c>
      <c r="BZ150" s="13">
        <f>BY150*VLOOKUP('Données projet'!$B$12,Paramètres!$A$1:$I$89,3,0)*VLOOKUP('Données projet'!$B$12,Paramètres!$A$1:$I$89,5,0)</f>
        <v>1.0049916454590858E-13</v>
      </c>
      <c r="CA150" s="13">
        <f t="shared" si="147"/>
        <v>1.5089081593838289E-12</v>
      </c>
      <c r="CB150" s="20">
        <f t="shared" si="118"/>
        <v>2.8030510891776262E-12</v>
      </c>
      <c r="CC150" s="59">
        <f t="shared" si="119"/>
        <v>293.3333333333361</v>
      </c>
      <c r="CD150" s="59">
        <f ca="1">AVERAGE(OFFSET($CC$3,0,0,'Données projet'!$E$12+1,1))-AVERAGE(OFFSET($H$3,0,0,'Données projet'!$E$12+1,1))</f>
        <v>220.26537310502334</v>
      </c>
      <c r="CE150" s="59">
        <f t="shared" si="148"/>
        <v>233.26853625122016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16.269264437823722</v>
      </c>
      <c r="CL150" s="21">
        <f>EXP(-LN(2)/25)*CL149+(1-EXP(-LN(2)/25))/(LN(2)/25)*Calculateur!CG150*Calculateur!CI150*VLOOKUP('Données projet'!$B$12,Paramètres!$A$1:$I$89,3,0)*0.475*44/12</f>
        <v>3.8778140309734224</v>
      </c>
      <c r="CM150" s="21">
        <f>EXP(-LN(2)/2)*CM149+(1-EXP(-LN(2)/2))/(LN(2)/2)*CG150*CJ150*VLOOKUP('Données projet'!$B$12,Paramètres!$A$1:$I$89,3,0)*0.475*44/12</f>
        <v>3.8605323218804448E-13</v>
      </c>
      <c r="CN150" s="22">
        <f t="shared" si="120"/>
        <v>20.147078468797531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-1.5961632016114892E-13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263.37813242097957</v>
      </c>
      <c r="T151" s="59">
        <f t="shared" si="142"/>
        <v>314.89350816766904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17.504839005167838</v>
      </c>
      <c r="AA151" s="21">
        <f>EXP(-LN(2)/25)*AA150+(1-EXP(-LN(2)/25))/(LN(2)/25)*Calculateur!V151*Calculateur!X151*VLOOKUP('Données projet'!$B$9,Paramètres!$A$1:$I$89,3,0)*0.475*44/12</f>
        <v>3.9093454829731815</v>
      </c>
      <c r="AB151" s="21">
        <f>EXP(-LN(2)/2)*AB150+(1-EXP(-LN(2)/2))/(LN(2)/2)*V151*Y151*VLOOKUP('Données projet'!$B$9,Paramètres!$A$1:$I$89,3,0)*0.475*44/12</f>
        <v>1.1215275335340465E-13</v>
      </c>
      <c r="AC151" s="22">
        <f t="shared" si="111"/>
        <v>21.414184488141132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4.5815795601811263E-14</v>
      </c>
      <c r="AK151" s="13">
        <f t="shared" si="143"/>
        <v>7.5374618042508364E-13</v>
      </c>
      <c r="AL151" s="20">
        <f t="shared" si="112"/>
        <v>1.392570441580175E-12</v>
      </c>
      <c r="AM151" s="59">
        <f t="shared" si="113"/>
        <v>293.33333333333468</v>
      </c>
      <c r="AN151" s="59">
        <f ca="1">AVERAGE(OFFSET($AM$3,0,0,'Données projet'!$E$10+1,1))-AVERAGE(OFFSET($H$3,0,0,'Données projet'!$E$10+1,1))</f>
        <v>344.29957955721721</v>
      </c>
      <c r="AO151" s="59">
        <f t="shared" si="144"/>
        <v>297.12790038882594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58.248774747775023</v>
      </c>
      <c r="AV151" s="21">
        <f>EXP(-LN(2)/25)*AV150+(1-EXP(-LN(2)/25))/(LN(2)/25)*Calculateur!AQ151*Calculateur!AS151*VLOOKUP('Données projet'!$B$10,Paramètres!$A$1:$I$89,3,0)*0.475*44/12</f>
        <v>11.570212834842643</v>
      </c>
      <c r="AW151" s="21">
        <f>EXP(-LN(2)/2)*AW150+(1-EXP(-LN(2)/2))/(LN(2)/2)*AQ151*AT151*VLOOKUP('Données projet'!$B$10,Paramètres!$A$1:$I$89,3,0)*0.475*44/12</f>
        <v>4.8438102134156132E-9</v>
      </c>
      <c r="AX151" s="21">
        <f t="shared" si="114"/>
        <v>69.818987587461478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2.2737367544323206E-13</v>
      </c>
      <c r="BE151" s="13">
        <f>BD151*VLOOKUP('Données projet'!$B$11,Paramètres!$A$1:$I$89,3,0)*VLOOKUP('Données projet'!$B$11,Paramètres!$A$1:$I$89,5,0)</f>
        <v>1.064108801074326E-13</v>
      </c>
      <c r="BF151" s="13">
        <f t="shared" si="145"/>
        <v>1.5870730813698654E-12</v>
      </c>
      <c r="BG151" s="20">
        <f t="shared" si="115"/>
        <v>2.9494845662396269E-12</v>
      </c>
      <c r="BH151" s="59">
        <f t="shared" si="116"/>
        <v>293.33333333333627</v>
      </c>
      <c r="BI151" s="59">
        <f ca="1">AVERAGE(OFFSET($BH$3,0,0,'Données projet'!$E$11+1,1))-AVERAGE(OFFSET($H$3,0,0,'Données projet'!$E$11+1,1))</f>
        <v>234.83702199169585</v>
      </c>
      <c r="BJ151" s="59">
        <f t="shared" si="146"/>
        <v>248.83008816685089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16.888483149320624</v>
      </c>
      <c r="BQ151" s="21">
        <f>EXP(-LN(2)/25)*BQ150+(1-EXP(-LN(2)/25))/(LN(2)/25)*Calculateur!BL151*Calculateur!BN151*VLOOKUP('Données projet'!$B$11,Paramètres!$A$1:$I$89,3,0)*0.475*44/12</f>
        <v>3.9936441201576094</v>
      </c>
      <c r="BR151" s="21">
        <f>EXP(-LN(2)/2)*BR150+(1-EXP(-LN(2)/2))/(LN(2)/2)*BL151*BO151*VLOOKUP('Données projet'!$B$11,Paramètres!$A$1:$I$89,3,0)*0.475*44/12</f>
        <v>2.8903855593086567E-13</v>
      </c>
      <c r="BS151" s="22">
        <f t="shared" si="117"/>
        <v>20.88212726947852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2.2737367544323206E-13</v>
      </c>
      <c r="BZ151" s="13">
        <f>BY151*VLOOKUP('Données projet'!$B$12,Paramètres!$A$1:$I$89,3,0)*VLOOKUP('Données projet'!$B$12,Paramètres!$A$1:$I$89,5,0)</f>
        <v>1.0049916454590858E-13</v>
      </c>
      <c r="CA151" s="13">
        <f t="shared" si="147"/>
        <v>1.5089081593838289E-12</v>
      </c>
      <c r="CB151" s="20">
        <f t="shared" si="118"/>
        <v>2.8030510891776262E-12</v>
      </c>
      <c r="CC151" s="59">
        <f t="shared" si="119"/>
        <v>293.3333333333361</v>
      </c>
      <c r="CD151" s="59">
        <f ca="1">AVERAGE(OFFSET($CC$3,0,0,'Données projet'!$E$12+1,1))-AVERAGE(OFFSET($H$3,0,0,'Données projet'!$E$12+1,1))</f>
        <v>220.26537310502334</v>
      </c>
      <c r="CE151" s="59">
        <f t="shared" si="148"/>
        <v>233.26853625122016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15.950234085469464</v>
      </c>
      <c r="CL151" s="21">
        <f>EXP(-LN(2)/25)*CL150+(1-EXP(-LN(2)/25))/(LN(2)/25)*Calculateur!CG151*Calculateur!CI151*VLOOKUP('Données projet'!$B$12,Paramètres!$A$1:$I$89,3,0)*0.475*44/12</f>
        <v>3.771775002371077</v>
      </c>
      <c r="CM151" s="21">
        <f>EXP(-LN(2)/2)*CM150+(1-EXP(-LN(2)/2))/(LN(2)/2)*CG151*CJ151*VLOOKUP('Données projet'!$B$12,Paramètres!$A$1:$I$89,3,0)*0.475*44/12</f>
        <v>2.7298085837915099E-13</v>
      </c>
      <c r="CN151" s="22">
        <f t="shared" si="120"/>
        <v>19.722009087840814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-1.5961632016114892E-13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263.37813242097957</v>
      </c>
      <c r="T152" s="59">
        <f t="shared" si="142"/>
        <v>314.89350816766904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17.161579789174034</v>
      </c>
      <c r="AA152" s="21">
        <f>EXP(-LN(2)/25)*AA151+(1-EXP(-LN(2)/25))/(LN(2)/25)*Calculateur!V152*Calculateur!X152*VLOOKUP('Données projet'!$B$9,Paramètres!$A$1:$I$89,3,0)*0.475*44/12</f>
        <v>3.8024442251577359</v>
      </c>
      <c r="AB152" s="21">
        <f>EXP(-LN(2)/2)*AB151+(1-EXP(-LN(2)/2))/(LN(2)/2)*V152*Y152*VLOOKUP('Données projet'!$B$9,Paramètres!$A$1:$I$89,3,0)*0.475*44/12</f>
        <v>7.9303972424934737E-14</v>
      </c>
      <c r="AC152" s="22">
        <f t="shared" si="111"/>
        <v>20.964024014331848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4.5815795601811263E-14</v>
      </c>
      <c r="AK152" s="13">
        <f t="shared" si="143"/>
        <v>7.5374618042508364E-13</v>
      </c>
      <c r="AL152" s="20">
        <f t="shared" si="112"/>
        <v>1.392570441580175E-12</v>
      </c>
      <c r="AM152" s="59">
        <f t="shared" si="113"/>
        <v>293.33333333333468</v>
      </c>
      <c r="AN152" s="59">
        <f ca="1">AVERAGE(OFFSET($AM$3,0,0,'Données projet'!$E$10+1,1))-AVERAGE(OFFSET($H$3,0,0,'Données projet'!$E$10+1,1))</f>
        <v>344.29957955721721</v>
      </c>
      <c r="AO152" s="59">
        <f t="shared" si="144"/>
        <v>297.12790038882594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57.106551803215631</v>
      </c>
      <c r="AV152" s="21">
        <f>EXP(-LN(2)/25)*AV151+(1-EXP(-LN(2)/25))/(LN(2)/25)*Calculateur!AQ152*Calculateur!AS152*VLOOKUP('Données projet'!$B$10,Paramètres!$A$1:$I$89,3,0)*0.475*44/12</f>
        <v>11.253824756422821</v>
      </c>
      <c r="AW152" s="21">
        <f>EXP(-LN(2)/2)*AW151+(1-EXP(-LN(2)/2))/(LN(2)/2)*AQ152*AT152*VLOOKUP('Données projet'!$B$10,Paramètres!$A$1:$I$89,3,0)*0.475*44/12</f>
        <v>3.4250910486868381E-9</v>
      </c>
      <c r="AX152" s="21">
        <f t="shared" si="114"/>
        <v>68.360376563063539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2.2737367544323206E-13</v>
      </c>
      <c r="BE152" s="13">
        <f>BD152*VLOOKUP('Données projet'!$B$11,Paramètres!$A$1:$I$89,3,0)*VLOOKUP('Données projet'!$B$11,Paramètres!$A$1:$I$89,5,0)</f>
        <v>1.064108801074326E-13</v>
      </c>
      <c r="BF152" s="13">
        <f t="shared" si="145"/>
        <v>1.5870730813698654E-12</v>
      </c>
      <c r="BG152" s="20">
        <f t="shared" si="115"/>
        <v>2.9494845662396269E-12</v>
      </c>
      <c r="BH152" s="59">
        <f t="shared" si="116"/>
        <v>293.33333333333627</v>
      </c>
      <c r="BI152" s="59">
        <f ca="1">AVERAGE(OFFSET($BH$3,0,0,'Données projet'!$E$11+1,1))-AVERAGE(OFFSET($H$3,0,0,'Données projet'!$E$11+1,1))</f>
        <v>234.83702199169585</v>
      </c>
      <c r="BJ152" s="59">
        <f t="shared" si="146"/>
        <v>248.83008816685089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16.557310295720033</v>
      </c>
      <c r="BQ152" s="21">
        <f>EXP(-LN(2)/25)*BQ151+(1-EXP(-LN(2)/25))/(LN(2)/25)*Calculateur!BL152*Calculateur!BN152*VLOOKUP('Données projet'!$B$11,Paramètres!$A$1:$I$89,3,0)*0.475*44/12</f>
        <v>3.8844377116752828</v>
      </c>
      <c r="BR152" s="21">
        <f>EXP(-LN(2)/2)*BR151+(1-EXP(-LN(2)/2))/(LN(2)/2)*BL152*BO152*VLOOKUP('Données projet'!$B$11,Paramètres!$A$1:$I$89,3,0)*0.475*44/12</f>
        <v>2.0438112292308232E-13</v>
      </c>
      <c r="BS152" s="22">
        <f t="shared" si="117"/>
        <v>20.441748007395521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2.2737367544323206E-13</v>
      </c>
      <c r="BZ152" s="13">
        <f>BY152*VLOOKUP('Données projet'!$B$12,Paramètres!$A$1:$I$89,3,0)*VLOOKUP('Données projet'!$B$12,Paramètres!$A$1:$I$89,5,0)</f>
        <v>1.0049916454590858E-13</v>
      </c>
      <c r="CA152" s="13">
        <f t="shared" si="147"/>
        <v>1.5089081593838289E-12</v>
      </c>
      <c r="CB152" s="20">
        <f t="shared" si="118"/>
        <v>2.8030510891776262E-12</v>
      </c>
      <c r="CC152" s="59">
        <f t="shared" si="119"/>
        <v>293.3333333333361</v>
      </c>
      <c r="CD152" s="59">
        <f ca="1">AVERAGE(OFFSET($CC$3,0,0,'Données projet'!$E$12+1,1))-AVERAGE(OFFSET($H$3,0,0,'Données projet'!$E$12+1,1))</f>
        <v>220.26537310502334</v>
      </c>
      <c r="CE152" s="59">
        <f t="shared" si="148"/>
        <v>233.26853625122016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15.637459723735573</v>
      </c>
      <c r="CL152" s="21">
        <f>EXP(-LN(2)/25)*CL151+(1-EXP(-LN(2)/25))/(LN(2)/25)*Calculateur!CG152*Calculateur!CI152*VLOOKUP('Données projet'!$B$12,Paramètres!$A$1:$I$89,3,0)*0.475*44/12</f>
        <v>3.6686356165822129</v>
      </c>
      <c r="CM152" s="21">
        <f>EXP(-LN(2)/2)*CM151+(1-EXP(-LN(2)/2))/(LN(2)/2)*CG152*CJ152*VLOOKUP('Données projet'!$B$12,Paramètres!$A$1:$I$89,3,0)*0.475*44/12</f>
        <v>1.9302661609402224E-13</v>
      </c>
      <c r="CN152" s="22">
        <f t="shared" si="120"/>
        <v>19.306095340317977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-1.5961632016114892E-13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263.37813242097957</v>
      </c>
      <c r="T153" s="59">
        <f t="shared" si="142"/>
        <v>314.89350816766904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16.82505167703842</v>
      </c>
      <c r="AA153" s="21">
        <f>EXP(-LN(2)/25)*AA152+(1-EXP(-LN(2)/25))/(LN(2)/25)*Calculateur!V153*Calculateur!X153*VLOOKUP('Données projet'!$B$9,Paramètres!$A$1:$I$89,3,0)*0.475*44/12</f>
        <v>3.6984661878589464</v>
      </c>
      <c r="AB153" s="21">
        <f>EXP(-LN(2)/2)*AB152+(1-EXP(-LN(2)/2))/(LN(2)/2)*V153*Y153*VLOOKUP('Données projet'!$B$9,Paramètres!$A$1:$I$89,3,0)*0.475*44/12</f>
        <v>5.607637667670233E-14</v>
      </c>
      <c r="AC153" s="22">
        <f t="shared" si="111"/>
        <v>20.523517864897425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4.5815795601811263E-14</v>
      </c>
      <c r="AK153" s="13">
        <f t="shared" si="143"/>
        <v>7.5374618042508364E-13</v>
      </c>
      <c r="AL153" s="20">
        <f t="shared" si="112"/>
        <v>1.392570441580175E-12</v>
      </c>
      <c r="AM153" s="59">
        <f t="shared" si="113"/>
        <v>293.33333333333468</v>
      </c>
      <c r="AN153" s="59">
        <f ca="1">AVERAGE(OFFSET($AM$3,0,0,'Données projet'!$E$10+1,1))-AVERAGE(OFFSET($H$3,0,0,'Données projet'!$E$10+1,1))</f>
        <v>344.29957955721721</v>
      </c>
      <c r="AO153" s="59">
        <f t="shared" si="144"/>
        <v>297.12790038882594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55.986727153911843</v>
      </c>
      <c r="AV153" s="21">
        <f>EXP(-LN(2)/25)*AV152+(1-EXP(-LN(2)/25))/(LN(2)/25)*Calculateur!AQ153*Calculateur!AS153*VLOOKUP('Données projet'!$B$10,Paramètres!$A$1:$I$89,3,0)*0.475*44/12</f>
        <v>10.946088326645516</v>
      </c>
      <c r="AW153" s="21">
        <f>EXP(-LN(2)/2)*AW152+(1-EXP(-LN(2)/2))/(LN(2)/2)*AQ153*AT153*VLOOKUP('Données projet'!$B$10,Paramètres!$A$1:$I$89,3,0)*0.475*44/12</f>
        <v>2.4219051067078066E-9</v>
      </c>
      <c r="AX153" s="21">
        <f t="shared" si="114"/>
        <v>66.932815482979265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2.2737367544323206E-13</v>
      </c>
      <c r="BE153" s="13">
        <f>BD153*VLOOKUP('Données projet'!$B$11,Paramètres!$A$1:$I$89,3,0)*VLOOKUP('Données projet'!$B$11,Paramètres!$A$1:$I$89,5,0)</f>
        <v>1.064108801074326E-13</v>
      </c>
      <c r="BF153" s="13">
        <f t="shared" si="145"/>
        <v>1.5870730813698654E-12</v>
      </c>
      <c r="BG153" s="20">
        <f t="shared" si="115"/>
        <v>2.9494845662396269E-12</v>
      </c>
      <c r="BH153" s="59">
        <f t="shared" si="116"/>
        <v>293.33333333333627</v>
      </c>
      <c r="BI153" s="59">
        <f ca="1">AVERAGE(OFFSET($BH$3,0,0,'Données projet'!$E$11+1,1))-AVERAGE(OFFSET($H$3,0,0,'Données projet'!$E$11+1,1))</f>
        <v>234.83702199169585</v>
      </c>
      <c r="BJ153" s="59">
        <f t="shared" si="146"/>
        <v>248.83008816685089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16.232631539783053</v>
      </c>
      <c r="BQ153" s="21">
        <f>EXP(-LN(2)/25)*BQ152+(1-EXP(-LN(2)/25))/(LN(2)/25)*Calculateur!BL153*Calculateur!BN153*VLOOKUP('Données projet'!$B$11,Paramètres!$A$1:$I$89,3,0)*0.475*44/12</f>
        <v>3.7782175581758208</v>
      </c>
      <c r="BR153" s="21">
        <f>EXP(-LN(2)/2)*BR152+(1-EXP(-LN(2)/2))/(LN(2)/2)*BL153*BO153*VLOOKUP('Données projet'!$B$11,Paramètres!$A$1:$I$89,3,0)*0.475*44/12</f>
        <v>1.4451927796543284E-13</v>
      </c>
      <c r="BS153" s="22">
        <f t="shared" si="117"/>
        <v>20.010849097959021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2.2737367544323206E-13</v>
      </c>
      <c r="BZ153" s="13">
        <f>BY153*VLOOKUP('Données projet'!$B$12,Paramètres!$A$1:$I$89,3,0)*VLOOKUP('Données projet'!$B$12,Paramètres!$A$1:$I$89,5,0)</f>
        <v>1.0049916454590858E-13</v>
      </c>
      <c r="CA153" s="13">
        <f t="shared" si="147"/>
        <v>1.5089081593838289E-12</v>
      </c>
      <c r="CB153" s="20">
        <f t="shared" si="118"/>
        <v>2.8030510891776262E-12</v>
      </c>
      <c r="CC153" s="59">
        <f t="shared" si="119"/>
        <v>293.3333333333361</v>
      </c>
      <c r="CD153" s="59">
        <f ca="1">AVERAGE(OFFSET($CC$3,0,0,'Données projet'!$E$12+1,1))-AVERAGE(OFFSET($H$3,0,0,'Données projet'!$E$12+1,1))</f>
        <v>220.26537310502334</v>
      </c>
      <c r="CE153" s="59">
        <f t="shared" si="148"/>
        <v>233.26853625122016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15.330818676461758</v>
      </c>
      <c r="CL153" s="21">
        <f>EXP(-LN(2)/25)*CL152+(1-EXP(-LN(2)/25))/(LN(2)/25)*Calculateur!CG153*Calculateur!CI153*VLOOKUP('Données projet'!$B$12,Paramètres!$A$1:$I$89,3,0)*0.475*44/12</f>
        <v>3.5683165827216099</v>
      </c>
      <c r="CM153" s="21">
        <f>EXP(-LN(2)/2)*CM152+(1-EXP(-LN(2)/2))/(LN(2)/2)*CG153*CJ153*VLOOKUP('Données projet'!$B$12,Paramètres!$A$1:$I$89,3,0)*0.475*44/12</f>
        <v>1.3649042918957549E-13</v>
      </c>
      <c r="CN153" s="22">
        <f t="shared" si="120"/>
        <v>18.899135259183502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-1.5961632016114892E-13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263.37813242097957</v>
      </c>
      <c r="T154" s="59">
        <f t="shared" si="142"/>
        <v>314.89350816766904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16.495122675919905</v>
      </c>
      <c r="AA154" s="21">
        <f>EXP(-LN(2)/25)*AA153+(1-EXP(-LN(2)/25))/(LN(2)/25)*Calculateur!V154*Calculateur!X154*VLOOKUP('Données projet'!$B$9,Paramètres!$A$1:$I$89,3,0)*0.475*44/12</f>
        <v>3.5973314354580599</v>
      </c>
      <c r="AB154" s="21">
        <f>EXP(-LN(2)/2)*AB153+(1-EXP(-LN(2)/2))/(LN(2)/2)*V154*Y154*VLOOKUP('Données projet'!$B$9,Paramètres!$A$1:$I$89,3,0)*0.475*44/12</f>
        <v>3.9651986212467375E-14</v>
      </c>
      <c r="AC154" s="22">
        <f t="shared" ref="AC154:AC203" si="163">SUM(Z154:AB154)</f>
        <v>20.092454111378004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4.5815795601811263E-14</v>
      </c>
      <c r="AK154" s="13">
        <f t="shared" ref="AK154:AK203" si="164">EXP(-1.0587+0.8836*LN(AJ154)+0.284)</f>
        <v>7.5374618042508364E-13</v>
      </c>
      <c r="AL154" s="20">
        <f t="shared" ref="AL154:AL203" si="165">(AJ154+AK154)*0.475*44/12</f>
        <v>1.392570441580175E-12</v>
      </c>
      <c r="AM154" s="59">
        <f t="shared" si="113"/>
        <v>293.33333333333468</v>
      </c>
      <c r="AN154" s="59">
        <f ca="1">AVERAGE(OFFSET($AM$3,0,0,'Données projet'!$E$10+1,1))-AVERAGE(OFFSET($H$3,0,0,'Données projet'!$E$10+1,1))</f>
        <v>344.29957955721721</v>
      </c>
      <c r="AO154" s="59">
        <f t="shared" si="144"/>
        <v>297.12790038882594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54.888861582955307</v>
      </c>
      <c r="AV154" s="21">
        <f>EXP(-LN(2)/25)*AV153+(1-EXP(-LN(2)/25))/(LN(2)/25)*Calculateur!AQ154*Calculateur!AS154*VLOOKUP('Données projet'!$B$10,Paramètres!$A$1:$I$89,3,0)*0.475*44/12</f>
        <v>10.646766965723627</v>
      </c>
      <c r="AW154" s="21">
        <f>EXP(-LN(2)/2)*AW153+(1-EXP(-LN(2)/2))/(LN(2)/2)*AQ154*AT154*VLOOKUP('Données projet'!$B$10,Paramètres!$A$1:$I$89,3,0)*0.475*44/12</f>
        <v>1.712545524343419E-9</v>
      </c>
      <c r="AX154" s="21">
        <f t="shared" ref="AX154:AX203" si="166">SUM(AU154:AW154)</f>
        <v>65.535628550391479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2.2737367544323206E-13</v>
      </c>
      <c r="BE154" s="13">
        <f>BD154*VLOOKUP('Données projet'!$B$11,Paramètres!$A$1:$I$89,3,0)*VLOOKUP('Données projet'!$B$11,Paramètres!$A$1:$I$89,5,0)</f>
        <v>1.064108801074326E-13</v>
      </c>
      <c r="BF154" s="13">
        <f t="shared" ref="BF154:BF203" si="167">EXP(-1.0587+0.8836*LN(BE154)+0.284)</f>
        <v>1.5870730813698654E-12</v>
      </c>
      <c r="BG154" s="20">
        <f t="shared" ref="BG154:BG203" si="168">(BE154+BF154)*0.475*44/12</f>
        <v>2.9494845662396269E-12</v>
      </c>
      <c r="BH154" s="59">
        <f t="shared" si="116"/>
        <v>293.33333333333627</v>
      </c>
      <c r="BI154" s="59">
        <f ca="1">AVERAGE(OFFSET($BH$3,0,0,'Données projet'!$E$11+1,1))-AVERAGE(OFFSET($H$3,0,0,'Données projet'!$E$11+1,1))</f>
        <v>234.83702199169585</v>
      </c>
      <c r="BJ154" s="59">
        <f t="shared" si="146"/>
        <v>248.83008816685089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15.914319536215512</v>
      </c>
      <c r="BQ154" s="21">
        <f>EXP(-LN(2)/25)*BQ153+(1-EXP(-LN(2)/25))/(LN(2)/25)*Calculateur!BL154*Calculateur!BN154*VLOOKUP('Données projet'!$B$11,Paramètres!$A$1:$I$89,3,0)*0.475*44/12</f>
        <v>3.6749020003596771</v>
      </c>
      <c r="BR154" s="21">
        <f>EXP(-LN(2)/2)*BR153+(1-EXP(-LN(2)/2))/(LN(2)/2)*BL154*BO154*VLOOKUP('Données projet'!$B$11,Paramètres!$A$1:$I$89,3,0)*0.475*44/12</f>
        <v>1.0219056146154116E-13</v>
      </c>
      <c r="BS154" s="22">
        <f t="shared" ref="BS154:BS203" si="169">SUM(BP154:BR154)</f>
        <v>19.589221536575291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2.2737367544323206E-13</v>
      </c>
      <c r="BZ154" s="13">
        <f>BY154*VLOOKUP('Données projet'!$B$12,Paramètres!$A$1:$I$89,3,0)*VLOOKUP('Données projet'!$B$12,Paramètres!$A$1:$I$89,5,0)</f>
        <v>1.0049916454590858E-13</v>
      </c>
      <c r="CA154" s="13">
        <f t="shared" ref="CA154:CA203" si="170">EXP(-1.0587+0.8836*LN(BZ154)+0.284)</f>
        <v>1.5089081593838289E-12</v>
      </c>
      <c r="CB154" s="20">
        <f t="shared" ref="CB154:CB203" si="171">(BZ154+CA154)*0.475*44/12</f>
        <v>2.8030510891776262E-12</v>
      </c>
      <c r="CC154" s="59">
        <f t="shared" si="119"/>
        <v>293.3333333333361</v>
      </c>
      <c r="CD154" s="59">
        <f ca="1">AVERAGE(OFFSET($CC$3,0,0,'Données projet'!$E$12+1,1))-AVERAGE(OFFSET($H$3,0,0,'Données projet'!$E$12+1,1))</f>
        <v>220.26537310502334</v>
      </c>
      <c r="CE154" s="59">
        <f t="shared" si="148"/>
        <v>233.26853625122016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15.030190673092413</v>
      </c>
      <c r="CL154" s="21">
        <f>EXP(-LN(2)/25)*CL153+(1-EXP(-LN(2)/25))/(LN(2)/25)*Calculateur!CG154*Calculateur!CI154*VLOOKUP('Données projet'!$B$12,Paramètres!$A$1:$I$89,3,0)*0.475*44/12</f>
        <v>3.4707407781174737</v>
      </c>
      <c r="CM154" s="21">
        <f>EXP(-LN(2)/2)*CM153+(1-EXP(-LN(2)/2))/(LN(2)/2)*CG154*CJ154*VLOOKUP('Données projet'!$B$12,Paramètres!$A$1:$I$89,3,0)*0.475*44/12</f>
        <v>9.6513308047011119E-14</v>
      </c>
      <c r="CN154" s="22">
        <f t="shared" ref="CN154:CN203" si="172">SUM(CK154:CM154)</f>
        <v>18.500931451209983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-1.5961632016114892E-13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263.37813242097957</v>
      </c>
      <c r="T155" s="59">
        <f t="shared" si="142"/>
        <v>314.89350816766904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16.171663381276502</v>
      </c>
      <c r="AA155" s="21">
        <f>EXP(-LN(2)/25)*AA154+(1-EXP(-LN(2)/25))/(LN(2)/25)*Calculateur!V155*Calculateur!X155*VLOOKUP('Données projet'!$B$9,Paramètres!$A$1:$I$89,3,0)*0.475*44/12</f>
        <v>3.4989622181800208</v>
      </c>
      <c r="AB155" s="21">
        <f>EXP(-LN(2)/2)*AB154+(1-EXP(-LN(2)/2))/(LN(2)/2)*V155*Y155*VLOOKUP('Données projet'!$B$9,Paramètres!$A$1:$I$89,3,0)*0.475*44/12</f>
        <v>2.8038188338351168E-14</v>
      </c>
      <c r="AC155" s="22">
        <f t="shared" si="163"/>
        <v>19.670625599456553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4.5815795601811263E-14</v>
      </c>
      <c r="AK155" s="13">
        <f t="shared" si="164"/>
        <v>7.5374618042508364E-13</v>
      </c>
      <c r="AL155" s="20">
        <f t="shared" si="165"/>
        <v>1.392570441580175E-12</v>
      </c>
      <c r="AM155" s="59">
        <f t="shared" si="113"/>
        <v>293.33333333333468</v>
      </c>
      <c r="AN155" s="59">
        <f ca="1">AVERAGE(OFFSET($AM$3,0,0,'Données projet'!$E$10+1,1))-AVERAGE(OFFSET($H$3,0,0,'Données projet'!$E$10+1,1))</f>
        <v>344.29957955721721</v>
      </c>
      <c r="AO155" s="59">
        <f t="shared" si="144"/>
        <v>297.12790038882594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53.812524486213356</v>
      </c>
      <c r="AV155" s="21">
        <f>EXP(-LN(2)/25)*AV154+(1-EXP(-LN(2)/25))/(LN(2)/25)*Calculateur!AQ155*Calculateur!AS155*VLOOKUP('Données projet'!$B$10,Paramètres!$A$1:$I$89,3,0)*0.475*44/12</f>
        <v>10.355630563156772</v>
      </c>
      <c r="AW155" s="21">
        <f>EXP(-LN(2)/2)*AW154+(1-EXP(-LN(2)/2))/(LN(2)/2)*AQ155*AT155*VLOOKUP('Données projet'!$B$10,Paramètres!$A$1:$I$89,3,0)*0.475*44/12</f>
        <v>1.2109525533539033E-9</v>
      </c>
      <c r="AX155" s="21">
        <f t="shared" si="166"/>
        <v>64.168155050581078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2.2737367544323206E-13</v>
      </c>
      <c r="BE155" s="13">
        <f>BD155*VLOOKUP('Données projet'!$B$11,Paramètres!$A$1:$I$89,3,0)*VLOOKUP('Données projet'!$B$11,Paramètres!$A$1:$I$89,5,0)</f>
        <v>1.064108801074326E-13</v>
      </c>
      <c r="BF155" s="13">
        <f t="shared" si="167"/>
        <v>1.5870730813698654E-12</v>
      </c>
      <c r="BG155" s="20">
        <f t="shared" si="168"/>
        <v>2.9494845662396269E-12</v>
      </c>
      <c r="BH155" s="59">
        <f t="shared" si="116"/>
        <v>293.33333333333627</v>
      </c>
      <c r="BI155" s="59">
        <f ca="1">AVERAGE(OFFSET($BH$3,0,0,'Données projet'!$E$11+1,1))-AVERAGE(OFFSET($H$3,0,0,'Données projet'!$E$11+1,1))</f>
        <v>234.83702199169585</v>
      </c>
      <c r="BJ155" s="59">
        <f t="shared" si="146"/>
        <v>248.83008816685089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15.602249436886778</v>
      </c>
      <c r="BQ155" s="21">
        <f>EXP(-LN(2)/25)*BQ154+(1-EXP(-LN(2)/25))/(LN(2)/25)*Calculateur!BL155*Calculateur!BN155*VLOOKUP('Données projet'!$B$11,Paramètres!$A$1:$I$89,3,0)*0.475*44/12</f>
        <v>3.5744116119051448</v>
      </c>
      <c r="BR155" s="21">
        <f>EXP(-LN(2)/2)*BR154+(1-EXP(-LN(2)/2))/(LN(2)/2)*BL155*BO155*VLOOKUP('Données projet'!$B$11,Paramètres!$A$1:$I$89,3,0)*0.475*44/12</f>
        <v>7.2259638982716419E-14</v>
      </c>
      <c r="BS155" s="22">
        <f t="shared" si="169"/>
        <v>19.176661048791992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2.2737367544323206E-13</v>
      </c>
      <c r="BZ155" s="13">
        <f>BY155*VLOOKUP('Données projet'!$B$12,Paramètres!$A$1:$I$89,3,0)*VLOOKUP('Données projet'!$B$12,Paramètres!$A$1:$I$89,5,0)</f>
        <v>1.0049916454590858E-13</v>
      </c>
      <c r="CA155" s="13">
        <f t="shared" si="170"/>
        <v>1.5089081593838289E-12</v>
      </c>
      <c r="CB155" s="20">
        <f t="shared" si="171"/>
        <v>2.8030510891776262E-12</v>
      </c>
      <c r="CC155" s="59">
        <f t="shared" si="119"/>
        <v>293.3333333333361</v>
      </c>
      <c r="CD155" s="59">
        <f ca="1">AVERAGE(OFFSET($CC$3,0,0,'Données projet'!$E$12+1,1))-AVERAGE(OFFSET($H$3,0,0,'Données projet'!$E$12+1,1))</f>
        <v>220.26537310502334</v>
      </c>
      <c r="CE155" s="59">
        <f t="shared" si="148"/>
        <v>233.26853625122016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14.735457801504165</v>
      </c>
      <c r="CL155" s="21">
        <f>EXP(-LN(2)/25)*CL154+(1-EXP(-LN(2)/25))/(LN(2)/25)*Calculateur!CG155*Calculateur!CI155*VLOOKUP('Données projet'!$B$12,Paramètres!$A$1:$I$89,3,0)*0.475*44/12</f>
        <v>3.3758331890215265</v>
      </c>
      <c r="CM155" s="21">
        <f>EXP(-LN(2)/2)*CM154+(1-EXP(-LN(2)/2))/(LN(2)/2)*CG155*CJ155*VLOOKUP('Données projet'!$B$12,Paramètres!$A$1:$I$89,3,0)*0.475*44/12</f>
        <v>6.8245214594787746E-14</v>
      </c>
      <c r="CN155" s="22">
        <f t="shared" si="172"/>
        <v>18.11129099052576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-1.5961632016114892E-13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263.37813242097957</v>
      </c>
      <c r="T156" s="59">
        <f t="shared" si="142"/>
        <v>314.89350816766904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15.85454692611037</v>
      </c>
      <c r="AA156" s="21">
        <f>EXP(-LN(2)/25)*AA155+(1-EXP(-LN(2)/25))/(LN(2)/25)*Calculateur!V156*Calculateur!X156*VLOOKUP('Données projet'!$B$9,Paramètres!$A$1:$I$89,3,0)*0.475*44/12</f>
        <v>3.4032829123214623</v>
      </c>
      <c r="AB156" s="21">
        <f>EXP(-LN(2)/2)*AB155+(1-EXP(-LN(2)/2))/(LN(2)/2)*V156*Y156*VLOOKUP('Données projet'!$B$9,Paramètres!$A$1:$I$89,3,0)*0.475*44/12</f>
        <v>1.982599310623369E-14</v>
      </c>
      <c r="AC156" s="22">
        <f t="shared" si="163"/>
        <v>19.257829838431853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4.5815795601811263E-14</v>
      </c>
      <c r="AK156" s="13">
        <f t="shared" si="164"/>
        <v>7.5374618042508364E-13</v>
      </c>
      <c r="AL156" s="20">
        <f t="shared" si="165"/>
        <v>1.392570441580175E-12</v>
      </c>
      <c r="AM156" s="59">
        <f t="shared" si="113"/>
        <v>293.33333333333468</v>
      </c>
      <c r="AN156" s="59">
        <f ca="1">AVERAGE(OFFSET($AM$3,0,0,'Données projet'!$E$10+1,1))-AVERAGE(OFFSET($H$3,0,0,'Données projet'!$E$10+1,1))</f>
        <v>344.29957955721721</v>
      </c>
      <c r="AO156" s="59">
        <f t="shared" si="144"/>
        <v>297.12790038882594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52.757293703437703</v>
      </c>
      <c r="AV156" s="21">
        <f>EXP(-LN(2)/25)*AV155+(1-EXP(-LN(2)/25))/(LN(2)/25)*Calculateur!AQ156*Calculateur!AS156*VLOOKUP('Données projet'!$B$10,Paramètres!$A$1:$I$89,3,0)*0.475*44/12</f>
        <v>10.072455300828308</v>
      </c>
      <c r="AW156" s="21">
        <f>EXP(-LN(2)/2)*AW155+(1-EXP(-LN(2)/2))/(LN(2)/2)*AQ156*AT156*VLOOKUP('Données projet'!$B$10,Paramètres!$A$1:$I$89,3,0)*0.475*44/12</f>
        <v>8.5627276217170952E-10</v>
      </c>
      <c r="AX156" s="21">
        <f t="shared" si="166"/>
        <v>62.829749005122288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2.2737367544323206E-13</v>
      </c>
      <c r="BE156" s="13">
        <f>BD156*VLOOKUP('Données projet'!$B$11,Paramètres!$A$1:$I$89,3,0)*VLOOKUP('Données projet'!$B$11,Paramètres!$A$1:$I$89,5,0)</f>
        <v>1.064108801074326E-13</v>
      </c>
      <c r="BF156" s="13">
        <f t="shared" si="167"/>
        <v>1.5870730813698654E-12</v>
      </c>
      <c r="BG156" s="20">
        <f t="shared" si="168"/>
        <v>2.9494845662396269E-12</v>
      </c>
      <c r="BH156" s="59">
        <f t="shared" si="116"/>
        <v>293.33333333333627</v>
      </c>
      <c r="BI156" s="59">
        <f ca="1">AVERAGE(OFFSET($BH$3,0,0,'Données projet'!$E$11+1,1))-AVERAGE(OFFSET($H$3,0,0,'Données projet'!$E$11+1,1))</f>
        <v>234.83702199169585</v>
      </c>
      <c r="BJ156" s="59">
        <f t="shared" si="146"/>
        <v>248.83008816685089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15.296298841861915</v>
      </c>
      <c r="BQ156" s="21">
        <f>EXP(-LN(2)/25)*BQ155+(1-EXP(-LN(2)/25))/(LN(2)/25)*Calculateur!BL156*Calculateur!BN156*VLOOKUP('Données projet'!$B$11,Paramètres!$A$1:$I$89,3,0)*0.475*44/12</f>
        <v>3.4766691384074613</v>
      </c>
      <c r="BR156" s="21">
        <f>EXP(-LN(2)/2)*BR155+(1-EXP(-LN(2)/2))/(LN(2)/2)*BL156*BO156*VLOOKUP('Données projet'!$B$11,Paramètres!$A$1:$I$89,3,0)*0.475*44/12</f>
        <v>5.1095280730770579E-14</v>
      </c>
      <c r="BS156" s="22">
        <f t="shared" si="169"/>
        <v>18.772967980269428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2.2737367544323206E-13</v>
      </c>
      <c r="BZ156" s="13">
        <f>BY156*VLOOKUP('Données projet'!$B$12,Paramètres!$A$1:$I$89,3,0)*VLOOKUP('Données projet'!$B$12,Paramètres!$A$1:$I$89,5,0)</f>
        <v>1.0049916454590858E-13</v>
      </c>
      <c r="CA156" s="13">
        <f t="shared" si="170"/>
        <v>1.5089081593838289E-12</v>
      </c>
      <c r="CB156" s="20">
        <f t="shared" si="171"/>
        <v>2.8030510891776262E-12</v>
      </c>
      <c r="CC156" s="59">
        <f t="shared" si="119"/>
        <v>293.3333333333361</v>
      </c>
      <c r="CD156" s="59">
        <f ca="1">AVERAGE(OFFSET($CC$3,0,0,'Données projet'!$E$12+1,1))-AVERAGE(OFFSET($H$3,0,0,'Données projet'!$E$12+1,1))</f>
        <v>220.26537310502334</v>
      </c>
      <c r="CE156" s="59">
        <f t="shared" si="148"/>
        <v>233.26853625122016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14.446504461758462</v>
      </c>
      <c r="CL156" s="21">
        <f>EXP(-LN(2)/25)*CL155+(1-EXP(-LN(2)/25))/(LN(2)/25)*Calculateur!CG156*Calculateur!CI156*VLOOKUP('Données projet'!$B$12,Paramètres!$A$1:$I$89,3,0)*0.475*44/12</f>
        <v>3.2835208529403812</v>
      </c>
      <c r="CM156" s="21">
        <f>EXP(-LN(2)/2)*CM155+(1-EXP(-LN(2)/2))/(LN(2)/2)*CG156*CJ156*VLOOKUP('Données projet'!$B$12,Paramètres!$A$1:$I$89,3,0)*0.475*44/12</f>
        <v>4.825665402350556E-14</v>
      </c>
      <c r="CN156" s="22">
        <f t="shared" si="172"/>
        <v>17.730025314698892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-1.5961632016114892E-13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263.37813242097957</v>
      </c>
      <c r="T157" s="59">
        <f t="shared" si="142"/>
        <v>314.89350816766904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15.543648931208105</v>
      </c>
      <c r="AA157" s="21">
        <f>EXP(-LN(2)/25)*AA156+(1-EXP(-LN(2)/25))/(LN(2)/25)*Calculateur!V157*Calculateur!X157*VLOOKUP('Données projet'!$B$9,Paramètres!$A$1:$I$89,3,0)*0.475*44/12</f>
        <v>3.3102199621131621</v>
      </c>
      <c r="AB157" s="21">
        <f>EXP(-LN(2)/2)*AB156+(1-EXP(-LN(2)/2))/(LN(2)/2)*V157*Y157*VLOOKUP('Données projet'!$B$9,Paramètres!$A$1:$I$89,3,0)*0.475*44/12</f>
        <v>1.4019094169175587E-14</v>
      </c>
      <c r="AC157" s="22">
        <f t="shared" si="163"/>
        <v>18.85386889332128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4.5815795601811263E-14</v>
      </c>
      <c r="AK157" s="13">
        <f t="shared" si="164"/>
        <v>7.5374618042508364E-13</v>
      </c>
      <c r="AL157" s="20">
        <f t="shared" si="165"/>
        <v>1.392570441580175E-12</v>
      </c>
      <c r="AM157" s="59">
        <f t="shared" si="113"/>
        <v>293.33333333333468</v>
      </c>
      <c r="AN157" s="59">
        <f ca="1">AVERAGE(OFFSET($AM$3,0,0,'Données projet'!$E$10+1,1))-AVERAGE(OFFSET($H$3,0,0,'Données projet'!$E$10+1,1))</f>
        <v>344.29957955721721</v>
      </c>
      <c r="AO157" s="59">
        <f t="shared" si="144"/>
        <v>297.12790038882594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51.722755352685063</v>
      </c>
      <c r="AV157" s="21">
        <f>EXP(-LN(2)/25)*AV156+(1-EXP(-LN(2)/25))/(LN(2)/25)*Calculateur!AQ157*Calculateur!AS157*VLOOKUP('Données projet'!$B$10,Paramètres!$A$1:$I$89,3,0)*0.475*44/12</f>
        <v>9.7970234809397549</v>
      </c>
      <c r="AW157" s="21">
        <f>EXP(-LN(2)/2)*AW156+(1-EXP(-LN(2)/2))/(LN(2)/2)*AQ157*AT157*VLOOKUP('Données projet'!$B$10,Paramètres!$A$1:$I$89,3,0)*0.475*44/12</f>
        <v>6.0547627667695164E-10</v>
      </c>
      <c r="AX157" s="21">
        <f t="shared" si="166"/>
        <v>61.519778834230294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2.2737367544323206E-13</v>
      </c>
      <c r="BE157" s="13">
        <f>BD157*VLOOKUP('Données projet'!$B$11,Paramètres!$A$1:$I$89,3,0)*VLOOKUP('Données projet'!$B$11,Paramètres!$A$1:$I$89,5,0)</f>
        <v>1.064108801074326E-13</v>
      </c>
      <c r="BF157" s="13">
        <f t="shared" si="167"/>
        <v>1.5870730813698654E-12</v>
      </c>
      <c r="BG157" s="20">
        <f t="shared" si="168"/>
        <v>2.9494845662396269E-12</v>
      </c>
      <c r="BH157" s="59">
        <f t="shared" si="116"/>
        <v>293.33333333333627</v>
      </c>
      <c r="BI157" s="59">
        <f ca="1">AVERAGE(OFFSET($BH$3,0,0,'Données projet'!$E$11+1,1))-AVERAGE(OFFSET($H$3,0,0,'Données projet'!$E$11+1,1))</f>
        <v>234.83702199169585</v>
      </c>
      <c r="BJ157" s="59">
        <f t="shared" si="146"/>
        <v>248.83008816685089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14.996347751394053</v>
      </c>
      <c r="BQ157" s="21">
        <f>EXP(-LN(2)/25)*BQ156+(1-EXP(-LN(2)/25))/(LN(2)/25)*Calculateur!BL157*Calculateur!BN157*VLOOKUP('Données projet'!$B$11,Paramètres!$A$1:$I$89,3,0)*0.475*44/12</f>
        <v>3.3815994379876253</v>
      </c>
      <c r="BR157" s="21">
        <f>EXP(-LN(2)/2)*BR156+(1-EXP(-LN(2)/2))/(LN(2)/2)*BL157*BO157*VLOOKUP('Données projet'!$B$11,Paramètres!$A$1:$I$89,3,0)*0.475*44/12</f>
        <v>3.6129819491358209E-14</v>
      </c>
      <c r="BS157" s="22">
        <f t="shared" si="169"/>
        <v>18.377947189381715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2.2737367544323206E-13</v>
      </c>
      <c r="BZ157" s="13">
        <f>BY157*VLOOKUP('Données projet'!$B$12,Paramètres!$A$1:$I$89,3,0)*VLOOKUP('Données projet'!$B$12,Paramètres!$A$1:$I$89,5,0)</f>
        <v>1.0049916454590858E-13</v>
      </c>
      <c r="CA157" s="13">
        <f t="shared" si="170"/>
        <v>1.5089081593838289E-12</v>
      </c>
      <c r="CB157" s="20">
        <f t="shared" si="171"/>
        <v>2.8030510891776262E-12</v>
      </c>
      <c r="CC157" s="59">
        <f t="shared" si="119"/>
        <v>293.3333333333361</v>
      </c>
      <c r="CD157" s="59">
        <f ca="1">AVERAGE(OFFSET($CC$3,0,0,'Données projet'!$E$12+1,1))-AVERAGE(OFFSET($H$3,0,0,'Données projet'!$E$12+1,1))</f>
        <v>220.26537310502334</v>
      </c>
      <c r="CE157" s="59">
        <f t="shared" si="148"/>
        <v>233.26853625122016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14.163217320761037</v>
      </c>
      <c r="CL157" s="21">
        <f>EXP(-LN(2)/25)*CL156+(1-EXP(-LN(2)/25))/(LN(2)/25)*Calculateur!CG157*Calculateur!CI157*VLOOKUP('Données projet'!$B$12,Paramètres!$A$1:$I$89,3,0)*0.475*44/12</f>
        <v>3.1937328025438694</v>
      </c>
      <c r="CM157" s="21">
        <f>EXP(-LN(2)/2)*CM156+(1-EXP(-LN(2)/2))/(LN(2)/2)*CG157*CJ157*VLOOKUP('Données projet'!$B$12,Paramètres!$A$1:$I$89,3,0)*0.475*44/12</f>
        <v>3.4122607297393873E-14</v>
      </c>
      <c r="CN157" s="22">
        <f t="shared" si="172"/>
        <v>17.356950123304941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-1.5961632016114892E-13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263.37813242097957</v>
      </c>
      <c r="T158" s="59">
        <f t="shared" si="142"/>
        <v>314.89350816766904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15.238847456356822</v>
      </c>
      <c r="AA158" s="21">
        <f>EXP(-LN(2)/25)*AA157+(1-EXP(-LN(2)/25))/(LN(2)/25)*Calculateur!V158*Calculateur!X158*VLOOKUP('Données projet'!$B$9,Paramètres!$A$1:$I$89,3,0)*0.475*44/12</f>
        <v>3.2197018231722754</v>
      </c>
      <c r="AB158" s="21">
        <f>EXP(-LN(2)/2)*AB157+(1-EXP(-LN(2)/2))/(LN(2)/2)*V158*Y158*VLOOKUP('Données projet'!$B$9,Paramètres!$A$1:$I$89,3,0)*0.475*44/12</f>
        <v>9.9129965531168468E-15</v>
      </c>
      <c r="AC158" s="22">
        <f t="shared" si="163"/>
        <v>18.458549279529109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4.5815795601811263E-14</v>
      </c>
      <c r="AK158" s="13">
        <f t="shared" si="164"/>
        <v>7.5374618042508364E-13</v>
      </c>
      <c r="AL158" s="20">
        <f t="shared" si="165"/>
        <v>1.392570441580175E-12</v>
      </c>
      <c r="AM158" s="59">
        <f t="shared" si="113"/>
        <v>293.33333333333468</v>
      </c>
      <c r="AN158" s="59">
        <f ca="1">AVERAGE(OFFSET($AM$3,0,0,'Données projet'!$E$10+1,1))-AVERAGE(OFFSET($H$3,0,0,'Données projet'!$E$10+1,1))</f>
        <v>344.29957955721721</v>
      </c>
      <c r="AO158" s="59">
        <f t="shared" si="144"/>
        <v>297.12790038882594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50.708503667984594</v>
      </c>
      <c r="AV158" s="21">
        <f>EXP(-LN(2)/25)*AV157+(1-EXP(-LN(2)/25))/(LN(2)/25)*Calculateur!AQ158*Calculateur!AS158*VLOOKUP('Données projet'!$B$10,Paramètres!$A$1:$I$89,3,0)*0.475*44/12</f>
        <v>9.5291233586503843</v>
      </c>
      <c r="AW158" s="21">
        <f>EXP(-LN(2)/2)*AW157+(1-EXP(-LN(2)/2))/(LN(2)/2)*AQ158*AT158*VLOOKUP('Données projet'!$B$10,Paramètres!$A$1:$I$89,3,0)*0.475*44/12</f>
        <v>4.2813638108585476E-10</v>
      </c>
      <c r="AX158" s="21">
        <f t="shared" si="166"/>
        <v>60.23762702706312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2.2737367544323206E-13</v>
      </c>
      <c r="BE158" s="13">
        <f>BD158*VLOOKUP('Données projet'!$B$11,Paramètres!$A$1:$I$89,3,0)*VLOOKUP('Données projet'!$B$11,Paramètres!$A$1:$I$89,5,0)</f>
        <v>1.064108801074326E-13</v>
      </c>
      <c r="BF158" s="13">
        <f t="shared" si="167"/>
        <v>1.5870730813698654E-12</v>
      </c>
      <c r="BG158" s="20">
        <f t="shared" si="168"/>
        <v>2.9494845662396269E-12</v>
      </c>
      <c r="BH158" s="59">
        <f t="shared" si="116"/>
        <v>293.33333333333627</v>
      </c>
      <c r="BI158" s="59">
        <f ca="1">AVERAGE(OFFSET($BH$3,0,0,'Données projet'!$E$11+1,1))-AVERAGE(OFFSET($H$3,0,0,'Données projet'!$E$11+1,1))</f>
        <v>234.83702199169585</v>
      </c>
      <c r="BJ158" s="59">
        <f t="shared" si="146"/>
        <v>248.83008816685089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14.702278518858165</v>
      </c>
      <c r="BQ158" s="21">
        <f>EXP(-LN(2)/25)*BQ157+(1-EXP(-LN(2)/25))/(LN(2)/25)*Calculateur!BL158*Calculateur!BN158*VLOOKUP('Données projet'!$B$11,Paramètres!$A$1:$I$89,3,0)*0.475*44/12</f>
        <v>3.2891294235252682</v>
      </c>
      <c r="BR158" s="21">
        <f>EXP(-LN(2)/2)*BR157+(1-EXP(-LN(2)/2))/(LN(2)/2)*BL158*BO158*VLOOKUP('Données projet'!$B$11,Paramètres!$A$1:$I$89,3,0)*0.475*44/12</f>
        <v>2.5547640365385289E-14</v>
      </c>
      <c r="BS158" s="22">
        <f t="shared" si="169"/>
        <v>17.991407942383457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2.2737367544323206E-13</v>
      </c>
      <c r="BZ158" s="13">
        <f>BY158*VLOOKUP('Données projet'!$B$12,Paramètres!$A$1:$I$89,3,0)*VLOOKUP('Données projet'!$B$12,Paramètres!$A$1:$I$89,5,0)</f>
        <v>1.0049916454590858E-13</v>
      </c>
      <c r="CA158" s="13">
        <f t="shared" si="170"/>
        <v>1.5089081593838289E-12</v>
      </c>
      <c r="CB158" s="20">
        <f t="shared" si="171"/>
        <v>2.8030510891776262E-12</v>
      </c>
      <c r="CC158" s="59">
        <f t="shared" si="119"/>
        <v>293.3333333333361</v>
      </c>
      <c r="CD158" s="59">
        <f ca="1">AVERAGE(OFFSET($CC$3,0,0,'Données projet'!$E$12+1,1))-AVERAGE(OFFSET($H$3,0,0,'Données projet'!$E$12+1,1))</f>
        <v>220.26537310502334</v>
      </c>
      <c r="CE158" s="59">
        <f t="shared" si="148"/>
        <v>233.26853625122016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13.885485267810477</v>
      </c>
      <c r="CL158" s="21">
        <f>EXP(-LN(2)/25)*CL157+(1-EXP(-LN(2)/25))/(LN(2)/25)*Calculateur!CG158*Calculateur!CI158*VLOOKUP('Données projet'!$B$12,Paramètres!$A$1:$I$89,3,0)*0.475*44/12</f>
        <v>3.1064000111071985</v>
      </c>
      <c r="CM158" s="21">
        <f>EXP(-LN(2)/2)*CM157+(1-EXP(-LN(2)/2))/(LN(2)/2)*CG158*CJ158*VLOOKUP('Données projet'!$B$12,Paramètres!$A$1:$I$89,3,0)*0.475*44/12</f>
        <v>2.412832701175278E-14</v>
      </c>
      <c r="CN158" s="22">
        <f t="shared" si="172"/>
        <v>16.9918852789177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-1.5961632016114892E-13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263.37813242097957</v>
      </c>
      <c r="T159" s="59">
        <f t="shared" si="142"/>
        <v>314.89350816766904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14.940022952516831</v>
      </c>
      <c r="AA159" s="21">
        <f>EXP(-LN(2)/25)*AA158+(1-EXP(-LN(2)/25))/(LN(2)/25)*Calculateur!V159*Calculateur!X159*VLOOKUP('Données projet'!$B$9,Paramètres!$A$1:$I$89,3,0)*0.475*44/12</f>
        <v>3.1316589075008694</v>
      </c>
      <c r="AB159" s="21">
        <f>EXP(-LN(2)/2)*AB158+(1-EXP(-LN(2)/2))/(LN(2)/2)*V159*Y159*VLOOKUP('Données projet'!$B$9,Paramètres!$A$1:$I$89,3,0)*0.475*44/12</f>
        <v>7.0095470845877944E-15</v>
      </c>
      <c r="AC159" s="22">
        <f t="shared" si="163"/>
        <v>18.071681860017708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4.5815795601811263E-14</v>
      </c>
      <c r="AK159" s="13">
        <f t="shared" si="164"/>
        <v>7.5374618042508364E-13</v>
      </c>
      <c r="AL159" s="20">
        <f t="shared" si="165"/>
        <v>1.392570441580175E-12</v>
      </c>
      <c r="AM159" s="59">
        <f t="shared" si="113"/>
        <v>293.33333333333468</v>
      </c>
      <c r="AN159" s="59">
        <f ca="1">AVERAGE(OFFSET($AM$3,0,0,'Données projet'!$E$10+1,1))-AVERAGE(OFFSET($H$3,0,0,'Données projet'!$E$10+1,1))</f>
        <v>344.29957955721721</v>
      </c>
      <c r="AO159" s="59">
        <f t="shared" si="144"/>
        <v>297.12790038882594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49.714140840188655</v>
      </c>
      <c r="AV159" s="21">
        <f>EXP(-LN(2)/25)*AV158+(1-EXP(-LN(2)/25))/(LN(2)/25)*Calculateur!AQ159*Calculateur!AS159*VLOOKUP('Données projet'!$B$10,Paramètres!$A$1:$I$89,3,0)*0.475*44/12</f>
        <v>9.2685489792932714</v>
      </c>
      <c r="AW159" s="21">
        <f>EXP(-LN(2)/2)*AW158+(1-EXP(-LN(2)/2))/(LN(2)/2)*AQ159*AT159*VLOOKUP('Données projet'!$B$10,Paramètres!$A$1:$I$89,3,0)*0.475*44/12</f>
        <v>3.0273813833847582E-10</v>
      </c>
      <c r="AX159" s="21">
        <f t="shared" si="166"/>
        <v>58.982689819784667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2.2737367544323206E-13</v>
      </c>
      <c r="BE159" s="13">
        <f>BD159*VLOOKUP('Données projet'!$B$11,Paramètres!$A$1:$I$89,3,0)*VLOOKUP('Données projet'!$B$11,Paramètres!$A$1:$I$89,5,0)</f>
        <v>1.064108801074326E-13</v>
      </c>
      <c r="BF159" s="13">
        <f t="shared" si="167"/>
        <v>1.5870730813698654E-12</v>
      </c>
      <c r="BG159" s="20">
        <f t="shared" si="168"/>
        <v>2.9494845662396269E-12</v>
      </c>
      <c r="BH159" s="59">
        <f t="shared" si="116"/>
        <v>293.33333333333627</v>
      </c>
      <c r="BI159" s="59">
        <f ca="1">AVERAGE(OFFSET($BH$3,0,0,'Données projet'!$E$11+1,1))-AVERAGE(OFFSET($H$3,0,0,'Données projet'!$E$11+1,1))</f>
        <v>234.83702199169585</v>
      </c>
      <c r="BJ159" s="59">
        <f t="shared" si="146"/>
        <v>248.83008816685089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14.413975804607785</v>
      </c>
      <c r="BQ159" s="21">
        <f>EXP(-LN(2)/25)*BQ158+(1-EXP(-LN(2)/25))/(LN(2)/25)*Calculateur!BL159*Calculateur!BN159*VLOOKUP('Données projet'!$B$11,Paramètres!$A$1:$I$89,3,0)*0.475*44/12</f>
        <v>3.1991880064711706</v>
      </c>
      <c r="BR159" s="21">
        <f>EXP(-LN(2)/2)*BR158+(1-EXP(-LN(2)/2))/(LN(2)/2)*BL159*BO159*VLOOKUP('Données projet'!$B$11,Paramètres!$A$1:$I$89,3,0)*0.475*44/12</f>
        <v>1.8064909745679105E-14</v>
      </c>
      <c r="BS159" s="22">
        <f t="shared" si="169"/>
        <v>17.613163811078973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2.2737367544323206E-13</v>
      </c>
      <c r="BZ159" s="13">
        <f>BY159*VLOOKUP('Données projet'!$B$12,Paramètres!$A$1:$I$89,3,0)*VLOOKUP('Données projet'!$B$12,Paramètres!$A$1:$I$89,5,0)</f>
        <v>1.0049916454590858E-13</v>
      </c>
      <c r="CA159" s="13">
        <f t="shared" si="170"/>
        <v>1.5089081593838289E-12</v>
      </c>
      <c r="CB159" s="20">
        <f t="shared" si="171"/>
        <v>2.8030510891776262E-12</v>
      </c>
      <c r="CC159" s="59">
        <f t="shared" si="119"/>
        <v>293.3333333333361</v>
      </c>
      <c r="CD159" s="59">
        <f ca="1">AVERAGE(OFFSET($CC$3,0,0,'Données projet'!$E$12+1,1))-AVERAGE(OFFSET($H$3,0,0,'Données projet'!$E$12+1,1))</f>
        <v>220.26537310502334</v>
      </c>
      <c r="CE159" s="59">
        <f t="shared" si="148"/>
        <v>233.26853625122016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13.613199371018451</v>
      </c>
      <c r="CL159" s="21">
        <f>EXP(-LN(2)/25)*CL158+(1-EXP(-LN(2)/25))/(LN(2)/25)*Calculateur!CG159*Calculateur!CI159*VLOOKUP('Données projet'!$B$12,Paramètres!$A$1:$I$89,3,0)*0.475*44/12</f>
        <v>3.0214553394449952</v>
      </c>
      <c r="CM159" s="21">
        <f>EXP(-LN(2)/2)*CM158+(1-EXP(-LN(2)/2))/(LN(2)/2)*CG159*CJ159*VLOOKUP('Données projet'!$B$12,Paramètres!$A$1:$I$89,3,0)*0.475*44/12</f>
        <v>1.7061303648696937E-14</v>
      </c>
      <c r="CN159" s="22">
        <f t="shared" si="172"/>
        <v>16.634654710463465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-1.5961632016114892E-13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263.37813242097957</v>
      </c>
      <c r="T160" s="59">
        <f t="shared" si="142"/>
        <v>314.89350816766904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14.647058214932191</v>
      </c>
      <c r="AA160" s="21">
        <f>EXP(-LN(2)/25)*AA159+(1-EXP(-LN(2)/25))/(LN(2)/25)*Calculateur!V160*Calculateur!X160*VLOOKUP('Données projet'!$B$9,Paramètres!$A$1:$I$89,3,0)*0.475*44/12</f>
        <v>3.0460235299884735</v>
      </c>
      <c r="AB160" s="21">
        <f>EXP(-LN(2)/2)*AB159+(1-EXP(-LN(2)/2))/(LN(2)/2)*V160*Y160*VLOOKUP('Données projet'!$B$9,Paramètres!$A$1:$I$89,3,0)*0.475*44/12</f>
        <v>4.9564982765584242E-15</v>
      </c>
      <c r="AC160" s="22">
        <f t="shared" si="163"/>
        <v>17.693081744920669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4.5815795601811263E-14</v>
      </c>
      <c r="AK160" s="13">
        <f t="shared" si="164"/>
        <v>7.5374618042508364E-13</v>
      </c>
      <c r="AL160" s="20">
        <f t="shared" si="165"/>
        <v>1.392570441580175E-12</v>
      </c>
      <c r="AM160" s="59">
        <f t="shared" si="113"/>
        <v>293.33333333333468</v>
      </c>
      <c r="AN160" s="59">
        <f ca="1">AVERAGE(OFFSET($AM$3,0,0,'Données projet'!$E$10+1,1))-AVERAGE(OFFSET($H$3,0,0,'Données projet'!$E$10+1,1))</f>
        <v>344.29957955721721</v>
      </c>
      <c r="AO160" s="59">
        <f t="shared" si="144"/>
        <v>297.12790038882594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48.739276860944358</v>
      </c>
      <c r="AV160" s="21">
        <f>EXP(-LN(2)/25)*AV159+(1-EXP(-LN(2)/25))/(LN(2)/25)*Calculateur!AQ160*Calculateur!AS160*VLOOKUP('Données projet'!$B$10,Paramètres!$A$1:$I$89,3,0)*0.475*44/12</f>
        <v>9.0151000200426896</v>
      </c>
      <c r="AW160" s="21">
        <f>EXP(-LN(2)/2)*AW159+(1-EXP(-LN(2)/2))/(LN(2)/2)*AQ160*AT160*VLOOKUP('Données projet'!$B$10,Paramètres!$A$1:$I$89,3,0)*0.475*44/12</f>
        <v>2.1406819054292738E-10</v>
      </c>
      <c r="AX160" s="21">
        <f t="shared" si="166"/>
        <v>57.754376881201111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2.2737367544323206E-13</v>
      </c>
      <c r="BE160" s="13">
        <f>BD160*VLOOKUP('Données projet'!$B$11,Paramètres!$A$1:$I$89,3,0)*VLOOKUP('Données projet'!$B$11,Paramètres!$A$1:$I$89,5,0)</f>
        <v>1.064108801074326E-13</v>
      </c>
      <c r="BF160" s="13">
        <f t="shared" si="167"/>
        <v>1.5870730813698654E-12</v>
      </c>
      <c r="BG160" s="20">
        <f t="shared" si="168"/>
        <v>2.9494845662396269E-12</v>
      </c>
      <c r="BH160" s="59">
        <f t="shared" si="116"/>
        <v>293.33333333333627</v>
      </c>
      <c r="BI160" s="59">
        <f ca="1">AVERAGE(OFFSET($BH$3,0,0,'Données projet'!$E$11+1,1))-AVERAGE(OFFSET($H$3,0,0,'Données projet'!$E$11+1,1))</f>
        <v>234.83702199169585</v>
      </c>
      <c r="BJ160" s="59">
        <f t="shared" si="146"/>
        <v>248.83008816685089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14.131326530736564</v>
      </c>
      <c r="BQ160" s="21">
        <f>EXP(-LN(2)/25)*BQ159+(1-EXP(-LN(2)/25))/(LN(2)/25)*Calculateur!BL160*Calculateur!BN160*VLOOKUP('Données projet'!$B$11,Paramètres!$A$1:$I$89,3,0)*0.475*44/12</f>
        <v>3.1117060421962313</v>
      </c>
      <c r="BR160" s="21">
        <f>EXP(-LN(2)/2)*BR159+(1-EXP(-LN(2)/2))/(LN(2)/2)*BL160*BO160*VLOOKUP('Données projet'!$B$11,Paramètres!$A$1:$I$89,3,0)*0.475*44/12</f>
        <v>1.2773820182692645E-14</v>
      </c>
      <c r="BS160" s="22">
        <f t="shared" si="169"/>
        <v>17.243032572932808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2.2737367544323206E-13</v>
      </c>
      <c r="BZ160" s="13">
        <f>BY160*VLOOKUP('Données projet'!$B$12,Paramètres!$A$1:$I$89,3,0)*VLOOKUP('Données projet'!$B$12,Paramètres!$A$1:$I$89,5,0)</f>
        <v>1.0049916454590858E-13</v>
      </c>
      <c r="CA160" s="13">
        <f t="shared" si="170"/>
        <v>1.5089081593838289E-12</v>
      </c>
      <c r="CB160" s="20">
        <f t="shared" si="171"/>
        <v>2.8030510891776262E-12</v>
      </c>
      <c r="CC160" s="59">
        <f t="shared" si="119"/>
        <v>293.3333333333361</v>
      </c>
      <c r="CD160" s="59">
        <f ca="1">AVERAGE(OFFSET($CC$3,0,0,'Données projet'!$E$12+1,1))-AVERAGE(OFFSET($H$3,0,0,'Données projet'!$E$12+1,1))</f>
        <v>220.26537310502334</v>
      </c>
      <c r="CE160" s="59">
        <f t="shared" si="148"/>
        <v>233.26853625122016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13.34625283458452</v>
      </c>
      <c r="CL160" s="21">
        <f>EXP(-LN(2)/25)*CL159+(1-EXP(-LN(2)/25))/(LN(2)/25)*Calculateur!CG160*Calculateur!CI160*VLOOKUP('Données projet'!$B$12,Paramètres!$A$1:$I$89,3,0)*0.475*44/12</f>
        <v>2.938833484296441</v>
      </c>
      <c r="CM160" s="21">
        <f>EXP(-LN(2)/2)*CM159+(1-EXP(-LN(2)/2))/(LN(2)/2)*CG160*CJ160*VLOOKUP('Données projet'!$B$12,Paramètres!$A$1:$I$89,3,0)*0.475*44/12</f>
        <v>1.206416350587639E-14</v>
      </c>
      <c r="CN160" s="22">
        <f t="shared" si="172"/>
        <v>16.285086318880971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-1.5961632016114892E-13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263.37813242097957</v>
      </c>
      <c r="T161" s="59">
        <f t="shared" si="142"/>
        <v>314.89350816766904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14.35983833716074</v>
      </c>
      <c r="AA161" s="21">
        <f>EXP(-LN(2)/25)*AA160+(1-EXP(-LN(2)/25))/(LN(2)/25)*Calculateur!V161*Calculateur!X161*VLOOKUP('Données projet'!$B$9,Paramètres!$A$1:$I$89,3,0)*0.475*44/12</f>
        <v>2.9627298563775231</v>
      </c>
      <c r="AB161" s="21">
        <f>EXP(-LN(2)/2)*AB160+(1-EXP(-LN(2)/2))/(LN(2)/2)*V161*Y161*VLOOKUP('Données projet'!$B$9,Paramètres!$A$1:$I$89,3,0)*0.475*44/12</f>
        <v>3.504773542293898E-15</v>
      </c>
      <c r="AC161" s="22">
        <f t="shared" si="163"/>
        <v>17.322568193538267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4.5815795601811263E-14</v>
      </c>
      <c r="AK161" s="13">
        <f t="shared" si="164"/>
        <v>7.5374618042508364E-13</v>
      </c>
      <c r="AL161" s="20">
        <f t="shared" si="165"/>
        <v>1.392570441580175E-12</v>
      </c>
      <c r="AM161" s="59">
        <f t="shared" si="113"/>
        <v>293.33333333333468</v>
      </c>
      <c r="AN161" s="59">
        <f ca="1">AVERAGE(OFFSET($AM$3,0,0,'Données projet'!$E$10+1,1))-AVERAGE(OFFSET($H$3,0,0,'Données projet'!$E$10+1,1))</f>
        <v>344.29957955721721</v>
      </c>
      <c r="AO161" s="59">
        <f t="shared" si="144"/>
        <v>297.12790038882594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47.783529369724725</v>
      </c>
      <c r="AV161" s="21">
        <f>EXP(-LN(2)/25)*AV160+(1-EXP(-LN(2)/25))/(LN(2)/25)*Calculateur!AQ161*Calculateur!AS161*VLOOKUP('Données projet'!$B$10,Paramètres!$A$1:$I$89,3,0)*0.475*44/12</f>
        <v>8.7685816359111168</v>
      </c>
      <c r="AW161" s="21">
        <f>EXP(-LN(2)/2)*AW160+(1-EXP(-LN(2)/2))/(LN(2)/2)*AQ161*AT161*VLOOKUP('Données projet'!$B$10,Paramètres!$A$1:$I$89,3,0)*0.475*44/12</f>
        <v>1.5136906916923791E-10</v>
      </c>
      <c r="AX161" s="21">
        <f t="shared" si="166"/>
        <v>56.552111005787211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2.2737367544323206E-13</v>
      </c>
      <c r="BE161" s="13">
        <f>BD161*VLOOKUP('Données projet'!$B$11,Paramètres!$A$1:$I$89,3,0)*VLOOKUP('Données projet'!$B$11,Paramètres!$A$1:$I$89,5,0)</f>
        <v>1.064108801074326E-13</v>
      </c>
      <c r="BF161" s="13">
        <f t="shared" si="167"/>
        <v>1.5870730813698654E-12</v>
      </c>
      <c r="BG161" s="20">
        <f t="shared" si="168"/>
        <v>2.9494845662396269E-12</v>
      </c>
      <c r="BH161" s="59">
        <f t="shared" si="116"/>
        <v>293.33333333333627</v>
      </c>
      <c r="BI161" s="59">
        <f ca="1">AVERAGE(OFFSET($BH$3,0,0,'Données projet'!$E$11+1,1))-AVERAGE(OFFSET($H$3,0,0,'Données projet'!$E$11+1,1))</f>
        <v>234.83702199169585</v>
      </c>
      <c r="BJ161" s="59">
        <f t="shared" si="146"/>
        <v>248.83008816685089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13.854219836726923</v>
      </c>
      <c r="BQ161" s="21">
        <f>EXP(-LN(2)/25)*BQ160+(1-EXP(-LN(2)/25))/(LN(2)/25)*Calculateur!BL161*Calculateur!BN161*VLOOKUP('Données projet'!$B$11,Paramètres!$A$1:$I$89,3,0)*0.475*44/12</f>
        <v>3.0266162768348663</v>
      </c>
      <c r="BR161" s="21">
        <f>EXP(-LN(2)/2)*BR160+(1-EXP(-LN(2)/2))/(LN(2)/2)*BL161*BO161*VLOOKUP('Données projet'!$B$11,Paramètres!$A$1:$I$89,3,0)*0.475*44/12</f>
        <v>9.0324548728395523E-15</v>
      </c>
      <c r="BS161" s="22">
        <f t="shared" si="169"/>
        <v>16.880836113561799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2.2737367544323206E-13</v>
      </c>
      <c r="BZ161" s="13">
        <f>BY161*VLOOKUP('Données projet'!$B$12,Paramètres!$A$1:$I$89,3,0)*VLOOKUP('Données projet'!$B$12,Paramètres!$A$1:$I$89,5,0)</f>
        <v>1.0049916454590858E-13</v>
      </c>
      <c r="CA161" s="13">
        <f t="shared" si="170"/>
        <v>1.5089081593838289E-12</v>
      </c>
      <c r="CB161" s="20">
        <f t="shared" si="171"/>
        <v>2.8030510891776262E-12</v>
      </c>
      <c r="CC161" s="59">
        <f t="shared" si="119"/>
        <v>293.3333333333361</v>
      </c>
      <c r="CD161" s="59">
        <f ca="1">AVERAGE(OFFSET($CC$3,0,0,'Données projet'!$E$12+1,1))-AVERAGE(OFFSET($H$3,0,0,'Données projet'!$E$12+1,1))</f>
        <v>220.26537310502334</v>
      </c>
      <c r="CE161" s="59">
        <f t="shared" si="148"/>
        <v>233.26853625122016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13.084540956908748</v>
      </c>
      <c r="CL161" s="21">
        <f>EXP(-LN(2)/25)*CL160+(1-EXP(-LN(2)/25))/(LN(2)/25)*Calculateur!CG161*Calculateur!CI161*VLOOKUP('Données projet'!$B$12,Paramètres!$A$1:$I$89,3,0)*0.475*44/12</f>
        <v>2.8584709281218186</v>
      </c>
      <c r="CM161" s="21">
        <f>EXP(-LN(2)/2)*CM160+(1-EXP(-LN(2)/2))/(LN(2)/2)*CG161*CJ161*VLOOKUP('Données projet'!$B$12,Paramètres!$A$1:$I$89,3,0)*0.475*44/12</f>
        <v>8.5306518243484683E-15</v>
      </c>
      <c r="CN161" s="22">
        <f t="shared" si="172"/>
        <v>15.943011885030575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-1.5961632016114892E-13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263.37813242097957</v>
      </c>
      <c r="T162" s="59">
        <f t="shared" si="142"/>
        <v>314.89350816766904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14.078250666005561</v>
      </c>
      <c r="AA162" s="21">
        <f>EXP(-LN(2)/25)*AA161+(1-EXP(-LN(2)/25))/(LN(2)/25)*Calculateur!V162*Calculateur!X162*VLOOKUP('Données projet'!$B$9,Paramètres!$A$1:$I$89,3,0)*0.475*44/12</f>
        <v>2.8817138526516879</v>
      </c>
      <c r="AB162" s="21">
        <f>EXP(-LN(2)/2)*AB161+(1-EXP(-LN(2)/2))/(LN(2)/2)*V162*Y162*VLOOKUP('Données projet'!$B$9,Paramètres!$A$1:$I$89,3,0)*0.475*44/12</f>
        <v>2.4782491382792125E-15</v>
      </c>
      <c r="AC162" s="22">
        <f t="shared" si="163"/>
        <v>16.959964518657252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4.5815795601811263E-14</v>
      </c>
      <c r="AK162" s="13">
        <f t="shared" si="164"/>
        <v>7.5374618042508364E-13</v>
      </c>
      <c r="AL162" s="20">
        <f t="shared" si="165"/>
        <v>1.392570441580175E-12</v>
      </c>
      <c r="AM162" s="59">
        <f t="shared" si="113"/>
        <v>293.33333333333468</v>
      </c>
      <c r="AN162" s="59">
        <f ca="1">AVERAGE(OFFSET($AM$3,0,0,'Données projet'!$E$10+1,1))-AVERAGE(OFFSET($H$3,0,0,'Données projet'!$E$10+1,1))</f>
        <v>344.29957955721721</v>
      </c>
      <c r="AO162" s="59">
        <f t="shared" si="144"/>
        <v>297.12790038882594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46.846523503859501</v>
      </c>
      <c r="AV162" s="21">
        <f>EXP(-LN(2)/25)*AV161+(1-EXP(-LN(2)/25))/(LN(2)/25)*Calculateur!AQ162*Calculateur!AS162*VLOOKUP('Données projet'!$B$10,Paramètres!$A$1:$I$89,3,0)*0.475*44/12</f>
        <v>8.5288043099574598</v>
      </c>
      <c r="AW162" s="21">
        <f>EXP(-LN(2)/2)*AW161+(1-EXP(-LN(2)/2))/(LN(2)/2)*AQ162*AT162*VLOOKUP('Données projet'!$B$10,Paramètres!$A$1:$I$89,3,0)*0.475*44/12</f>
        <v>1.0703409527146369E-10</v>
      </c>
      <c r="AX162" s="21">
        <f t="shared" si="166"/>
        <v>55.375327813923995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2.2737367544323206E-13</v>
      </c>
      <c r="BE162" s="13">
        <f>BD162*VLOOKUP('Données projet'!$B$11,Paramètres!$A$1:$I$89,3,0)*VLOOKUP('Données projet'!$B$11,Paramètres!$A$1:$I$89,5,0)</f>
        <v>1.064108801074326E-13</v>
      </c>
      <c r="BF162" s="13">
        <f t="shared" si="167"/>
        <v>1.5870730813698654E-12</v>
      </c>
      <c r="BG162" s="20">
        <f t="shared" si="168"/>
        <v>2.9494845662396269E-12</v>
      </c>
      <c r="BH162" s="59">
        <f t="shared" si="116"/>
        <v>293.33333333333627</v>
      </c>
      <c r="BI162" s="59">
        <f ca="1">AVERAGE(OFFSET($BH$3,0,0,'Données projet'!$E$11+1,1))-AVERAGE(OFFSET($H$3,0,0,'Données projet'!$E$11+1,1))</f>
        <v>234.83702199169585</v>
      </c>
      <c r="BJ162" s="59">
        <f t="shared" si="146"/>
        <v>248.83008816685089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13.582547035968416</v>
      </c>
      <c r="BQ162" s="21">
        <f>EXP(-LN(2)/25)*BQ161+(1-EXP(-LN(2)/25))/(LN(2)/25)*Calculateur!BL162*Calculateur!BN162*VLOOKUP('Données projet'!$B$11,Paramètres!$A$1:$I$89,3,0)*0.475*44/12</f>
        <v>2.9438532955819845</v>
      </c>
      <c r="BR162" s="21">
        <f>EXP(-LN(2)/2)*BR161+(1-EXP(-LN(2)/2))/(LN(2)/2)*BL162*BO162*VLOOKUP('Données projet'!$B$11,Paramètres!$A$1:$I$89,3,0)*0.475*44/12</f>
        <v>6.3869100913463223E-15</v>
      </c>
      <c r="BS162" s="22">
        <f t="shared" si="169"/>
        <v>16.526400331550406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2.2737367544323206E-13</v>
      </c>
      <c r="BZ162" s="13">
        <f>BY162*VLOOKUP('Données projet'!$B$12,Paramètres!$A$1:$I$89,3,0)*VLOOKUP('Données projet'!$B$12,Paramètres!$A$1:$I$89,5,0)</f>
        <v>1.0049916454590858E-13</v>
      </c>
      <c r="CA162" s="13">
        <f t="shared" si="170"/>
        <v>1.5089081593838289E-12</v>
      </c>
      <c r="CB162" s="20">
        <f t="shared" si="171"/>
        <v>2.8030510891776262E-12</v>
      </c>
      <c r="CC162" s="59">
        <f t="shared" si="119"/>
        <v>293.3333333333361</v>
      </c>
      <c r="CD162" s="59">
        <f ca="1">AVERAGE(OFFSET($CC$3,0,0,'Données projet'!$E$12+1,1))-AVERAGE(OFFSET($H$3,0,0,'Données projet'!$E$12+1,1))</f>
        <v>220.26537310502334</v>
      </c>
      <c r="CE162" s="59">
        <f t="shared" si="148"/>
        <v>233.26853625122016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12.827961089525715</v>
      </c>
      <c r="CL162" s="21">
        <f>EXP(-LN(2)/25)*CL161+(1-EXP(-LN(2)/25))/(LN(2)/25)*Calculateur!CG162*Calculateur!CI162*VLOOKUP('Données projet'!$B$12,Paramètres!$A$1:$I$89,3,0)*0.475*44/12</f>
        <v>2.7803058902718742</v>
      </c>
      <c r="CM162" s="21">
        <f>EXP(-LN(2)/2)*CM161+(1-EXP(-LN(2)/2))/(LN(2)/2)*CG162*CJ162*VLOOKUP('Données projet'!$B$12,Paramètres!$A$1:$I$89,3,0)*0.475*44/12</f>
        <v>6.032081752938195E-15</v>
      </c>
      <c r="CN162" s="22">
        <f t="shared" si="172"/>
        <v>15.608266979797595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-1.5961632016114892E-13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263.37813242097957</v>
      </c>
      <c r="T163" s="59">
        <f t="shared" si="142"/>
        <v>314.89350816766904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13.802184757330213</v>
      </c>
      <c r="AA163" s="21">
        <f>EXP(-LN(2)/25)*AA162+(1-EXP(-LN(2)/25))/(LN(2)/25)*Calculateur!V163*Calculateur!X163*VLOOKUP('Données projet'!$B$9,Paramètres!$A$1:$I$89,3,0)*0.475*44/12</f>
        <v>2.8029132358081821</v>
      </c>
      <c r="AB163" s="21">
        <f>EXP(-LN(2)/2)*AB162+(1-EXP(-LN(2)/2))/(LN(2)/2)*V163*Y163*VLOOKUP('Données projet'!$B$9,Paramètres!$A$1:$I$89,3,0)*0.475*44/12</f>
        <v>1.7523867711469492E-15</v>
      </c>
      <c r="AC163" s="22">
        <f t="shared" si="163"/>
        <v>16.605097993138394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4.5815795601811263E-14</v>
      </c>
      <c r="AK163" s="13">
        <f t="shared" si="164"/>
        <v>7.5374618042508364E-13</v>
      </c>
      <c r="AL163" s="20">
        <f t="shared" si="165"/>
        <v>1.392570441580175E-12</v>
      </c>
      <c r="AM163" s="59">
        <f t="shared" si="113"/>
        <v>293.33333333333468</v>
      </c>
      <c r="AN163" s="59">
        <f ca="1">AVERAGE(OFFSET($AM$3,0,0,'Données projet'!$E$10+1,1))-AVERAGE(OFFSET($H$3,0,0,'Données projet'!$E$10+1,1))</f>
        <v>344.29957955721721</v>
      </c>
      <c r="AO163" s="59">
        <f t="shared" si="144"/>
        <v>297.12790038882594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45.927891751506749</v>
      </c>
      <c r="AV163" s="21">
        <f>EXP(-LN(2)/25)*AV162+(1-EXP(-LN(2)/25))/(LN(2)/25)*Calculateur!AQ163*Calculateur!AS163*VLOOKUP('Données projet'!$B$10,Paramètres!$A$1:$I$89,3,0)*0.475*44/12</f>
        <v>8.2955837075913479</v>
      </c>
      <c r="AW163" s="21">
        <f>EXP(-LN(2)/2)*AW162+(1-EXP(-LN(2)/2))/(LN(2)/2)*AQ163*AT163*VLOOKUP('Données projet'!$B$10,Paramètres!$A$1:$I$89,3,0)*0.475*44/12</f>
        <v>7.5684534584618956E-11</v>
      </c>
      <c r="AX163" s="21">
        <f t="shared" si="166"/>
        <v>54.223475459173784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2.2737367544323206E-13</v>
      </c>
      <c r="BE163" s="13">
        <f>BD163*VLOOKUP('Données projet'!$B$11,Paramètres!$A$1:$I$89,3,0)*VLOOKUP('Données projet'!$B$11,Paramètres!$A$1:$I$89,5,0)</f>
        <v>1.064108801074326E-13</v>
      </c>
      <c r="BF163" s="13">
        <f t="shared" si="167"/>
        <v>1.5870730813698654E-12</v>
      </c>
      <c r="BG163" s="20">
        <f t="shared" si="168"/>
        <v>2.9494845662396269E-12</v>
      </c>
      <c r="BH163" s="59">
        <f t="shared" si="116"/>
        <v>293.33333333333627</v>
      </c>
      <c r="BI163" s="59">
        <f ca="1">AVERAGE(OFFSET($BH$3,0,0,'Données projet'!$E$11+1,1))-AVERAGE(OFFSET($H$3,0,0,'Données projet'!$E$11+1,1))</f>
        <v>234.83702199169585</v>
      </c>
      <c r="BJ163" s="59">
        <f t="shared" si="146"/>
        <v>248.83008816685089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13.316201573128737</v>
      </c>
      <c r="BQ163" s="21">
        <f>EXP(-LN(2)/25)*BQ162+(1-EXP(-LN(2)/25))/(LN(2)/25)*Calculateur!BL163*Calculateur!BN163*VLOOKUP('Données projet'!$B$11,Paramètres!$A$1:$I$89,3,0)*0.475*44/12</f>
        <v>2.8633534724037788</v>
      </c>
      <c r="BR163" s="21">
        <f>EXP(-LN(2)/2)*BR162+(1-EXP(-LN(2)/2))/(LN(2)/2)*BL163*BO163*VLOOKUP('Données projet'!$B$11,Paramètres!$A$1:$I$89,3,0)*0.475*44/12</f>
        <v>4.5162274364197762E-15</v>
      </c>
      <c r="BS163" s="22">
        <f t="shared" si="169"/>
        <v>16.179555045532521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2.2737367544323206E-13</v>
      </c>
      <c r="BZ163" s="13">
        <f>BY163*VLOOKUP('Données projet'!$B$12,Paramètres!$A$1:$I$89,3,0)*VLOOKUP('Données projet'!$B$12,Paramètres!$A$1:$I$89,5,0)</f>
        <v>1.0049916454590858E-13</v>
      </c>
      <c r="CA163" s="13">
        <f t="shared" si="170"/>
        <v>1.5089081593838289E-12</v>
      </c>
      <c r="CB163" s="20">
        <f t="shared" si="171"/>
        <v>2.8030510891776262E-12</v>
      </c>
      <c r="CC163" s="59">
        <f t="shared" si="119"/>
        <v>293.3333333333361</v>
      </c>
      <c r="CD163" s="59">
        <f ca="1">AVERAGE(OFFSET($CC$3,0,0,'Données projet'!$E$12+1,1))-AVERAGE(OFFSET($H$3,0,0,'Données projet'!$E$12+1,1))</f>
        <v>220.26537310502334</v>
      </c>
      <c r="CE163" s="59">
        <f t="shared" si="148"/>
        <v>233.26853625122016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12.576412596843797</v>
      </c>
      <c r="CL163" s="21">
        <f>EXP(-LN(2)/25)*CL162+(1-EXP(-LN(2)/25))/(LN(2)/25)*Calculateur!CG163*Calculateur!CI163*VLOOKUP('Données projet'!$B$12,Paramètres!$A$1:$I$89,3,0)*0.475*44/12</f>
        <v>2.7042782794924576</v>
      </c>
      <c r="CM163" s="21">
        <f>EXP(-LN(2)/2)*CM162+(1-EXP(-LN(2)/2))/(LN(2)/2)*CG163*CJ163*VLOOKUP('Données projet'!$B$12,Paramètres!$A$1:$I$89,3,0)*0.475*44/12</f>
        <v>4.2653259121742341E-15</v>
      </c>
      <c r="CN163" s="22">
        <f t="shared" si="172"/>
        <v>15.280690876336259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-1.5961632016114892E-13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263.37813242097957</v>
      </c>
      <c r="T164" s="59">
        <f t="shared" si="142"/>
        <v>314.89350816766904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13.531532332740412</v>
      </c>
      <c r="AA164" s="21">
        <f>EXP(-LN(2)/25)*AA163+(1-EXP(-LN(2)/25))/(LN(2)/25)*Calculateur!V164*Calculateur!X164*VLOOKUP('Données projet'!$B$9,Paramètres!$A$1:$I$89,3,0)*0.475*44/12</f>
        <v>2.7262674259762063</v>
      </c>
      <c r="AB164" s="21">
        <f>EXP(-LN(2)/2)*AB163+(1-EXP(-LN(2)/2))/(LN(2)/2)*V164*Y164*VLOOKUP('Données projet'!$B$9,Paramètres!$A$1:$I$89,3,0)*0.475*44/12</f>
        <v>1.2391245691396064E-15</v>
      </c>
      <c r="AC164" s="22">
        <f t="shared" si="163"/>
        <v>16.257799758716619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4.5815795601811263E-14</v>
      </c>
      <c r="AK164" s="13">
        <f t="shared" si="164"/>
        <v>7.5374618042508364E-13</v>
      </c>
      <c r="AL164" s="20">
        <f t="shared" si="165"/>
        <v>1.392570441580175E-12</v>
      </c>
      <c r="AM164" s="59">
        <f t="shared" si="113"/>
        <v>293.33333333333468</v>
      </c>
      <c r="AN164" s="59">
        <f ca="1">AVERAGE(OFFSET($AM$3,0,0,'Données projet'!$E$10+1,1))-AVERAGE(OFFSET($H$3,0,0,'Données projet'!$E$10+1,1))</f>
        <v>344.29957955721721</v>
      </c>
      <c r="AO164" s="59">
        <f t="shared" si="144"/>
        <v>297.12790038882594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45.027273807507591</v>
      </c>
      <c r="AV164" s="21">
        <f>EXP(-LN(2)/25)*AV163+(1-EXP(-LN(2)/25))/(LN(2)/25)*Calculateur!AQ164*Calculateur!AS164*VLOOKUP('Données projet'!$B$10,Paramètres!$A$1:$I$89,3,0)*0.475*44/12</f>
        <v>8.0687405348614742</v>
      </c>
      <c r="AW164" s="21">
        <f>EXP(-LN(2)/2)*AW163+(1-EXP(-LN(2)/2))/(LN(2)/2)*AQ164*AT164*VLOOKUP('Données projet'!$B$10,Paramètres!$A$1:$I$89,3,0)*0.475*44/12</f>
        <v>5.3517047635731845E-11</v>
      </c>
      <c r="AX164" s="21">
        <f t="shared" si="166"/>
        <v>53.096014342422585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2.2737367544323206E-13</v>
      </c>
      <c r="BE164" s="13">
        <f>BD164*VLOOKUP('Données projet'!$B$11,Paramètres!$A$1:$I$89,3,0)*VLOOKUP('Données projet'!$B$11,Paramètres!$A$1:$I$89,5,0)</f>
        <v>1.064108801074326E-13</v>
      </c>
      <c r="BF164" s="13">
        <f t="shared" si="167"/>
        <v>1.5870730813698654E-12</v>
      </c>
      <c r="BG164" s="20">
        <f t="shared" si="168"/>
        <v>2.9494845662396269E-12</v>
      </c>
      <c r="BH164" s="59">
        <f t="shared" si="116"/>
        <v>293.33333333333627</v>
      </c>
      <c r="BI164" s="59">
        <f ca="1">AVERAGE(OFFSET($BH$3,0,0,'Données projet'!$E$11+1,1))-AVERAGE(OFFSET($H$3,0,0,'Données projet'!$E$11+1,1))</f>
        <v>234.83702199169585</v>
      </c>
      <c r="BJ164" s="59">
        <f t="shared" si="146"/>
        <v>248.83008816685089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13.055078982360653</v>
      </c>
      <c r="BQ164" s="21">
        <f>EXP(-LN(2)/25)*BQ163+(1-EXP(-LN(2)/25))/(LN(2)/25)*Calculateur!BL164*Calculateur!BN164*VLOOKUP('Données projet'!$B$11,Paramètres!$A$1:$I$89,3,0)*0.475*44/12</f>
        <v>2.7850549211236828</v>
      </c>
      <c r="BR164" s="21">
        <f>EXP(-LN(2)/2)*BR163+(1-EXP(-LN(2)/2))/(LN(2)/2)*BL164*BO164*VLOOKUP('Données projet'!$B$11,Paramètres!$A$1:$I$89,3,0)*0.475*44/12</f>
        <v>3.1934550456731612E-15</v>
      </c>
      <c r="BS164" s="22">
        <f t="shared" si="169"/>
        <v>15.84013390348434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2.2737367544323206E-13</v>
      </c>
      <c r="BZ164" s="13">
        <f>BY164*VLOOKUP('Données projet'!$B$12,Paramètres!$A$1:$I$89,3,0)*VLOOKUP('Données projet'!$B$12,Paramètres!$A$1:$I$89,5,0)</f>
        <v>1.0049916454590858E-13</v>
      </c>
      <c r="CA164" s="13">
        <f t="shared" si="170"/>
        <v>1.5089081593838289E-12</v>
      </c>
      <c r="CB164" s="20">
        <f t="shared" si="171"/>
        <v>2.8030510891776262E-12</v>
      </c>
      <c r="CC164" s="59">
        <f t="shared" si="119"/>
        <v>293.3333333333361</v>
      </c>
      <c r="CD164" s="59">
        <f ca="1">AVERAGE(OFFSET($CC$3,0,0,'Données projet'!$E$12+1,1))-AVERAGE(OFFSET($H$3,0,0,'Données projet'!$E$12+1,1))</f>
        <v>220.26537310502334</v>
      </c>
      <c r="CE164" s="59">
        <f t="shared" si="148"/>
        <v>233.26853625122016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12.329796816673941</v>
      </c>
      <c r="CL164" s="21">
        <f>EXP(-LN(2)/25)*CL163+(1-EXP(-LN(2)/25))/(LN(2)/25)*Calculateur!CG164*Calculateur!CI164*VLOOKUP('Données projet'!$B$12,Paramètres!$A$1:$I$89,3,0)*0.475*44/12</f>
        <v>2.6303296477279221</v>
      </c>
      <c r="CM164" s="21">
        <f>EXP(-LN(2)/2)*CM163+(1-EXP(-LN(2)/2))/(LN(2)/2)*CG164*CJ164*VLOOKUP('Données projet'!$B$12,Paramètres!$A$1:$I$89,3,0)*0.475*44/12</f>
        <v>3.0160408764690975E-15</v>
      </c>
      <c r="CN164" s="22">
        <f t="shared" si="172"/>
        <v>14.960126464401867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-1.5961632016114892E-13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263.37813242097957</v>
      </c>
      <c r="T165" s="59">
        <f t="shared" si="142"/>
        <v>314.89350816766904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13.266187237115137</v>
      </c>
      <c r="AA165" s="21">
        <f>EXP(-LN(2)/25)*AA164+(1-EXP(-LN(2)/25))/(LN(2)/25)*Calculateur!V165*Calculateur!X165*VLOOKUP('Données projet'!$B$9,Paramètres!$A$1:$I$89,3,0)*0.475*44/12</f>
        <v>2.6517174998447142</v>
      </c>
      <c r="AB165" s="21">
        <f>EXP(-LN(2)/2)*AB164+(1-EXP(-LN(2)/2))/(LN(2)/2)*V165*Y165*VLOOKUP('Données projet'!$B$9,Paramètres!$A$1:$I$89,3,0)*0.475*44/12</f>
        <v>8.7619338557347469E-16</v>
      </c>
      <c r="AC165" s="22">
        <f t="shared" si="163"/>
        <v>15.917904736959851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4.5815795601811263E-14</v>
      </c>
      <c r="AK165" s="13">
        <f t="shared" si="164"/>
        <v>7.5374618042508364E-13</v>
      </c>
      <c r="AL165" s="20">
        <f t="shared" si="165"/>
        <v>1.392570441580175E-12</v>
      </c>
      <c r="AM165" s="59">
        <f t="shared" si="113"/>
        <v>293.33333333333468</v>
      </c>
      <c r="AN165" s="59">
        <f ca="1">AVERAGE(OFFSET($AM$3,0,0,'Données projet'!$E$10+1,1))-AVERAGE(OFFSET($H$3,0,0,'Données projet'!$E$10+1,1))</f>
        <v>344.29957955721721</v>
      </c>
      <c r="AO165" s="59">
        <f t="shared" si="144"/>
        <v>297.12790038882594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44.144316432067555</v>
      </c>
      <c r="AV165" s="21">
        <f>EXP(-LN(2)/25)*AV164+(1-EXP(-LN(2)/25))/(LN(2)/25)*Calculateur!AQ165*Calculateur!AS165*VLOOKUP('Données projet'!$B$10,Paramètres!$A$1:$I$89,3,0)*0.475*44/12</f>
        <v>7.8481004006190638</v>
      </c>
      <c r="AW165" s="21">
        <f>EXP(-LN(2)/2)*AW164+(1-EXP(-LN(2)/2))/(LN(2)/2)*AQ165*AT165*VLOOKUP('Données projet'!$B$10,Paramètres!$A$1:$I$89,3,0)*0.475*44/12</f>
        <v>3.7842267292309478E-11</v>
      </c>
      <c r="AX165" s="21">
        <f t="shared" si="166"/>
        <v>51.992416832724459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2.2737367544323206E-13</v>
      </c>
      <c r="BE165" s="13">
        <f>BD165*VLOOKUP('Données projet'!$B$11,Paramètres!$A$1:$I$89,3,0)*VLOOKUP('Données projet'!$B$11,Paramètres!$A$1:$I$89,5,0)</f>
        <v>1.064108801074326E-13</v>
      </c>
      <c r="BF165" s="13">
        <f t="shared" si="167"/>
        <v>1.5870730813698654E-12</v>
      </c>
      <c r="BG165" s="20">
        <f t="shared" si="168"/>
        <v>2.9494845662396269E-12</v>
      </c>
      <c r="BH165" s="59">
        <f t="shared" si="116"/>
        <v>293.33333333333627</v>
      </c>
      <c r="BI165" s="59">
        <f ca="1">AVERAGE(OFFSET($BH$3,0,0,'Données projet'!$E$11+1,1))-AVERAGE(OFFSET($H$3,0,0,'Données projet'!$E$11+1,1))</f>
        <v>234.83702199169585</v>
      </c>
      <c r="BJ165" s="59">
        <f t="shared" si="146"/>
        <v>248.83008816685089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12.799076846328477</v>
      </c>
      <c r="BQ165" s="21">
        <f>EXP(-LN(2)/25)*BQ164+(1-EXP(-LN(2)/25))/(LN(2)/25)*Calculateur!BL165*Calculateur!BN165*VLOOKUP('Données projet'!$B$11,Paramètres!$A$1:$I$89,3,0)*0.475*44/12</f>
        <v>2.7088974478458829</v>
      </c>
      <c r="BR165" s="21">
        <f>EXP(-LN(2)/2)*BR164+(1-EXP(-LN(2)/2))/(LN(2)/2)*BL165*BO165*VLOOKUP('Données projet'!$B$11,Paramètres!$A$1:$I$89,3,0)*0.475*44/12</f>
        <v>2.2581137182098881E-15</v>
      </c>
      <c r="BS165" s="22">
        <f t="shared" si="169"/>
        <v>15.507974294174362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2.2737367544323206E-13</v>
      </c>
      <c r="BZ165" s="13">
        <f>BY165*VLOOKUP('Données projet'!$B$12,Paramètres!$A$1:$I$89,3,0)*VLOOKUP('Données projet'!$B$12,Paramètres!$A$1:$I$89,5,0)</f>
        <v>1.0049916454590858E-13</v>
      </c>
      <c r="CA165" s="13">
        <f t="shared" si="170"/>
        <v>1.5089081593838289E-12</v>
      </c>
      <c r="CB165" s="20">
        <f t="shared" si="171"/>
        <v>2.8030510891776262E-12</v>
      </c>
      <c r="CC165" s="59">
        <f t="shared" si="119"/>
        <v>293.3333333333361</v>
      </c>
      <c r="CD165" s="59">
        <f ca="1">AVERAGE(OFFSET($CC$3,0,0,'Données projet'!$E$12+1,1))-AVERAGE(OFFSET($H$3,0,0,'Données projet'!$E$12+1,1))</f>
        <v>220.26537310502334</v>
      </c>
      <c r="CE165" s="59">
        <f t="shared" si="148"/>
        <v>233.26853625122016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12.088017021532442</v>
      </c>
      <c r="CL165" s="21">
        <f>EXP(-LN(2)/25)*CL164+(1-EXP(-LN(2)/25))/(LN(2)/25)*Calculateur!CG165*Calculateur!CI165*VLOOKUP('Données projet'!$B$12,Paramètres!$A$1:$I$89,3,0)*0.475*44/12</f>
        <v>2.5584031451877776</v>
      </c>
      <c r="CM165" s="21">
        <f>EXP(-LN(2)/2)*CM164+(1-EXP(-LN(2)/2))/(LN(2)/2)*CG165*CJ165*VLOOKUP('Données projet'!$B$12,Paramètres!$A$1:$I$89,3,0)*0.475*44/12</f>
        <v>2.1326629560871171E-15</v>
      </c>
      <c r="CN165" s="22">
        <f t="shared" si="172"/>
        <v>14.646420166720221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-1.5961632016114892E-13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263.37813242097957</v>
      </c>
      <c r="T166" s="59">
        <f t="shared" si="142"/>
        <v>314.89350816766904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13.006045396970547</v>
      </c>
      <c r="AA166" s="21">
        <f>EXP(-LN(2)/25)*AA165+(1-EXP(-LN(2)/25))/(LN(2)/25)*Calculateur!V166*Calculateur!X166*VLOOKUP('Données projet'!$B$9,Paramètres!$A$1:$I$89,3,0)*0.475*44/12</f>
        <v>2.5792061453636976</v>
      </c>
      <c r="AB166" s="21">
        <f>EXP(-LN(2)/2)*AB165+(1-EXP(-LN(2)/2))/(LN(2)/2)*V166*Y166*VLOOKUP('Données projet'!$B$9,Paramètres!$A$1:$I$89,3,0)*0.475*44/12</f>
        <v>6.1956228456980332E-16</v>
      </c>
      <c r="AC166" s="22">
        <f t="shared" si="163"/>
        <v>15.585251542334245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4.5815795601811263E-14</v>
      </c>
      <c r="AK166" s="13">
        <f t="shared" si="164"/>
        <v>7.5374618042508364E-13</v>
      </c>
      <c r="AL166" s="20">
        <f t="shared" si="165"/>
        <v>1.392570441580175E-12</v>
      </c>
      <c r="AM166" s="59">
        <f t="shared" si="113"/>
        <v>293.33333333333468</v>
      </c>
      <c r="AN166" s="59">
        <f ca="1">AVERAGE(OFFSET($AM$3,0,0,'Données projet'!$E$10+1,1))-AVERAGE(OFFSET($H$3,0,0,'Données projet'!$E$10+1,1))</f>
        <v>344.29957955721721</v>
      </c>
      <c r="AO166" s="59">
        <f t="shared" si="144"/>
        <v>297.12790038882594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43.278673312209072</v>
      </c>
      <c r="AV166" s="21">
        <f>EXP(-LN(2)/25)*AV165+(1-EXP(-LN(2)/25))/(LN(2)/25)*Calculateur!AQ166*Calculateur!AS166*VLOOKUP('Données projet'!$B$10,Paramètres!$A$1:$I$89,3,0)*0.475*44/12</f>
        <v>7.6334936824504727</v>
      </c>
      <c r="AW166" s="21">
        <f>EXP(-LN(2)/2)*AW165+(1-EXP(-LN(2)/2))/(LN(2)/2)*AQ166*AT166*VLOOKUP('Données projet'!$B$10,Paramètres!$A$1:$I$89,3,0)*0.475*44/12</f>
        <v>2.6758523817865923E-11</v>
      </c>
      <c r="AX166" s="21">
        <f t="shared" si="166"/>
        <v>50.912166994686302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2.2737367544323206E-13</v>
      </c>
      <c r="BE166" s="13">
        <f>BD166*VLOOKUP('Données projet'!$B$11,Paramètres!$A$1:$I$89,3,0)*VLOOKUP('Données projet'!$B$11,Paramètres!$A$1:$I$89,5,0)</f>
        <v>1.064108801074326E-13</v>
      </c>
      <c r="BF166" s="13">
        <f t="shared" si="167"/>
        <v>1.5870730813698654E-12</v>
      </c>
      <c r="BG166" s="20">
        <f t="shared" si="168"/>
        <v>2.9494845662396269E-12</v>
      </c>
      <c r="BH166" s="59">
        <f t="shared" si="116"/>
        <v>293.33333333333627</v>
      </c>
      <c r="BI166" s="59">
        <f ca="1">AVERAGE(OFFSET($BH$3,0,0,'Données projet'!$E$11+1,1))-AVERAGE(OFFSET($H$3,0,0,'Données projet'!$E$11+1,1))</f>
        <v>234.83702199169585</v>
      </c>
      <c r="BJ166" s="59">
        <f t="shared" si="146"/>
        <v>248.83008816685089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12.548094756038008</v>
      </c>
      <c r="BQ166" s="21">
        <f>EXP(-LN(2)/25)*BQ165+(1-EXP(-LN(2)/25))/(LN(2)/25)*Calculateur!BL166*Calculateur!BN166*VLOOKUP('Données projet'!$B$11,Paramètres!$A$1:$I$89,3,0)*0.475*44/12</f>
        <v>2.6348225046798119</v>
      </c>
      <c r="BR166" s="21">
        <f>EXP(-LN(2)/2)*BR165+(1-EXP(-LN(2)/2))/(LN(2)/2)*BL166*BO166*VLOOKUP('Données projet'!$B$11,Paramètres!$A$1:$I$89,3,0)*0.475*44/12</f>
        <v>1.5967275228365806E-15</v>
      </c>
      <c r="BS166" s="22">
        <f t="shared" si="169"/>
        <v>15.182917260717822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2.2737367544323206E-13</v>
      </c>
      <c r="BZ166" s="13">
        <f>BY166*VLOOKUP('Données projet'!$B$12,Paramètres!$A$1:$I$89,3,0)*VLOOKUP('Données projet'!$B$12,Paramètres!$A$1:$I$89,5,0)</f>
        <v>1.0049916454590858E-13</v>
      </c>
      <c r="CA166" s="13">
        <f t="shared" si="170"/>
        <v>1.5089081593838289E-12</v>
      </c>
      <c r="CB166" s="20">
        <f t="shared" si="171"/>
        <v>2.8030510891776262E-12</v>
      </c>
      <c r="CC166" s="59">
        <f t="shared" si="119"/>
        <v>293.3333333333361</v>
      </c>
      <c r="CD166" s="59">
        <f ca="1">AVERAGE(OFFSET($CC$3,0,0,'Données projet'!$E$12+1,1))-AVERAGE(OFFSET($H$3,0,0,'Données projet'!$E$12+1,1))</f>
        <v>220.26537310502334</v>
      </c>
      <c r="CE166" s="59">
        <f t="shared" si="148"/>
        <v>233.26853625122016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11.850978380702555</v>
      </c>
      <c r="CL166" s="21">
        <f>EXP(-LN(2)/25)*CL165+(1-EXP(-LN(2)/25))/(LN(2)/25)*Calculateur!CG166*Calculateur!CI166*VLOOKUP('Données projet'!$B$12,Paramètres!$A$1:$I$89,3,0)*0.475*44/12</f>
        <v>2.4884434766420438</v>
      </c>
      <c r="CM166" s="21">
        <f>EXP(-LN(2)/2)*CM165+(1-EXP(-LN(2)/2))/(LN(2)/2)*CG166*CJ166*VLOOKUP('Données projet'!$B$12,Paramètres!$A$1:$I$89,3,0)*0.475*44/12</f>
        <v>1.5080204382345487E-15</v>
      </c>
      <c r="CN166" s="22">
        <f t="shared" si="172"/>
        <v>14.3394218573446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-1.5961632016114892E-13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263.37813242097957</v>
      </c>
      <c r="T167" s="59">
        <f t="shared" si="142"/>
        <v>314.89350816766904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12.751004779640338</v>
      </c>
      <c r="AA167" s="21">
        <f>EXP(-LN(2)/25)*AA166+(1-EXP(-LN(2)/25))/(LN(2)/25)*Calculateur!V167*Calculateur!X167*VLOOKUP('Données projet'!$B$9,Paramètres!$A$1:$I$89,3,0)*0.475*44/12</f>
        <v>2.508677617684171</v>
      </c>
      <c r="AB167" s="21">
        <f>EXP(-LN(2)/2)*AB166+(1-EXP(-LN(2)/2))/(LN(2)/2)*V167*Y167*VLOOKUP('Données projet'!$B$9,Paramètres!$A$1:$I$89,3,0)*0.475*44/12</f>
        <v>4.3809669278673744E-16</v>
      </c>
      <c r="AC167" s="22">
        <f t="shared" si="163"/>
        <v>15.259682397324509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4.5815795601811263E-14</v>
      </c>
      <c r="AK167" s="13">
        <f t="shared" si="164"/>
        <v>7.5374618042508364E-13</v>
      </c>
      <c r="AL167" s="20">
        <f t="shared" si="165"/>
        <v>1.392570441580175E-12</v>
      </c>
      <c r="AM167" s="59">
        <f t="shared" si="113"/>
        <v>293.33333333333468</v>
      </c>
      <c r="AN167" s="59">
        <f ca="1">AVERAGE(OFFSET($AM$3,0,0,'Données projet'!$E$10+1,1))-AVERAGE(OFFSET($H$3,0,0,'Données projet'!$E$10+1,1))</f>
        <v>344.29957955721721</v>
      </c>
      <c r="AO167" s="59">
        <f t="shared" si="144"/>
        <v>297.12790038882594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42.43000492594085</v>
      </c>
      <c r="AV167" s="21">
        <f>EXP(-LN(2)/25)*AV166+(1-EXP(-LN(2)/25))/(LN(2)/25)*Calculateur!AQ167*Calculateur!AS167*VLOOKUP('Données projet'!$B$10,Paramètres!$A$1:$I$89,3,0)*0.475*44/12</f>
        <v>7.4247553962758781</v>
      </c>
      <c r="AW167" s="21">
        <f>EXP(-LN(2)/2)*AW166+(1-EXP(-LN(2)/2))/(LN(2)/2)*AQ167*AT167*VLOOKUP('Données projet'!$B$10,Paramètres!$A$1:$I$89,3,0)*0.475*44/12</f>
        <v>1.8921133646154739E-11</v>
      </c>
      <c r="AX167" s="21">
        <f t="shared" si="166"/>
        <v>49.854760322235649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2.2737367544323206E-13</v>
      </c>
      <c r="BE167" s="13">
        <f>BD167*VLOOKUP('Données projet'!$B$11,Paramètres!$A$1:$I$89,3,0)*VLOOKUP('Données projet'!$B$11,Paramètres!$A$1:$I$89,5,0)</f>
        <v>1.064108801074326E-13</v>
      </c>
      <c r="BF167" s="13">
        <f t="shared" si="167"/>
        <v>1.5870730813698654E-12</v>
      </c>
      <c r="BG167" s="20">
        <f t="shared" si="168"/>
        <v>2.9494845662396269E-12</v>
      </c>
      <c r="BH167" s="59">
        <f t="shared" si="116"/>
        <v>293.33333333333627</v>
      </c>
      <c r="BI167" s="59">
        <f ca="1">AVERAGE(OFFSET($BH$3,0,0,'Données projet'!$E$11+1,1))-AVERAGE(OFFSET($H$3,0,0,'Données projet'!$E$11+1,1))</f>
        <v>234.83702199169585</v>
      </c>
      <c r="BJ167" s="59">
        <f t="shared" si="146"/>
        <v>248.83008816685089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12.302034271454175</v>
      </c>
      <c r="BQ167" s="21">
        <f>EXP(-LN(2)/25)*BQ166+(1-EXP(-LN(2)/25))/(LN(2)/25)*Calculateur!BL167*Calculateur!BN167*VLOOKUP('Données projet'!$B$11,Paramètres!$A$1:$I$89,3,0)*0.475*44/12</f>
        <v>2.5627731447300488</v>
      </c>
      <c r="BR167" s="21">
        <f>EXP(-LN(2)/2)*BR166+(1-EXP(-LN(2)/2))/(LN(2)/2)*BL167*BO167*VLOOKUP('Données projet'!$B$11,Paramètres!$A$1:$I$89,3,0)*0.475*44/12</f>
        <v>1.129056859104944E-15</v>
      </c>
      <c r="BS167" s="22">
        <f t="shared" si="169"/>
        <v>14.864807416184226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2.2737367544323206E-13</v>
      </c>
      <c r="BZ167" s="13">
        <f>BY167*VLOOKUP('Données projet'!$B$12,Paramètres!$A$1:$I$89,3,0)*VLOOKUP('Données projet'!$B$12,Paramètres!$A$1:$I$89,5,0)</f>
        <v>1.0049916454590858E-13</v>
      </c>
      <c r="CA167" s="13">
        <f t="shared" si="170"/>
        <v>1.5089081593838289E-12</v>
      </c>
      <c r="CB167" s="20">
        <f t="shared" si="171"/>
        <v>2.8030510891776262E-12</v>
      </c>
      <c r="CC167" s="59">
        <f t="shared" si="119"/>
        <v>293.3333333333361</v>
      </c>
      <c r="CD167" s="59">
        <f ca="1">AVERAGE(OFFSET($CC$3,0,0,'Données projet'!$E$12+1,1))-AVERAGE(OFFSET($H$3,0,0,'Données projet'!$E$12+1,1))</f>
        <v>220.26537310502334</v>
      </c>
      <c r="CE167" s="59">
        <f t="shared" si="148"/>
        <v>233.26853625122016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11.618587923040048</v>
      </c>
      <c r="CL167" s="21">
        <f>EXP(-LN(2)/25)*CL166+(1-EXP(-LN(2)/25))/(LN(2)/25)*Calculateur!CG167*Calculateur!CI167*VLOOKUP('Données projet'!$B$12,Paramètres!$A$1:$I$89,3,0)*0.475*44/12</f>
        <v>2.4203968589117122</v>
      </c>
      <c r="CM167" s="21">
        <f>EXP(-LN(2)/2)*CM166+(1-EXP(-LN(2)/2))/(LN(2)/2)*CG167*CJ167*VLOOKUP('Données projet'!$B$12,Paramètres!$A$1:$I$89,3,0)*0.475*44/12</f>
        <v>1.0663314780435585E-15</v>
      </c>
      <c r="CN167" s="22">
        <f t="shared" si="172"/>
        <v>14.038984781951761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-1.5961632016114892E-13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263.37813242097957</v>
      </c>
      <c r="T168" s="59">
        <f t="shared" si="142"/>
        <v>314.89350816766904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12.500965353256557</v>
      </c>
      <c r="AA168" s="21">
        <f>EXP(-LN(2)/25)*AA167+(1-EXP(-LN(2)/25))/(LN(2)/25)*Calculateur!V168*Calculateur!X168*VLOOKUP('Données projet'!$B$9,Paramètres!$A$1:$I$89,3,0)*0.475*44/12</f>
        <v>2.4400776963029749</v>
      </c>
      <c r="AB168" s="21">
        <f>EXP(-LN(2)/2)*AB167+(1-EXP(-LN(2)/2))/(LN(2)/2)*V168*Y168*VLOOKUP('Données projet'!$B$9,Paramètres!$A$1:$I$89,3,0)*0.475*44/12</f>
        <v>3.0978114228490171E-16</v>
      </c>
      <c r="AC168" s="22">
        <f t="shared" si="163"/>
        <v>14.941043049559532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4.5815795601811263E-14</v>
      </c>
      <c r="AK168" s="13">
        <f t="shared" si="164"/>
        <v>7.5374618042508364E-13</v>
      </c>
      <c r="AL168" s="20">
        <f t="shared" si="165"/>
        <v>1.392570441580175E-12</v>
      </c>
      <c r="AM168" s="59">
        <f t="shared" si="113"/>
        <v>293.33333333333468</v>
      </c>
      <c r="AN168" s="59">
        <f ca="1">AVERAGE(OFFSET($AM$3,0,0,'Données projet'!$E$10+1,1))-AVERAGE(OFFSET($H$3,0,0,'Données projet'!$E$10+1,1))</f>
        <v>344.29957955721721</v>
      </c>
      <c r="AO168" s="59">
        <f t="shared" si="144"/>
        <v>297.12790038882594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41.597978409090743</v>
      </c>
      <c r="AV168" s="21">
        <f>EXP(-LN(2)/25)*AV167+(1-EXP(-LN(2)/25))/(LN(2)/25)*Calculateur!AQ168*Calculateur!AS168*VLOOKUP('Données projet'!$B$10,Paramètres!$A$1:$I$89,3,0)*0.475*44/12</f>
        <v>7.2217250695137976</v>
      </c>
      <c r="AW168" s="21">
        <f>EXP(-LN(2)/2)*AW167+(1-EXP(-LN(2)/2))/(LN(2)/2)*AQ168*AT168*VLOOKUP('Données projet'!$B$10,Paramètres!$A$1:$I$89,3,0)*0.475*44/12</f>
        <v>1.3379261908932961E-11</v>
      </c>
      <c r="AX168" s="21">
        <f t="shared" si="166"/>
        <v>48.819703478617917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2.2737367544323206E-13</v>
      </c>
      <c r="BE168" s="13">
        <f>BD168*VLOOKUP('Données projet'!$B$11,Paramètres!$A$1:$I$89,3,0)*VLOOKUP('Données projet'!$B$11,Paramètres!$A$1:$I$89,5,0)</f>
        <v>1.064108801074326E-13</v>
      </c>
      <c r="BF168" s="13">
        <f t="shared" si="167"/>
        <v>1.5870730813698654E-12</v>
      </c>
      <c r="BG168" s="20">
        <f t="shared" si="168"/>
        <v>2.9494845662396269E-12</v>
      </c>
      <c r="BH168" s="59">
        <f t="shared" si="116"/>
        <v>293.33333333333627</v>
      </c>
      <c r="BI168" s="59">
        <f ca="1">AVERAGE(OFFSET($BH$3,0,0,'Données projet'!$E$11+1,1))-AVERAGE(OFFSET($H$3,0,0,'Données projet'!$E$11+1,1))</f>
        <v>234.83702199169585</v>
      </c>
      <c r="BJ168" s="59">
        <f t="shared" si="146"/>
        <v>248.83008816685089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12.060798882890955</v>
      </c>
      <c r="BQ168" s="21">
        <f>EXP(-LN(2)/25)*BQ167+(1-EXP(-LN(2)/25))/(LN(2)/25)*Calculateur!BL168*Calculateur!BN168*VLOOKUP('Données projet'!$B$11,Paramètres!$A$1:$I$89,3,0)*0.475*44/12</f>
        <v>2.4926939783170234</v>
      </c>
      <c r="BR168" s="21">
        <f>EXP(-LN(2)/2)*BR167+(1-EXP(-LN(2)/2))/(LN(2)/2)*BL168*BO168*VLOOKUP('Données projet'!$B$11,Paramètres!$A$1:$I$89,3,0)*0.475*44/12</f>
        <v>7.9836376141829029E-16</v>
      </c>
      <c r="BS168" s="22">
        <f t="shared" si="169"/>
        <v>14.553492861207978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2.2737367544323206E-13</v>
      </c>
      <c r="BZ168" s="13">
        <f>BY168*VLOOKUP('Données projet'!$B$12,Paramètres!$A$1:$I$89,3,0)*VLOOKUP('Données projet'!$B$12,Paramètres!$A$1:$I$89,5,0)</f>
        <v>1.0049916454590858E-13</v>
      </c>
      <c r="CA168" s="13">
        <f t="shared" si="170"/>
        <v>1.5089081593838289E-12</v>
      </c>
      <c r="CB168" s="20">
        <f t="shared" si="171"/>
        <v>2.8030510891776262E-12</v>
      </c>
      <c r="CC168" s="59">
        <f t="shared" si="119"/>
        <v>293.3333333333361</v>
      </c>
      <c r="CD168" s="59">
        <f ca="1">AVERAGE(OFFSET($CC$3,0,0,'Données projet'!$E$12+1,1))-AVERAGE(OFFSET($H$3,0,0,'Données projet'!$E$12+1,1))</f>
        <v>220.26537310502334</v>
      </c>
      <c r="CE168" s="59">
        <f t="shared" si="148"/>
        <v>233.26853625122016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11.390754500508118</v>
      </c>
      <c r="CL168" s="21">
        <f>EXP(-LN(2)/25)*CL167+(1-EXP(-LN(2)/25))/(LN(2)/25)*Calculateur!CG168*Calculateur!CI168*VLOOKUP('Données projet'!$B$12,Paramètres!$A$1:$I$89,3,0)*0.475*44/12</f>
        <v>2.3542109795216324</v>
      </c>
      <c r="CM168" s="21">
        <f>EXP(-LN(2)/2)*CM167+(1-EXP(-LN(2)/2))/(LN(2)/2)*CG168*CJ168*VLOOKUP('Données projet'!$B$12,Paramètres!$A$1:$I$89,3,0)*0.475*44/12</f>
        <v>7.5401021911727437E-16</v>
      </c>
      <c r="CN168" s="22">
        <f t="shared" si="172"/>
        <v>13.74496548002975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-1.5961632016114892E-13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263.37813242097957</v>
      </c>
      <c r="T169" s="59">
        <f t="shared" si="142"/>
        <v>314.89350816766904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12.255829047515171</v>
      </c>
      <c r="AA169" s="21">
        <f>EXP(-LN(2)/25)*AA168+(1-EXP(-LN(2)/25))/(LN(2)/25)*Calculateur!V169*Calculateur!X169*VLOOKUP('Données projet'!$B$9,Paramètres!$A$1:$I$89,3,0)*0.475*44/12</f>
        <v>2.3733536433794606</v>
      </c>
      <c r="AB169" s="21">
        <f>EXP(-LN(2)/2)*AB168+(1-EXP(-LN(2)/2))/(LN(2)/2)*V169*Y169*VLOOKUP('Données projet'!$B$9,Paramètres!$A$1:$I$89,3,0)*0.475*44/12</f>
        <v>2.1904834639336875E-16</v>
      </c>
      <c r="AC169" s="22">
        <f t="shared" si="163"/>
        <v>14.629182690894631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4.5815795601811263E-14</v>
      </c>
      <c r="AK169" s="13">
        <f t="shared" si="164"/>
        <v>7.5374618042508364E-13</v>
      </c>
      <c r="AL169" s="20">
        <f t="shared" si="165"/>
        <v>1.392570441580175E-12</v>
      </c>
      <c r="AM169" s="59">
        <f t="shared" si="113"/>
        <v>293.33333333333468</v>
      </c>
      <c r="AN169" s="59">
        <f ca="1">AVERAGE(OFFSET($AM$3,0,0,'Données projet'!$E$10+1,1))-AVERAGE(OFFSET($H$3,0,0,'Données projet'!$E$10+1,1))</f>
        <v>344.29957955721721</v>
      </c>
      <c r="AO169" s="59">
        <f t="shared" si="144"/>
        <v>297.12790038882594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40.782267424750003</v>
      </c>
      <c r="AV169" s="21">
        <f>EXP(-LN(2)/25)*AV168+(1-EXP(-LN(2)/25))/(LN(2)/25)*Calculateur!AQ169*Calculateur!AS169*VLOOKUP('Données projet'!$B$10,Paramètres!$A$1:$I$89,3,0)*0.475*44/12</f>
        <v>7.0242466177139269</v>
      </c>
      <c r="AW169" s="21">
        <f>EXP(-LN(2)/2)*AW168+(1-EXP(-LN(2)/2))/(LN(2)/2)*AQ169*AT169*VLOOKUP('Données projet'!$B$10,Paramètres!$A$1:$I$89,3,0)*0.475*44/12</f>
        <v>9.4605668230773695E-12</v>
      </c>
      <c r="AX169" s="21">
        <f t="shared" si="166"/>
        <v>47.806514042473388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2.2737367544323206E-13</v>
      </c>
      <c r="BE169" s="13">
        <f>BD169*VLOOKUP('Données projet'!$B$11,Paramètres!$A$1:$I$89,3,0)*VLOOKUP('Données projet'!$B$11,Paramètres!$A$1:$I$89,5,0)</f>
        <v>1.064108801074326E-13</v>
      </c>
      <c r="BF169" s="13">
        <f t="shared" si="167"/>
        <v>1.5870730813698654E-12</v>
      </c>
      <c r="BG169" s="20">
        <f t="shared" si="168"/>
        <v>2.9494845662396269E-12</v>
      </c>
      <c r="BH169" s="59">
        <f t="shared" si="116"/>
        <v>293.33333333333627</v>
      </c>
      <c r="BI169" s="59">
        <f ca="1">AVERAGE(OFFSET($BH$3,0,0,'Données projet'!$E$11+1,1))-AVERAGE(OFFSET($H$3,0,0,'Données projet'!$E$11+1,1))</f>
        <v>234.83702199169585</v>
      </c>
      <c r="BJ169" s="59">
        <f t="shared" si="146"/>
        <v>248.83008816685089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11.824293973158401</v>
      </c>
      <c r="BQ169" s="21">
        <f>EXP(-LN(2)/25)*BQ168+(1-EXP(-LN(2)/25))/(LN(2)/25)*Calculateur!BL169*Calculateur!BN169*VLOOKUP('Données projet'!$B$11,Paramètres!$A$1:$I$89,3,0)*0.475*44/12</f>
        <v>2.4245311303948651</v>
      </c>
      <c r="BR169" s="21">
        <f>EXP(-LN(2)/2)*BR168+(1-EXP(-LN(2)/2))/(LN(2)/2)*BL169*BO169*VLOOKUP('Données projet'!$B$11,Paramètres!$A$1:$I$89,3,0)*0.475*44/12</f>
        <v>5.6452842955247202E-16</v>
      </c>
      <c r="BS169" s="22">
        <f t="shared" si="169"/>
        <v>14.248825103553266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2.2737367544323206E-13</v>
      </c>
      <c r="BZ169" s="13">
        <f>BY169*VLOOKUP('Données projet'!$B$12,Paramètres!$A$1:$I$89,3,0)*VLOOKUP('Données projet'!$B$12,Paramètres!$A$1:$I$89,5,0)</f>
        <v>1.0049916454590858E-13</v>
      </c>
      <c r="CA169" s="13">
        <f t="shared" si="170"/>
        <v>1.5089081593838289E-12</v>
      </c>
      <c r="CB169" s="20">
        <f t="shared" si="171"/>
        <v>2.8030510891776262E-12</v>
      </c>
      <c r="CC169" s="59">
        <f t="shared" si="119"/>
        <v>293.3333333333361</v>
      </c>
      <c r="CD169" s="59">
        <f ca="1">AVERAGE(OFFSET($CC$3,0,0,'Données projet'!$E$12+1,1))-AVERAGE(OFFSET($H$3,0,0,'Données projet'!$E$12+1,1))</f>
        <v>220.26537310502334</v>
      </c>
      <c r="CE169" s="59">
        <f t="shared" si="148"/>
        <v>233.26853625122016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11.167388752427373</v>
      </c>
      <c r="CL169" s="21">
        <f>EXP(-LN(2)/25)*CL168+(1-EXP(-LN(2)/25))/(LN(2)/25)*Calculateur!CG169*Calculateur!CI169*VLOOKUP('Données projet'!$B$12,Paramètres!$A$1:$I$89,3,0)*0.475*44/12</f>
        <v>2.2898349564840386</v>
      </c>
      <c r="CM169" s="21">
        <f>EXP(-LN(2)/2)*CM168+(1-EXP(-LN(2)/2))/(LN(2)/2)*CG169*CJ169*VLOOKUP('Données projet'!$B$12,Paramètres!$A$1:$I$89,3,0)*0.475*44/12</f>
        <v>5.3316573902177927E-16</v>
      </c>
      <c r="CN169" s="22">
        <f t="shared" si="172"/>
        <v>13.45722370891141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-1.5961632016114892E-13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263.37813242097957</v>
      </c>
      <c r="T170" s="59">
        <f t="shared" si="142"/>
        <v>314.89350816766904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12.015499715210991</v>
      </c>
      <c r="AA170" s="21">
        <f>EXP(-LN(2)/25)*AA169+(1-EXP(-LN(2)/25))/(LN(2)/25)*Calculateur!V170*Calculateur!X170*VLOOKUP('Données projet'!$B$9,Paramètres!$A$1:$I$89,3,0)*0.475*44/12</f>
        <v>2.3084541631920055</v>
      </c>
      <c r="AB170" s="21">
        <f>EXP(-LN(2)/2)*AB169+(1-EXP(-LN(2)/2))/(LN(2)/2)*V170*Y170*VLOOKUP('Données projet'!$B$9,Paramètres!$A$1:$I$89,3,0)*0.475*44/12</f>
        <v>1.5489057114245088E-16</v>
      </c>
      <c r="AC170" s="22">
        <f t="shared" si="163"/>
        <v>14.323953878402996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4.5815795601811263E-14</v>
      </c>
      <c r="AK170" s="13">
        <f t="shared" si="164"/>
        <v>7.5374618042508364E-13</v>
      </c>
      <c r="AL170" s="20">
        <f t="shared" si="165"/>
        <v>1.392570441580175E-12</v>
      </c>
      <c r="AM170" s="59">
        <f t="shared" si="113"/>
        <v>293.33333333333468</v>
      </c>
      <c r="AN170" s="59">
        <f ca="1">AVERAGE(OFFSET($AM$3,0,0,'Données projet'!$E$10+1,1))-AVERAGE(OFFSET($H$3,0,0,'Données projet'!$E$10+1,1))</f>
        <v>344.29957955721721</v>
      </c>
      <c r="AO170" s="59">
        <f t="shared" si="144"/>
        <v>297.12790038882594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39.982552035277607</v>
      </c>
      <c r="AV170" s="21">
        <f>EXP(-LN(2)/25)*AV169+(1-EXP(-LN(2)/25))/(LN(2)/25)*Calculateur!AQ170*Calculateur!AS170*VLOOKUP('Données projet'!$B$10,Paramètres!$A$1:$I$89,3,0)*0.475*44/12</f>
        <v>6.8321682245634641</v>
      </c>
      <c r="AW170" s="21">
        <f>EXP(-LN(2)/2)*AW169+(1-EXP(-LN(2)/2))/(LN(2)/2)*AQ170*AT170*VLOOKUP('Données projet'!$B$10,Paramètres!$A$1:$I$89,3,0)*0.475*44/12</f>
        <v>6.6896309544664806E-12</v>
      </c>
      <c r="AX170" s="21">
        <f t="shared" si="166"/>
        <v>46.814720259847753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2.2737367544323206E-13</v>
      </c>
      <c r="BE170" s="13">
        <f>BD170*VLOOKUP('Données projet'!$B$11,Paramètres!$A$1:$I$89,3,0)*VLOOKUP('Données projet'!$B$11,Paramètres!$A$1:$I$89,5,0)</f>
        <v>1.064108801074326E-13</v>
      </c>
      <c r="BF170" s="13">
        <f t="shared" si="167"/>
        <v>1.5870730813698654E-12</v>
      </c>
      <c r="BG170" s="20">
        <f t="shared" si="168"/>
        <v>2.9494845662396269E-12</v>
      </c>
      <c r="BH170" s="59">
        <f t="shared" si="116"/>
        <v>293.33333333333627</v>
      </c>
      <c r="BI170" s="59">
        <f ca="1">AVERAGE(OFFSET($BH$3,0,0,'Données projet'!$E$11+1,1))-AVERAGE(OFFSET($H$3,0,0,'Données projet'!$E$11+1,1))</f>
        <v>234.83702199169585</v>
      </c>
      <c r="BJ170" s="59">
        <f t="shared" si="146"/>
        <v>248.83008816685089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11.592426780451952</v>
      </c>
      <c r="BQ170" s="21">
        <f>EXP(-LN(2)/25)*BQ169+(1-EXP(-LN(2)/25))/(LN(2)/25)*Calculateur!BL170*Calculateur!BN170*VLOOKUP('Données projet'!$B$11,Paramètres!$A$1:$I$89,3,0)*0.475*44/12</f>
        <v>2.3582321991336666</v>
      </c>
      <c r="BR170" s="21">
        <f>EXP(-LN(2)/2)*BR169+(1-EXP(-LN(2)/2))/(LN(2)/2)*BL170*BO170*VLOOKUP('Données projet'!$B$11,Paramètres!$A$1:$I$89,3,0)*0.475*44/12</f>
        <v>3.9918188070914515E-16</v>
      </c>
      <c r="BS170" s="22">
        <f t="shared" si="169"/>
        <v>13.950658979585619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2.2737367544323206E-13</v>
      </c>
      <c r="BZ170" s="13">
        <f>BY170*VLOOKUP('Données projet'!$B$12,Paramètres!$A$1:$I$89,3,0)*VLOOKUP('Données projet'!$B$12,Paramètres!$A$1:$I$89,5,0)</f>
        <v>1.0049916454590858E-13</v>
      </c>
      <c r="CA170" s="13">
        <f t="shared" si="170"/>
        <v>1.5089081593838289E-12</v>
      </c>
      <c r="CB170" s="20">
        <f t="shared" si="171"/>
        <v>2.8030510891776262E-12</v>
      </c>
      <c r="CC170" s="59">
        <f t="shared" si="119"/>
        <v>293.3333333333361</v>
      </c>
      <c r="CD170" s="59">
        <f ca="1">AVERAGE(OFFSET($CC$3,0,0,'Données projet'!$E$12+1,1))-AVERAGE(OFFSET($H$3,0,0,'Données projet'!$E$12+1,1))</f>
        <v>220.26537310502334</v>
      </c>
      <c r="CE170" s="59">
        <f t="shared" si="148"/>
        <v>233.26853625122016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10.948403070426838</v>
      </c>
      <c r="CL170" s="21">
        <f>EXP(-LN(2)/25)*CL169+(1-EXP(-LN(2)/25))/(LN(2)/25)*Calculateur!CG170*Calculateur!CI170*VLOOKUP('Données projet'!$B$12,Paramètres!$A$1:$I$89,3,0)*0.475*44/12</f>
        <v>2.2272192991817956</v>
      </c>
      <c r="CM170" s="21">
        <f>EXP(-LN(2)/2)*CM169+(1-EXP(-LN(2)/2))/(LN(2)/2)*CG170*CJ170*VLOOKUP('Données projet'!$B$12,Paramètres!$A$1:$I$89,3,0)*0.475*44/12</f>
        <v>3.7700510955863718E-16</v>
      </c>
      <c r="CN170" s="22">
        <f t="shared" si="172"/>
        <v>13.175622369608634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-1.5961632016114892E-13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263.37813242097957</v>
      </c>
      <c r="T171" s="59">
        <f t="shared" si="142"/>
        <v>314.89350816766904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11.779883094526877</v>
      </c>
      <c r="AA171" s="21">
        <f>EXP(-LN(2)/25)*AA170+(1-EXP(-LN(2)/25))/(LN(2)/25)*Calculateur!V171*Calculateur!X171*VLOOKUP('Données projet'!$B$9,Paramètres!$A$1:$I$89,3,0)*0.475*44/12</f>
        <v>2.2453293627031918</v>
      </c>
      <c r="AB171" s="21">
        <f>EXP(-LN(2)/2)*AB170+(1-EXP(-LN(2)/2))/(LN(2)/2)*V171*Y171*VLOOKUP('Données projet'!$B$9,Paramètres!$A$1:$I$89,3,0)*0.475*44/12</f>
        <v>1.095241731966844E-16</v>
      </c>
      <c r="AC171" s="22">
        <f t="shared" si="163"/>
        <v>14.025212457230069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4.5815795601811263E-14</v>
      </c>
      <c r="AK171" s="13">
        <f t="shared" si="164"/>
        <v>7.5374618042508364E-13</v>
      </c>
      <c r="AL171" s="20">
        <f t="shared" si="165"/>
        <v>1.392570441580175E-12</v>
      </c>
      <c r="AM171" s="59">
        <f t="shared" si="113"/>
        <v>293.33333333333468</v>
      </c>
      <c r="AN171" s="59">
        <f ca="1">AVERAGE(OFFSET($AM$3,0,0,'Données projet'!$E$10+1,1))-AVERAGE(OFFSET($H$3,0,0,'Données projet'!$E$10+1,1))</f>
        <v>344.29957955721721</v>
      </c>
      <c r="AO171" s="59">
        <f t="shared" si="144"/>
        <v>297.12790038882594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39.198518576814543</v>
      </c>
      <c r="AV171" s="21">
        <f>EXP(-LN(2)/25)*AV170+(1-EXP(-LN(2)/25))/(LN(2)/25)*Calculateur!AQ171*Calculateur!AS171*VLOOKUP('Données projet'!$B$10,Paramètres!$A$1:$I$89,3,0)*0.475*44/12</f>
        <v>6.6453422251746641</v>
      </c>
      <c r="AW171" s="21">
        <f>EXP(-LN(2)/2)*AW170+(1-EXP(-LN(2)/2))/(LN(2)/2)*AQ171*AT171*VLOOKUP('Données projet'!$B$10,Paramètres!$A$1:$I$89,3,0)*0.475*44/12</f>
        <v>4.7302834115386847E-12</v>
      </c>
      <c r="AX171" s="21">
        <f t="shared" si="166"/>
        <v>45.843860801993941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2.2737367544323206E-13</v>
      </c>
      <c r="BE171" s="13">
        <f>BD171*VLOOKUP('Données projet'!$B$11,Paramètres!$A$1:$I$89,3,0)*VLOOKUP('Données projet'!$B$11,Paramètres!$A$1:$I$89,5,0)</f>
        <v>1.064108801074326E-13</v>
      </c>
      <c r="BF171" s="13">
        <f t="shared" si="167"/>
        <v>1.5870730813698654E-12</v>
      </c>
      <c r="BG171" s="20">
        <f t="shared" si="168"/>
        <v>2.9494845662396269E-12</v>
      </c>
      <c r="BH171" s="59">
        <f t="shared" si="116"/>
        <v>293.33333333333627</v>
      </c>
      <c r="BI171" s="59">
        <f ca="1">AVERAGE(OFFSET($BH$3,0,0,'Données projet'!$E$11+1,1))-AVERAGE(OFFSET($H$3,0,0,'Données projet'!$E$11+1,1))</f>
        <v>234.83702199169585</v>
      </c>
      <c r="BJ171" s="59">
        <f t="shared" si="146"/>
        <v>248.83008816685089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11.365106361969453</v>
      </c>
      <c r="BQ171" s="21">
        <f>EXP(-LN(2)/25)*BQ170+(1-EXP(-LN(2)/25))/(LN(2)/25)*Calculateur!BL171*Calculateur!BN171*VLOOKUP('Données projet'!$B$11,Paramètres!$A$1:$I$89,3,0)*0.475*44/12</f>
        <v>2.2937462156343149</v>
      </c>
      <c r="BR171" s="21">
        <f>EXP(-LN(2)/2)*BR170+(1-EXP(-LN(2)/2))/(LN(2)/2)*BL171*BO171*VLOOKUP('Données projet'!$B$11,Paramètres!$A$1:$I$89,3,0)*0.475*44/12</f>
        <v>2.8226421477623601E-16</v>
      </c>
      <c r="BS171" s="22">
        <f t="shared" si="169"/>
        <v>13.658852577603767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2.2737367544323206E-13</v>
      </c>
      <c r="BZ171" s="13">
        <f>BY171*VLOOKUP('Données projet'!$B$12,Paramètres!$A$1:$I$89,3,0)*VLOOKUP('Données projet'!$B$12,Paramètres!$A$1:$I$89,5,0)</f>
        <v>1.0049916454590858E-13</v>
      </c>
      <c r="CA171" s="13">
        <f t="shared" si="170"/>
        <v>1.5089081593838289E-12</v>
      </c>
      <c r="CB171" s="20">
        <f t="shared" si="171"/>
        <v>2.8030510891776262E-12</v>
      </c>
      <c r="CC171" s="59">
        <f t="shared" si="119"/>
        <v>293.3333333333361</v>
      </c>
      <c r="CD171" s="59">
        <f ca="1">AVERAGE(OFFSET($CC$3,0,0,'Données projet'!$E$12+1,1))-AVERAGE(OFFSET($H$3,0,0,'Données projet'!$E$12+1,1))</f>
        <v>220.26537310502334</v>
      </c>
      <c r="CE171" s="59">
        <f t="shared" si="148"/>
        <v>233.26853625122016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10.733711564082256</v>
      </c>
      <c r="CL171" s="21">
        <f>EXP(-LN(2)/25)*CL170+(1-EXP(-LN(2)/25))/(LN(2)/25)*Calculateur!CG171*Calculateur!CI171*VLOOKUP('Données projet'!$B$12,Paramètres!$A$1:$I$89,3,0)*0.475*44/12</f>
        <v>2.1663158703212968</v>
      </c>
      <c r="CM171" s="21">
        <f>EXP(-LN(2)/2)*CM170+(1-EXP(-LN(2)/2))/(LN(2)/2)*CG171*CJ171*VLOOKUP('Données projet'!$B$12,Paramètres!$A$1:$I$89,3,0)*0.475*44/12</f>
        <v>2.6658286951088963E-16</v>
      </c>
      <c r="CN171" s="22">
        <f t="shared" si="172"/>
        <v>12.900027434403553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-1.5961632016114892E-13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263.37813242097957</v>
      </c>
      <c r="T172" s="59">
        <f t="shared" si="142"/>
        <v>314.89350816766904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11.548886772062431</v>
      </c>
      <c r="AA172" s="21">
        <f>EXP(-LN(2)/25)*AA171+(1-EXP(-LN(2)/25))/(LN(2)/25)*Calculateur!V172*Calculateur!X172*VLOOKUP('Données projet'!$B$9,Paramètres!$A$1:$I$89,3,0)*0.475*44/12</f>
        <v>2.1839307132033334</v>
      </c>
      <c r="AB172" s="21">
        <f>EXP(-LN(2)/2)*AB171+(1-EXP(-LN(2)/2))/(LN(2)/2)*V172*Y172*VLOOKUP('Données projet'!$B$9,Paramètres!$A$1:$I$89,3,0)*0.475*44/12</f>
        <v>7.7445285571225452E-17</v>
      </c>
      <c r="AC172" s="22">
        <f t="shared" si="163"/>
        <v>13.732817485265764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4.5815795601811263E-14</v>
      </c>
      <c r="AK172" s="13">
        <f t="shared" si="164"/>
        <v>7.5374618042508364E-13</v>
      </c>
      <c r="AL172" s="20">
        <f t="shared" si="165"/>
        <v>1.392570441580175E-12</v>
      </c>
      <c r="AM172" s="59">
        <f t="shared" si="113"/>
        <v>293.33333333333468</v>
      </c>
      <c r="AN172" s="59">
        <f ca="1">AVERAGE(OFFSET($AM$3,0,0,'Données projet'!$E$10+1,1))-AVERAGE(OFFSET($H$3,0,0,'Données projet'!$E$10+1,1))</f>
        <v>344.29957955721721</v>
      </c>
      <c r="AO172" s="59">
        <f t="shared" si="144"/>
        <v>297.12790038882594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38.429859536258753</v>
      </c>
      <c r="AV172" s="21">
        <f>EXP(-LN(2)/25)*AV171+(1-EXP(-LN(2)/25))/(LN(2)/25)*Calculateur!AQ172*Calculateur!AS172*VLOOKUP('Données projet'!$B$10,Paramètres!$A$1:$I$89,3,0)*0.475*44/12</f>
        <v>6.4636249925639033</v>
      </c>
      <c r="AW172" s="21">
        <f>EXP(-LN(2)/2)*AW171+(1-EXP(-LN(2)/2))/(LN(2)/2)*AQ172*AT172*VLOOKUP('Données projet'!$B$10,Paramètres!$A$1:$I$89,3,0)*0.475*44/12</f>
        <v>3.3448154772332403E-12</v>
      </c>
      <c r="AX172" s="21">
        <f t="shared" si="166"/>
        <v>44.893484528826001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2.2737367544323206E-13</v>
      </c>
      <c r="BE172" s="13">
        <f>BD172*VLOOKUP('Données projet'!$B$11,Paramètres!$A$1:$I$89,3,0)*VLOOKUP('Données projet'!$B$11,Paramètres!$A$1:$I$89,5,0)</f>
        <v>1.064108801074326E-13</v>
      </c>
      <c r="BF172" s="13">
        <f t="shared" si="167"/>
        <v>1.5870730813698654E-12</v>
      </c>
      <c r="BG172" s="20">
        <f t="shared" si="168"/>
        <v>2.9494845662396269E-12</v>
      </c>
      <c r="BH172" s="59">
        <f t="shared" si="116"/>
        <v>293.33333333333627</v>
      </c>
      <c r="BI172" s="59">
        <f ca="1">AVERAGE(OFFSET($BH$3,0,0,'Données projet'!$E$11+1,1))-AVERAGE(OFFSET($H$3,0,0,'Données projet'!$E$11+1,1))</f>
        <v>234.83702199169585</v>
      </c>
      <c r="BJ172" s="59">
        <f t="shared" si="146"/>
        <v>248.83008816685089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11.142243558241631</v>
      </c>
      <c r="BQ172" s="21">
        <f>EXP(-LN(2)/25)*BQ171+(1-EXP(-LN(2)/25))/(LN(2)/25)*Calculateur!BL172*Calculateur!BN172*VLOOKUP('Données projet'!$B$11,Paramètres!$A$1:$I$89,3,0)*0.475*44/12</f>
        <v>2.2310236047449234</v>
      </c>
      <c r="BR172" s="21">
        <f>EXP(-LN(2)/2)*BR171+(1-EXP(-LN(2)/2))/(LN(2)/2)*BL172*BO172*VLOOKUP('Données projet'!$B$11,Paramètres!$A$1:$I$89,3,0)*0.475*44/12</f>
        <v>1.9959094035457257E-16</v>
      </c>
      <c r="BS172" s="22">
        <f t="shared" si="169"/>
        <v>13.373267162986554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2.2737367544323206E-13</v>
      </c>
      <c r="BZ172" s="13">
        <f>BY172*VLOOKUP('Données projet'!$B$12,Paramètres!$A$1:$I$89,3,0)*VLOOKUP('Données projet'!$B$12,Paramètres!$A$1:$I$89,5,0)</f>
        <v>1.0049916454590858E-13</v>
      </c>
      <c r="CA172" s="13">
        <f t="shared" si="170"/>
        <v>1.5089081593838289E-12</v>
      </c>
      <c r="CB172" s="20">
        <f t="shared" si="171"/>
        <v>2.8030510891776262E-12</v>
      </c>
      <c r="CC172" s="59">
        <f t="shared" si="119"/>
        <v>293.3333333333361</v>
      </c>
      <c r="CD172" s="59">
        <f ca="1">AVERAGE(OFFSET($CC$3,0,0,'Données projet'!$E$12+1,1))-AVERAGE(OFFSET($H$3,0,0,'Données projet'!$E$12+1,1))</f>
        <v>220.26537310502334</v>
      </c>
      <c r="CE172" s="59">
        <f t="shared" si="148"/>
        <v>233.26853625122016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10.523230027228202</v>
      </c>
      <c r="CL172" s="21">
        <f>EXP(-LN(2)/25)*CL171+(1-EXP(-LN(2)/25))/(LN(2)/25)*Calculateur!CG172*Calculateur!CI172*VLOOKUP('Données projet'!$B$12,Paramètres!$A$1:$I$89,3,0)*0.475*44/12</f>
        <v>2.1070778489257607</v>
      </c>
      <c r="CM172" s="21">
        <f>EXP(-LN(2)/2)*CM171+(1-EXP(-LN(2)/2))/(LN(2)/2)*CG172*CJ172*VLOOKUP('Données projet'!$B$12,Paramètres!$A$1:$I$89,3,0)*0.475*44/12</f>
        <v>1.8850255477931859E-16</v>
      </c>
      <c r="CN172" s="22">
        <f t="shared" si="172"/>
        <v>12.630307876153962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-1.5961632016114892E-13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263.37813242097957</v>
      </c>
      <c r="T173" s="59">
        <f t="shared" si="142"/>
        <v>314.89350816766904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11.322420146587667</v>
      </c>
      <c r="AA173" s="21">
        <f>EXP(-LN(2)/25)*AA172+(1-EXP(-LN(2)/25))/(LN(2)/25)*Calculateur!V173*Calculateur!X173*VLOOKUP('Données projet'!$B$9,Paramètres!$A$1:$I$89,3,0)*0.475*44/12</f>
        <v>2.1242110130028635</v>
      </c>
      <c r="AB173" s="21">
        <f>EXP(-LN(2)/2)*AB172+(1-EXP(-LN(2)/2))/(LN(2)/2)*V173*Y173*VLOOKUP('Données projet'!$B$9,Paramètres!$A$1:$I$89,3,0)*0.475*44/12</f>
        <v>5.4762086598342205E-17</v>
      </c>
      <c r="AC173" s="22">
        <f t="shared" si="163"/>
        <v>13.446631159590531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4.5815795601811263E-14</v>
      </c>
      <c r="AK173" s="13">
        <f t="shared" si="164"/>
        <v>7.5374618042508364E-13</v>
      </c>
      <c r="AL173" s="20">
        <f t="shared" si="165"/>
        <v>1.392570441580175E-12</v>
      </c>
      <c r="AM173" s="59">
        <f t="shared" si="113"/>
        <v>293.33333333333468</v>
      </c>
      <c r="AN173" s="59">
        <f ca="1">AVERAGE(OFFSET($AM$3,0,0,'Données projet'!$E$10+1,1))-AVERAGE(OFFSET($H$3,0,0,'Données projet'!$E$10+1,1))</f>
        <v>344.29957955721721</v>
      </c>
      <c r="AO173" s="59">
        <f t="shared" si="144"/>
        <v>297.12790038882594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37.676273430652536</v>
      </c>
      <c r="AV173" s="21">
        <f>EXP(-LN(2)/25)*AV172+(1-EXP(-LN(2)/25))/(LN(2)/25)*Calculateur!AQ173*Calculateur!AS173*VLOOKUP('Données projet'!$B$10,Paramètres!$A$1:$I$89,3,0)*0.475*44/12</f>
        <v>6.2868768272349778</v>
      </c>
      <c r="AW173" s="21">
        <f>EXP(-LN(2)/2)*AW172+(1-EXP(-LN(2)/2))/(LN(2)/2)*AQ173*AT173*VLOOKUP('Données projet'!$B$10,Paramètres!$A$1:$I$89,3,0)*0.475*44/12</f>
        <v>2.3651417057693424E-12</v>
      </c>
      <c r="AX173" s="21">
        <f t="shared" si="166"/>
        <v>43.963150257889879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2.2737367544323206E-13</v>
      </c>
      <c r="BE173" s="13">
        <f>BD173*VLOOKUP('Données projet'!$B$11,Paramètres!$A$1:$I$89,3,0)*VLOOKUP('Données projet'!$B$11,Paramètres!$A$1:$I$89,5,0)</f>
        <v>1.064108801074326E-13</v>
      </c>
      <c r="BF173" s="13">
        <f t="shared" si="167"/>
        <v>1.5870730813698654E-12</v>
      </c>
      <c r="BG173" s="20">
        <f t="shared" si="168"/>
        <v>2.9494845662396269E-12</v>
      </c>
      <c r="BH173" s="59">
        <f t="shared" si="116"/>
        <v>293.33333333333627</v>
      </c>
      <c r="BI173" s="59">
        <f ca="1">AVERAGE(OFFSET($BH$3,0,0,'Données projet'!$E$11+1,1))-AVERAGE(OFFSET($H$3,0,0,'Données projet'!$E$11+1,1))</f>
        <v>234.83702199169585</v>
      </c>
      <c r="BJ173" s="59">
        <f t="shared" si="146"/>
        <v>248.83008816685089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10.923750958162024</v>
      </c>
      <c r="BQ173" s="21">
        <f>EXP(-LN(2)/25)*BQ172+(1-EXP(-LN(2)/25))/(LN(2)/25)*Calculateur!BL173*Calculateur!BN173*VLOOKUP('Données projet'!$B$11,Paramètres!$A$1:$I$89,3,0)*0.475*44/12</f>
        <v>2.1700161469487411</v>
      </c>
      <c r="BR173" s="21">
        <f>EXP(-LN(2)/2)*BR172+(1-EXP(-LN(2)/2))/(LN(2)/2)*BL173*BO173*VLOOKUP('Données projet'!$B$11,Paramètres!$A$1:$I$89,3,0)*0.475*44/12</f>
        <v>1.4113210738811801E-16</v>
      </c>
      <c r="BS173" s="22">
        <f t="shared" si="169"/>
        <v>13.093767105110766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2.2737367544323206E-13</v>
      </c>
      <c r="BZ173" s="13">
        <f>BY173*VLOOKUP('Données projet'!$B$12,Paramètres!$A$1:$I$89,3,0)*VLOOKUP('Données projet'!$B$12,Paramètres!$A$1:$I$89,5,0)</f>
        <v>1.0049916454590858E-13</v>
      </c>
      <c r="CA173" s="13">
        <f t="shared" si="170"/>
        <v>1.5089081593838289E-12</v>
      </c>
      <c r="CB173" s="20">
        <f t="shared" si="171"/>
        <v>2.8030510891776262E-12</v>
      </c>
      <c r="CC173" s="59">
        <f t="shared" si="119"/>
        <v>293.3333333333361</v>
      </c>
      <c r="CD173" s="59">
        <f ca="1">AVERAGE(OFFSET($CC$3,0,0,'Données projet'!$E$12+1,1))-AVERAGE(OFFSET($H$3,0,0,'Données projet'!$E$12+1,1))</f>
        <v>220.26537310502334</v>
      </c>
      <c r="CE173" s="59">
        <f t="shared" si="148"/>
        <v>233.26853625122016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10.316875904930795</v>
      </c>
      <c r="CL173" s="21">
        <f>EXP(-LN(2)/25)*CL172+(1-EXP(-LN(2)/25))/(LN(2)/25)*Calculateur!CG173*Calculateur!CI173*VLOOKUP('Données projet'!$B$12,Paramètres!$A$1:$I$89,3,0)*0.475*44/12</f>
        <v>2.0494596943404773</v>
      </c>
      <c r="CM173" s="21">
        <f>EXP(-LN(2)/2)*CM172+(1-EXP(-LN(2)/2))/(LN(2)/2)*CG173*CJ173*VLOOKUP('Données projet'!$B$12,Paramètres!$A$1:$I$89,3,0)*0.475*44/12</f>
        <v>1.3329143475544482E-16</v>
      </c>
      <c r="CN173" s="22">
        <f t="shared" si="172"/>
        <v>12.366335599271272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-1.5961632016114892E-13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263.37813242097957</v>
      </c>
      <c r="T174" s="59">
        <f t="shared" si="142"/>
        <v>314.89350816766904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11.100394393507463</v>
      </c>
      <c r="AA174" s="21">
        <f>EXP(-LN(2)/25)*AA173+(1-EXP(-LN(2)/25))/(LN(2)/25)*Calculateur!V174*Calculateur!X174*VLOOKUP('Données projet'!$B$9,Paramètres!$A$1:$I$89,3,0)*0.475*44/12</f>
        <v>2.0661243511448979</v>
      </c>
      <c r="AB174" s="21">
        <f>EXP(-LN(2)/2)*AB173+(1-EXP(-LN(2)/2))/(LN(2)/2)*V174*Y174*VLOOKUP('Données projet'!$B$9,Paramètres!$A$1:$I$89,3,0)*0.475*44/12</f>
        <v>3.8722642785612732E-17</v>
      </c>
      <c r="AC174" s="22">
        <f t="shared" si="163"/>
        <v>13.166518744652361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4.5815795601811263E-14</v>
      </c>
      <c r="AK174" s="13">
        <f t="shared" si="164"/>
        <v>7.5374618042508364E-13</v>
      </c>
      <c r="AL174" s="20">
        <f t="shared" si="165"/>
        <v>1.392570441580175E-12</v>
      </c>
      <c r="AM174" s="59">
        <f t="shared" si="113"/>
        <v>293.33333333333468</v>
      </c>
      <c r="AN174" s="59">
        <f ca="1">AVERAGE(OFFSET($AM$3,0,0,'Données projet'!$E$10+1,1))-AVERAGE(OFFSET($H$3,0,0,'Données projet'!$E$10+1,1))</f>
        <v>344.29957955721721</v>
      </c>
      <c r="AO174" s="59">
        <f t="shared" si="144"/>
        <v>297.12790038882594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36.937464688935123</v>
      </c>
      <c r="AV174" s="21">
        <f>EXP(-LN(2)/25)*AV173+(1-EXP(-LN(2)/25))/(LN(2)/25)*Calculateur!AQ174*Calculateur!AS174*VLOOKUP('Données projet'!$B$10,Paramètres!$A$1:$I$89,3,0)*0.475*44/12</f>
        <v>6.1149618497817535</v>
      </c>
      <c r="AW174" s="21">
        <f>EXP(-LN(2)/2)*AW173+(1-EXP(-LN(2)/2))/(LN(2)/2)*AQ174*AT174*VLOOKUP('Données projet'!$B$10,Paramètres!$A$1:$I$89,3,0)*0.475*44/12</f>
        <v>1.6724077386166202E-12</v>
      </c>
      <c r="AX174" s="21">
        <f t="shared" si="166"/>
        <v>43.052426538718542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2.2737367544323206E-13</v>
      </c>
      <c r="BE174" s="13">
        <f>BD174*VLOOKUP('Données projet'!$B$11,Paramètres!$A$1:$I$89,3,0)*VLOOKUP('Données projet'!$B$11,Paramètres!$A$1:$I$89,5,0)</f>
        <v>1.064108801074326E-13</v>
      </c>
      <c r="BF174" s="13">
        <f t="shared" si="167"/>
        <v>1.5870730813698654E-12</v>
      </c>
      <c r="BG174" s="20">
        <f t="shared" si="168"/>
        <v>2.9494845662396269E-12</v>
      </c>
      <c r="BH174" s="59">
        <f t="shared" si="116"/>
        <v>293.33333333333627</v>
      </c>
      <c r="BI174" s="59">
        <f ca="1">AVERAGE(OFFSET($BH$3,0,0,'Données projet'!$E$11+1,1))-AVERAGE(OFFSET($H$3,0,0,'Données projet'!$E$11+1,1))</f>
        <v>234.83702199169585</v>
      </c>
      <c r="BJ174" s="59">
        <f t="shared" si="146"/>
        <v>248.83008816685089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10.709542864702652</v>
      </c>
      <c r="BQ174" s="21">
        <f>EXP(-LN(2)/25)*BQ173+(1-EXP(-LN(2)/25))/(LN(2)/25)*Calculateur!BL174*Calculateur!BN174*VLOOKUP('Données projet'!$B$11,Paramètres!$A$1:$I$89,3,0)*0.475*44/12</f>
        <v>2.1106769412942383</v>
      </c>
      <c r="BR174" s="21">
        <f>EXP(-LN(2)/2)*BR173+(1-EXP(-LN(2)/2))/(LN(2)/2)*BL174*BO174*VLOOKUP('Données projet'!$B$11,Paramètres!$A$1:$I$89,3,0)*0.475*44/12</f>
        <v>9.9795470177286287E-17</v>
      </c>
      <c r="BS174" s="22">
        <f t="shared" si="169"/>
        <v>12.82021980599689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2.2737367544323206E-13</v>
      </c>
      <c r="BZ174" s="13">
        <f>BY174*VLOOKUP('Données projet'!$B$12,Paramètres!$A$1:$I$89,3,0)*VLOOKUP('Données projet'!$B$12,Paramètres!$A$1:$I$89,5,0)</f>
        <v>1.0049916454590858E-13</v>
      </c>
      <c r="CA174" s="13">
        <f t="shared" si="170"/>
        <v>1.5089081593838289E-12</v>
      </c>
      <c r="CB174" s="20">
        <f t="shared" si="171"/>
        <v>2.8030510891776262E-12</v>
      </c>
      <c r="CC174" s="59">
        <f t="shared" si="119"/>
        <v>293.3333333333361</v>
      </c>
      <c r="CD174" s="59">
        <f ca="1">AVERAGE(OFFSET($CC$3,0,0,'Données projet'!$E$12+1,1))-AVERAGE(OFFSET($H$3,0,0,'Données projet'!$E$12+1,1))</f>
        <v>220.26537310502334</v>
      </c>
      <c r="CE174" s="59">
        <f t="shared" si="148"/>
        <v>233.26853625122016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10.114568261108055</v>
      </c>
      <c r="CL174" s="21">
        <f>EXP(-LN(2)/25)*CL173+(1-EXP(-LN(2)/25))/(LN(2)/25)*Calculateur!CG174*Calculateur!CI174*VLOOKUP('Données projet'!$B$12,Paramètres!$A$1:$I$89,3,0)*0.475*44/12</f>
        <v>1.9934171112223358</v>
      </c>
      <c r="CM174" s="21">
        <f>EXP(-LN(2)/2)*CM173+(1-EXP(-LN(2)/2))/(LN(2)/2)*CG174*CJ174*VLOOKUP('Données projet'!$B$12,Paramètres!$A$1:$I$89,3,0)*0.475*44/12</f>
        <v>9.4251277389659296E-17</v>
      </c>
      <c r="CN174" s="22">
        <f t="shared" si="172"/>
        <v>12.10798537233039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-1.5961632016114892E-13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263.37813242097957</v>
      </c>
      <c r="T175" s="59">
        <f t="shared" si="142"/>
        <v>314.89350816766904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10.882722430022824</v>
      </c>
      <c r="AA175" s="21">
        <f>EXP(-LN(2)/25)*AA174+(1-EXP(-LN(2)/25))/(LN(2)/25)*Calculateur!V175*Calculateur!X175*VLOOKUP('Données projet'!$B$9,Paramètres!$A$1:$I$89,3,0)*0.475*44/12</f>
        <v>2.0096260721100832</v>
      </c>
      <c r="AB175" s="21">
        <f>EXP(-LN(2)/2)*AB174+(1-EXP(-LN(2)/2))/(LN(2)/2)*V175*Y175*VLOOKUP('Données projet'!$B$9,Paramètres!$A$1:$I$89,3,0)*0.475*44/12</f>
        <v>2.7381043299171109E-17</v>
      </c>
      <c r="AC175" s="22">
        <f t="shared" si="163"/>
        <v>12.892348502132908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4.5815795601811263E-14</v>
      </c>
      <c r="AK175" s="13">
        <f t="shared" si="164"/>
        <v>7.5374618042508364E-13</v>
      </c>
      <c r="AL175" s="20">
        <f t="shared" si="165"/>
        <v>1.392570441580175E-12</v>
      </c>
      <c r="AM175" s="59">
        <f t="shared" si="113"/>
        <v>293.33333333333468</v>
      </c>
      <c r="AN175" s="59">
        <f ca="1">AVERAGE(OFFSET($AM$3,0,0,'Données projet'!$E$10+1,1))-AVERAGE(OFFSET($H$3,0,0,'Données projet'!$E$10+1,1))</f>
        <v>344.29957955721721</v>
      </c>
      <c r="AO175" s="59">
        <f t="shared" si="144"/>
        <v>297.12790038882594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36.213143536013952</v>
      </c>
      <c r="AV175" s="21">
        <f>EXP(-LN(2)/25)*AV174+(1-EXP(-LN(2)/25))/(LN(2)/25)*Calculateur!AQ175*Calculateur!AS175*VLOOKUP('Données projet'!$B$10,Paramètres!$A$1:$I$89,3,0)*0.475*44/12</f>
        <v>5.9477478964276038</v>
      </c>
      <c r="AW175" s="21">
        <f>EXP(-LN(2)/2)*AW174+(1-EXP(-LN(2)/2))/(LN(2)/2)*AQ175*AT175*VLOOKUP('Données projet'!$B$10,Paramètres!$A$1:$I$89,3,0)*0.475*44/12</f>
        <v>1.1825708528846712E-12</v>
      </c>
      <c r="AX175" s="21">
        <f t="shared" si="166"/>
        <v>42.160891432442739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2.2737367544323206E-13</v>
      </c>
      <c r="BE175" s="13">
        <f>BD175*VLOOKUP('Données projet'!$B$11,Paramètres!$A$1:$I$89,3,0)*VLOOKUP('Données projet'!$B$11,Paramètres!$A$1:$I$89,5,0)</f>
        <v>1.064108801074326E-13</v>
      </c>
      <c r="BF175" s="13">
        <f t="shared" si="167"/>
        <v>1.5870730813698654E-12</v>
      </c>
      <c r="BG175" s="20">
        <f t="shared" si="168"/>
        <v>2.9494845662396269E-12</v>
      </c>
      <c r="BH175" s="59">
        <f t="shared" si="116"/>
        <v>293.33333333333627</v>
      </c>
      <c r="BI175" s="59">
        <f ca="1">AVERAGE(OFFSET($BH$3,0,0,'Données projet'!$E$11+1,1))-AVERAGE(OFFSET($H$3,0,0,'Données projet'!$E$11+1,1))</f>
        <v>234.83702199169585</v>
      </c>
      <c r="BJ175" s="59">
        <f t="shared" si="146"/>
        <v>248.83008816685089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10.499535261301981</v>
      </c>
      <c r="BQ175" s="21">
        <f>EXP(-LN(2)/25)*BQ174+(1-EXP(-LN(2)/25))/(LN(2)/25)*Calculateur!BL175*Calculateur!BN175*VLOOKUP('Données projet'!$B$11,Paramètres!$A$1:$I$89,3,0)*0.475*44/12</f>
        <v>2.0529603693388712</v>
      </c>
      <c r="BR175" s="21">
        <f>EXP(-LN(2)/2)*BR174+(1-EXP(-LN(2)/2))/(LN(2)/2)*BL175*BO175*VLOOKUP('Données projet'!$B$11,Paramètres!$A$1:$I$89,3,0)*0.475*44/12</f>
        <v>7.0566053694059003E-17</v>
      </c>
      <c r="BS175" s="22">
        <f t="shared" si="169"/>
        <v>12.552495630640852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2.2737367544323206E-13</v>
      </c>
      <c r="BZ175" s="13">
        <f>BY175*VLOOKUP('Données projet'!$B$12,Paramètres!$A$1:$I$89,3,0)*VLOOKUP('Données projet'!$B$12,Paramètres!$A$1:$I$89,5,0)</f>
        <v>1.0049916454590858E-13</v>
      </c>
      <c r="CA175" s="13">
        <f t="shared" si="170"/>
        <v>1.5089081593838289E-12</v>
      </c>
      <c r="CB175" s="20">
        <f t="shared" si="171"/>
        <v>2.8030510891776262E-12</v>
      </c>
      <c r="CC175" s="59">
        <f t="shared" si="119"/>
        <v>293.3333333333361</v>
      </c>
      <c r="CD175" s="59">
        <f ca="1">AVERAGE(OFFSET($CC$3,0,0,'Données projet'!$E$12+1,1))-AVERAGE(OFFSET($H$3,0,0,'Données projet'!$E$12+1,1))</f>
        <v>220.26537310502334</v>
      </c>
      <c r="CE175" s="59">
        <f t="shared" si="148"/>
        <v>233.26853625122016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9.9162277467852</v>
      </c>
      <c r="CL175" s="21">
        <f>EXP(-LN(2)/25)*CL174+(1-EXP(-LN(2)/25))/(LN(2)/25)*Calculateur!CG175*Calculateur!CI175*VLOOKUP('Données projet'!$B$12,Paramètres!$A$1:$I$89,3,0)*0.475*44/12</f>
        <v>1.9389070154867112</v>
      </c>
      <c r="CM175" s="21">
        <f>EXP(-LN(2)/2)*CM174+(1-EXP(-LN(2)/2))/(LN(2)/2)*CG175*CJ175*VLOOKUP('Données projet'!$B$12,Paramètres!$A$1:$I$89,3,0)*0.475*44/12</f>
        <v>6.6645717377722409E-17</v>
      </c>
      <c r="CN175" s="22">
        <f t="shared" si="172"/>
        <v>11.855134762271911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-1.5961632016114892E-13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263.37813242097957</v>
      </c>
      <c r="T176" s="59">
        <f t="shared" si="142"/>
        <v>314.89350816766904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10.669318880975331</v>
      </c>
      <c r="AA176" s="21">
        <f>EXP(-LN(2)/25)*AA175+(1-EXP(-LN(2)/25))/(LN(2)/25)*Calculateur!V176*Calculateur!X176*VLOOKUP('Données projet'!$B$9,Paramètres!$A$1:$I$89,3,0)*0.475*44/12</f>
        <v>1.9546727414865908</v>
      </c>
      <c r="AB176" s="21">
        <f>EXP(-LN(2)/2)*AB175+(1-EXP(-LN(2)/2))/(LN(2)/2)*V176*Y176*VLOOKUP('Données projet'!$B$9,Paramètres!$A$1:$I$89,3,0)*0.475*44/12</f>
        <v>1.9361321392806369E-17</v>
      </c>
      <c r="AC176" s="22">
        <f t="shared" si="163"/>
        <v>12.623991622461922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4.5815795601811263E-14</v>
      </c>
      <c r="AK176" s="13">
        <f t="shared" si="164"/>
        <v>7.5374618042508364E-13</v>
      </c>
      <c r="AL176" s="20">
        <f t="shared" si="165"/>
        <v>1.392570441580175E-12</v>
      </c>
      <c r="AM176" s="59">
        <f t="shared" si="113"/>
        <v>293.33333333333468</v>
      </c>
      <c r="AN176" s="59">
        <f ca="1">AVERAGE(OFFSET($AM$3,0,0,'Données projet'!$E$10+1,1))-AVERAGE(OFFSET($H$3,0,0,'Données projet'!$E$10+1,1))</f>
        <v>344.29957955721721</v>
      </c>
      <c r="AO176" s="59">
        <f t="shared" si="144"/>
        <v>297.12790038882594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35.503025879109281</v>
      </c>
      <c r="AV176" s="21">
        <f>EXP(-LN(2)/25)*AV175+(1-EXP(-LN(2)/25))/(LN(2)/25)*Calculateur!AQ176*Calculateur!AS176*VLOOKUP('Données projet'!$B$10,Paramètres!$A$1:$I$89,3,0)*0.475*44/12</f>
        <v>5.7851064174213231</v>
      </c>
      <c r="AW176" s="21">
        <f>EXP(-LN(2)/2)*AW175+(1-EXP(-LN(2)/2))/(LN(2)/2)*AQ176*AT176*VLOOKUP('Données projet'!$B$10,Paramètres!$A$1:$I$89,3,0)*0.475*44/12</f>
        <v>8.3620386930831008E-13</v>
      </c>
      <c r="AX176" s="21">
        <f t="shared" si="166"/>
        <v>41.288132296531444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2.2737367544323206E-13</v>
      </c>
      <c r="BE176" s="13">
        <f>BD176*VLOOKUP('Données projet'!$B$11,Paramètres!$A$1:$I$89,3,0)*VLOOKUP('Données projet'!$B$11,Paramètres!$A$1:$I$89,5,0)</f>
        <v>1.064108801074326E-13</v>
      </c>
      <c r="BF176" s="13">
        <f t="shared" si="167"/>
        <v>1.5870730813698654E-12</v>
      </c>
      <c r="BG176" s="20">
        <f t="shared" si="168"/>
        <v>2.9494845662396269E-12</v>
      </c>
      <c r="BH176" s="59">
        <f t="shared" si="116"/>
        <v>293.33333333333627</v>
      </c>
      <c r="BI176" s="59">
        <f ca="1">AVERAGE(OFFSET($BH$3,0,0,'Données projet'!$E$11+1,1))-AVERAGE(OFFSET($H$3,0,0,'Données projet'!$E$11+1,1))</f>
        <v>234.83702199169585</v>
      </c>
      <c r="BJ176" s="59">
        <f t="shared" si="146"/>
        <v>248.83008816685089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10.293645778912008</v>
      </c>
      <c r="BQ176" s="21">
        <f>EXP(-LN(2)/25)*BQ175+(1-EXP(-LN(2)/25))/(LN(2)/25)*Calculateur!BL176*Calculateur!BN176*VLOOKUP('Données projet'!$B$11,Paramètres!$A$1:$I$89,3,0)*0.475*44/12</f>
        <v>1.996822060078806</v>
      </c>
      <c r="BR176" s="21">
        <f>EXP(-LN(2)/2)*BR175+(1-EXP(-LN(2)/2))/(LN(2)/2)*BL176*BO176*VLOOKUP('Données projet'!$B$11,Paramètres!$A$1:$I$89,3,0)*0.475*44/12</f>
        <v>4.9897735088643143E-17</v>
      </c>
      <c r="BS176" s="22">
        <f t="shared" si="169"/>
        <v>12.290467838990814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2.2737367544323206E-13</v>
      </c>
      <c r="BZ176" s="13">
        <f>BY176*VLOOKUP('Données projet'!$B$12,Paramètres!$A$1:$I$89,3,0)*VLOOKUP('Données projet'!$B$12,Paramètres!$A$1:$I$89,5,0)</f>
        <v>1.0049916454590858E-13</v>
      </c>
      <c r="CA176" s="13">
        <f t="shared" si="170"/>
        <v>1.5089081593838289E-12</v>
      </c>
      <c r="CB176" s="20">
        <f t="shared" si="171"/>
        <v>2.8030510891776262E-12</v>
      </c>
      <c r="CC176" s="59">
        <f t="shared" si="119"/>
        <v>293.3333333333361</v>
      </c>
      <c r="CD176" s="59">
        <f ca="1">AVERAGE(OFFSET($CC$3,0,0,'Données projet'!$E$12+1,1))-AVERAGE(OFFSET($H$3,0,0,'Données projet'!$E$12+1,1))</f>
        <v>220.26537310502334</v>
      </c>
      <c r="CE176" s="59">
        <f t="shared" si="148"/>
        <v>233.26853625122016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9.721776568972448</v>
      </c>
      <c r="CL176" s="21">
        <f>EXP(-LN(2)/25)*CL175+(1-EXP(-LN(2)/25))/(LN(2)/25)*Calculateur!CG176*Calculateur!CI176*VLOOKUP('Données projet'!$B$12,Paramètres!$A$1:$I$89,3,0)*0.475*44/12</f>
        <v>1.8858875011855385</v>
      </c>
      <c r="CM176" s="21">
        <f>EXP(-LN(2)/2)*CM175+(1-EXP(-LN(2)/2))/(LN(2)/2)*CG176*CJ176*VLOOKUP('Données projet'!$B$12,Paramètres!$A$1:$I$89,3,0)*0.475*44/12</f>
        <v>4.7125638694829648E-17</v>
      </c>
      <c r="CN176" s="22">
        <f t="shared" si="172"/>
        <v>11.607664070157986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-1.5961632016114892E-13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263.37813242097957</v>
      </c>
      <c r="T177" s="59">
        <f t="shared" si="142"/>
        <v>314.89350816766904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10.460100045361346</v>
      </c>
      <c r="AA177" s="21">
        <f>EXP(-LN(2)/25)*AA176+(1-EXP(-LN(2)/25))/(LN(2)/25)*Calculateur!V177*Calculateur!X177*VLOOKUP('Données projet'!$B$9,Paramètres!$A$1:$I$89,3,0)*0.475*44/12</f>
        <v>1.901222112578868</v>
      </c>
      <c r="AB177" s="21">
        <f>EXP(-LN(2)/2)*AB176+(1-EXP(-LN(2)/2))/(LN(2)/2)*V177*Y177*VLOOKUP('Données projet'!$B$9,Paramètres!$A$1:$I$89,3,0)*0.475*44/12</f>
        <v>1.3690521649585556E-17</v>
      </c>
      <c r="AC177" s="22">
        <f t="shared" si="163"/>
        <v>12.361322157940213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4.5815795601811263E-14</v>
      </c>
      <c r="AK177" s="13">
        <f t="shared" si="164"/>
        <v>7.5374618042508364E-13</v>
      </c>
      <c r="AL177" s="20">
        <f t="shared" si="165"/>
        <v>1.392570441580175E-12</v>
      </c>
      <c r="AM177" s="59">
        <f t="shared" si="113"/>
        <v>293.33333333333468</v>
      </c>
      <c r="AN177" s="59">
        <f ca="1">AVERAGE(OFFSET($AM$3,0,0,'Données projet'!$E$10+1,1))-AVERAGE(OFFSET($H$3,0,0,'Données projet'!$E$10+1,1))</f>
        <v>344.29957955721721</v>
      </c>
      <c r="AO177" s="59">
        <f t="shared" si="144"/>
        <v>297.12790038882594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34.80683319632751</v>
      </c>
      <c r="AV177" s="21">
        <f>EXP(-LN(2)/25)*AV176+(1-EXP(-LN(2)/25))/(LN(2)/25)*Calculateur!AQ177*Calculateur!AS177*VLOOKUP('Données projet'!$B$10,Paramètres!$A$1:$I$89,3,0)*0.475*44/12</f>
        <v>5.6269123782114123</v>
      </c>
      <c r="AW177" s="21">
        <f>EXP(-LN(2)/2)*AW176+(1-EXP(-LN(2)/2))/(LN(2)/2)*AQ177*AT177*VLOOKUP('Données projet'!$B$10,Paramètres!$A$1:$I$89,3,0)*0.475*44/12</f>
        <v>5.9128542644233559E-13</v>
      </c>
      <c r="AX177" s="21">
        <f t="shared" si="166"/>
        <v>40.433745574539515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2.2737367544323206E-13</v>
      </c>
      <c r="BE177" s="13">
        <f>BD177*VLOOKUP('Données projet'!$B$11,Paramètres!$A$1:$I$89,3,0)*VLOOKUP('Données projet'!$B$11,Paramètres!$A$1:$I$89,5,0)</f>
        <v>1.064108801074326E-13</v>
      </c>
      <c r="BF177" s="13">
        <f t="shared" si="167"/>
        <v>1.5870730813698654E-12</v>
      </c>
      <c r="BG177" s="20">
        <f t="shared" si="168"/>
        <v>2.9494845662396269E-12</v>
      </c>
      <c r="BH177" s="59">
        <f t="shared" si="116"/>
        <v>293.33333333333627</v>
      </c>
      <c r="BI177" s="59">
        <f ca="1">AVERAGE(OFFSET($BH$3,0,0,'Données projet'!$E$11+1,1))-AVERAGE(OFFSET($H$3,0,0,'Données projet'!$E$11+1,1))</f>
        <v>234.83702199169585</v>
      </c>
      <c r="BJ177" s="59">
        <f t="shared" si="146"/>
        <v>248.83008816685089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10.091793663691519</v>
      </c>
      <c r="BQ177" s="21">
        <f>EXP(-LN(2)/25)*BQ176+(1-EXP(-LN(2)/25))/(LN(2)/25)*Calculateur!BL177*Calculateur!BN177*VLOOKUP('Données projet'!$B$11,Paramètres!$A$1:$I$89,3,0)*0.475*44/12</f>
        <v>1.9422188558376428</v>
      </c>
      <c r="BR177" s="21">
        <f>EXP(-LN(2)/2)*BR176+(1-EXP(-LN(2)/2))/(LN(2)/2)*BL177*BO177*VLOOKUP('Données projet'!$B$11,Paramètres!$A$1:$I$89,3,0)*0.475*44/12</f>
        <v>3.5283026847029501E-17</v>
      </c>
      <c r="BS177" s="22">
        <f t="shared" si="169"/>
        <v>12.034012519529162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2.2737367544323206E-13</v>
      </c>
      <c r="BZ177" s="13">
        <f>BY177*VLOOKUP('Données projet'!$B$12,Paramètres!$A$1:$I$89,3,0)*VLOOKUP('Données projet'!$B$12,Paramètres!$A$1:$I$89,5,0)</f>
        <v>1.0049916454590858E-13</v>
      </c>
      <c r="CA177" s="13">
        <f t="shared" si="170"/>
        <v>1.5089081593838289E-12</v>
      </c>
      <c r="CB177" s="20">
        <f t="shared" si="171"/>
        <v>2.8030510891776262E-12</v>
      </c>
      <c r="CC177" s="59">
        <f t="shared" si="119"/>
        <v>293.3333333333361</v>
      </c>
      <c r="CD177" s="59">
        <f ca="1">AVERAGE(OFFSET($CC$3,0,0,'Données projet'!$E$12+1,1))-AVERAGE(OFFSET($H$3,0,0,'Données projet'!$E$12+1,1))</f>
        <v>220.26537310502334</v>
      </c>
      <c r="CE177" s="59">
        <f t="shared" si="148"/>
        <v>233.26853625122016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9.5311384601530964</v>
      </c>
      <c r="CL177" s="21">
        <f>EXP(-LN(2)/25)*CL176+(1-EXP(-LN(2)/25))/(LN(2)/25)*Calculateur!CG177*Calculateur!CI177*VLOOKUP('Données projet'!$B$12,Paramètres!$A$1:$I$89,3,0)*0.475*44/12</f>
        <v>1.8343178082911065</v>
      </c>
      <c r="CM177" s="21">
        <f>EXP(-LN(2)/2)*CM176+(1-EXP(-LN(2)/2))/(LN(2)/2)*CG177*CJ177*VLOOKUP('Données projet'!$B$12,Paramètres!$A$1:$I$89,3,0)*0.475*44/12</f>
        <v>3.3322858688861204E-17</v>
      </c>
      <c r="CN177" s="22">
        <f t="shared" si="172"/>
        <v>11.365456268444202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-1.5961632016114892E-13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263.37813242097957</v>
      </c>
      <c r="T178" s="59">
        <f t="shared" si="142"/>
        <v>314.89350816766904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10.254983863502861</v>
      </c>
      <c r="AA178" s="21">
        <f>EXP(-LN(2)/25)*AA177+(1-EXP(-LN(2)/25))/(LN(2)/25)*Calculateur!V178*Calculateur!X178*VLOOKUP('Données projet'!$B$9,Paramètres!$A$1:$I$89,3,0)*0.475*44/12</f>
        <v>1.8492330939294732</v>
      </c>
      <c r="AB178" s="21">
        <f>EXP(-LN(2)/2)*AB177+(1-EXP(-LN(2)/2))/(LN(2)/2)*V178*Y178*VLOOKUP('Données projet'!$B$9,Paramètres!$A$1:$I$89,3,0)*0.475*44/12</f>
        <v>9.6806606964031861E-18</v>
      </c>
      <c r="AC178" s="22">
        <f t="shared" si="163"/>
        <v>12.104216957432335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4.5815795601811263E-14</v>
      </c>
      <c r="AK178" s="13">
        <f t="shared" si="164"/>
        <v>7.5374618042508364E-13</v>
      </c>
      <c r="AL178" s="20">
        <f t="shared" si="165"/>
        <v>1.392570441580175E-12</v>
      </c>
      <c r="AM178" s="59">
        <f t="shared" si="113"/>
        <v>293.33333333333468</v>
      </c>
      <c r="AN178" s="59">
        <f ca="1">AVERAGE(OFFSET($AM$3,0,0,'Données projet'!$E$10+1,1))-AVERAGE(OFFSET($H$3,0,0,'Données projet'!$E$10+1,1))</f>
        <v>344.29957955721721</v>
      </c>
      <c r="AO178" s="59">
        <f t="shared" si="144"/>
        <v>297.12790038882594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34.124292427419483</v>
      </c>
      <c r="AV178" s="21">
        <f>EXP(-LN(2)/25)*AV177+(1-EXP(-LN(2)/25))/(LN(2)/25)*Calculateur!AQ178*Calculateur!AS178*VLOOKUP('Données projet'!$B$10,Paramètres!$A$1:$I$89,3,0)*0.475*44/12</f>
        <v>5.4730441633227596</v>
      </c>
      <c r="AW178" s="21">
        <f>EXP(-LN(2)/2)*AW177+(1-EXP(-LN(2)/2))/(LN(2)/2)*AQ178*AT178*VLOOKUP('Données projet'!$B$10,Paramètres!$A$1:$I$89,3,0)*0.475*44/12</f>
        <v>4.1810193465415504E-13</v>
      </c>
      <c r="AX178" s="21">
        <f t="shared" si="166"/>
        <v>39.597336590742664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2.2737367544323206E-13</v>
      </c>
      <c r="BE178" s="13">
        <f>BD178*VLOOKUP('Données projet'!$B$11,Paramètres!$A$1:$I$89,3,0)*VLOOKUP('Données projet'!$B$11,Paramètres!$A$1:$I$89,5,0)</f>
        <v>1.064108801074326E-13</v>
      </c>
      <c r="BF178" s="13">
        <f t="shared" si="167"/>
        <v>1.5870730813698654E-12</v>
      </c>
      <c r="BG178" s="20">
        <f t="shared" si="168"/>
        <v>2.9494845662396269E-12</v>
      </c>
      <c r="BH178" s="59">
        <f t="shared" si="116"/>
        <v>293.33333333333627</v>
      </c>
      <c r="BI178" s="59">
        <f ca="1">AVERAGE(OFFSET($BH$3,0,0,'Données projet'!$E$11+1,1))-AVERAGE(OFFSET($H$3,0,0,'Données projet'!$E$11+1,1))</f>
        <v>234.83702199169585</v>
      </c>
      <c r="BJ178" s="59">
        <f t="shared" si="146"/>
        <v>248.83008816685089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9.8938997453328685</v>
      </c>
      <c r="BQ178" s="21">
        <f>EXP(-LN(2)/25)*BQ177+(1-EXP(-LN(2)/25))/(LN(2)/25)*Calculateur!BL178*Calculateur!BN178*VLOOKUP('Données projet'!$B$11,Paramètres!$A$1:$I$89,3,0)*0.475*44/12</f>
        <v>1.8891087790879117</v>
      </c>
      <c r="BR178" s="21">
        <f>EXP(-LN(2)/2)*BR177+(1-EXP(-LN(2)/2))/(LN(2)/2)*BL178*BO178*VLOOKUP('Données projet'!$B$11,Paramètres!$A$1:$I$89,3,0)*0.475*44/12</f>
        <v>2.4948867544321572E-17</v>
      </c>
      <c r="BS178" s="22">
        <f t="shared" si="169"/>
        <v>11.783008524420779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2.2737367544323206E-13</v>
      </c>
      <c r="BZ178" s="13">
        <f>BY178*VLOOKUP('Données projet'!$B$12,Paramètres!$A$1:$I$89,3,0)*VLOOKUP('Données projet'!$B$12,Paramètres!$A$1:$I$89,5,0)</f>
        <v>1.0049916454590858E-13</v>
      </c>
      <c r="CA178" s="13">
        <f t="shared" si="170"/>
        <v>1.5089081593838289E-12</v>
      </c>
      <c r="CB178" s="20">
        <f t="shared" si="171"/>
        <v>2.8030510891776262E-12</v>
      </c>
      <c r="CC178" s="59">
        <f t="shared" si="119"/>
        <v>293.3333333333361</v>
      </c>
      <c r="CD178" s="59">
        <f ca="1">AVERAGE(OFFSET($CC$3,0,0,'Données projet'!$E$12+1,1))-AVERAGE(OFFSET($H$3,0,0,'Données projet'!$E$12+1,1))</f>
        <v>220.26537310502334</v>
      </c>
      <c r="CE178" s="59">
        <f t="shared" si="148"/>
        <v>233.26853625122016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9.3442386483699273</v>
      </c>
      <c r="CL178" s="21">
        <f>EXP(-LN(2)/25)*CL177+(1-EXP(-LN(2)/25))/(LN(2)/25)*Calculateur!CG178*Calculateur!CI178*VLOOKUP('Données projet'!$B$12,Paramètres!$A$1:$I$89,3,0)*0.475*44/12</f>
        <v>1.7841582913608049</v>
      </c>
      <c r="CM178" s="21">
        <f>EXP(-LN(2)/2)*CM177+(1-EXP(-LN(2)/2))/(LN(2)/2)*CG178*CJ178*VLOOKUP('Données projet'!$B$12,Paramètres!$A$1:$I$89,3,0)*0.475*44/12</f>
        <v>2.3562819347414824E-17</v>
      </c>
      <c r="CN178" s="22">
        <f t="shared" si="172"/>
        <v>11.128396939730733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-1.5961632016114892E-13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263.37813242097957</v>
      </c>
      <c r="T179" s="59">
        <f t="shared" si="142"/>
        <v>314.89350816766904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10.053889884862105</v>
      </c>
      <c r="AA179" s="21">
        <f>EXP(-LN(2)/25)*AA178+(1-EXP(-LN(2)/25))/(LN(2)/25)*Calculateur!V179*Calculateur!X179*VLOOKUP('Données projet'!$B$9,Paramètres!$A$1:$I$89,3,0)*0.475*44/12</f>
        <v>1.7986657177290299</v>
      </c>
      <c r="AB179" s="21">
        <f>EXP(-LN(2)/2)*AB178+(1-EXP(-LN(2)/2))/(LN(2)/2)*V179*Y179*VLOOKUP('Données projet'!$B$9,Paramètres!$A$1:$I$89,3,0)*0.475*44/12</f>
        <v>6.8452608247927787E-18</v>
      </c>
      <c r="AC179" s="22">
        <f t="shared" si="163"/>
        <v>11.852555602591135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4.5815795601811263E-14</v>
      </c>
      <c r="AK179" s="13">
        <f t="shared" si="164"/>
        <v>7.5374618042508364E-13</v>
      </c>
      <c r="AL179" s="20">
        <f t="shared" si="165"/>
        <v>1.392570441580175E-12</v>
      </c>
      <c r="AM179" s="59">
        <f t="shared" si="113"/>
        <v>293.33333333333468</v>
      </c>
      <c r="AN179" s="59">
        <f ca="1">AVERAGE(OFFSET($AM$3,0,0,'Données projet'!$E$10+1,1))-AVERAGE(OFFSET($H$3,0,0,'Données projet'!$E$10+1,1))</f>
        <v>344.29957955721721</v>
      </c>
      <c r="AO179" s="59">
        <f t="shared" si="144"/>
        <v>297.12790038882594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33.455135866680976</v>
      </c>
      <c r="AV179" s="21">
        <f>EXP(-LN(2)/25)*AV178+(1-EXP(-LN(2)/25))/(LN(2)/25)*Calculateur!AQ179*Calculateur!AS179*VLOOKUP('Données projet'!$B$10,Paramètres!$A$1:$I$89,3,0)*0.475*44/12</f>
        <v>5.3233834828618152</v>
      </c>
      <c r="AW179" s="21">
        <f>EXP(-LN(2)/2)*AW178+(1-EXP(-LN(2)/2))/(LN(2)/2)*AQ179*AT179*VLOOKUP('Données projet'!$B$10,Paramètres!$A$1:$I$89,3,0)*0.475*44/12</f>
        <v>2.956427132211678E-13</v>
      </c>
      <c r="AX179" s="21">
        <f t="shared" si="166"/>
        <v>38.778519349543089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2.2737367544323206E-13</v>
      </c>
      <c r="BE179" s="13">
        <f>BD179*VLOOKUP('Données projet'!$B$11,Paramètres!$A$1:$I$89,3,0)*VLOOKUP('Données projet'!$B$11,Paramètres!$A$1:$I$89,5,0)</f>
        <v>1.064108801074326E-13</v>
      </c>
      <c r="BF179" s="13">
        <f t="shared" si="167"/>
        <v>1.5870730813698654E-12</v>
      </c>
      <c r="BG179" s="20">
        <f t="shared" si="168"/>
        <v>2.9494845662396269E-12</v>
      </c>
      <c r="BH179" s="59">
        <f t="shared" si="116"/>
        <v>293.33333333333627</v>
      </c>
      <c r="BI179" s="59">
        <f ca="1">AVERAGE(OFFSET($BH$3,0,0,'Données projet'!$E$11+1,1))-AVERAGE(OFFSET($H$3,0,0,'Données projet'!$E$11+1,1))</f>
        <v>234.83702199169585</v>
      </c>
      <c r="BJ179" s="59">
        <f t="shared" si="146"/>
        <v>248.83008816685089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9.6998864060098597</v>
      </c>
      <c r="BQ179" s="21">
        <f>EXP(-LN(2)/25)*BQ178+(1-EXP(-LN(2)/25))/(LN(2)/25)*Calculateur!BL179*Calculateur!BN179*VLOOKUP('Données projet'!$B$11,Paramètres!$A$1:$I$89,3,0)*0.475*44/12</f>
        <v>1.8374510001798396</v>
      </c>
      <c r="BR179" s="21">
        <f>EXP(-LN(2)/2)*BR178+(1-EXP(-LN(2)/2))/(LN(2)/2)*BL179*BO179*VLOOKUP('Données projet'!$B$11,Paramètres!$A$1:$I$89,3,0)*0.475*44/12</f>
        <v>1.7641513423514751E-17</v>
      </c>
      <c r="BS179" s="22">
        <f t="shared" si="169"/>
        <v>11.5373374061897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2.2737367544323206E-13</v>
      </c>
      <c r="BZ179" s="13">
        <f>BY179*VLOOKUP('Données projet'!$B$12,Paramètres!$A$1:$I$89,3,0)*VLOOKUP('Données projet'!$B$12,Paramètres!$A$1:$I$89,5,0)</f>
        <v>1.0049916454590858E-13</v>
      </c>
      <c r="CA179" s="13">
        <f t="shared" si="170"/>
        <v>1.5089081593838289E-12</v>
      </c>
      <c r="CB179" s="20">
        <f t="shared" si="171"/>
        <v>2.8030510891776262E-12</v>
      </c>
      <c r="CC179" s="59">
        <f t="shared" si="119"/>
        <v>293.3333333333361</v>
      </c>
      <c r="CD179" s="59">
        <f ca="1">AVERAGE(OFFSET($CC$3,0,0,'Données projet'!$E$12+1,1))-AVERAGE(OFFSET($H$3,0,0,'Données projet'!$E$12+1,1))</f>
        <v>220.26537310502334</v>
      </c>
      <c r="CE179" s="59">
        <f t="shared" si="148"/>
        <v>233.26853625122016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9.1610038278981971</v>
      </c>
      <c r="CL179" s="21">
        <f>EXP(-LN(2)/25)*CL178+(1-EXP(-LN(2)/25))/(LN(2)/25)*Calculateur!CG179*Calculateur!CI179*VLOOKUP('Données projet'!$B$12,Paramètres!$A$1:$I$89,3,0)*0.475*44/12</f>
        <v>1.7353703890587369</v>
      </c>
      <c r="CM179" s="21">
        <f>EXP(-LN(2)/2)*CM178+(1-EXP(-LN(2)/2))/(LN(2)/2)*CG179*CJ179*VLOOKUP('Données projet'!$B$12,Paramètres!$A$1:$I$89,3,0)*0.475*44/12</f>
        <v>1.6661429344430602E-17</v>
      </c>
      <c r="CN179" s="22">
        <f t="shared" si="172"/>
        <v>10.896374216956934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-1.5961632016114892E-13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263.37813242097957</v>
      </c>
      <c r="T180" s="59">
        <f t="shared" si="142"/>
        <v>314.89350816766904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9.8567392364872788</v>
      </c>
      <c r="AA180" s="21">
        <f>EXP(-LN(2)/25)*AA179+(1-EXP(-LN(2)/25))/(LN(2)/25)*Calculateur!V180*Calculateur!X180*VLOOKUP('Données projet'!$B$9,Paramètres!$A$1:$I$89,3,0)*0.475*44/12</f>
        <v>1.7494811090900104</v>
      </c>
      <c r="AB180" s="21">
        <f>EXP(-LN(2)/2)*AB179+(1-EXP(-LN(2)/2))/(LN(2)/2)*V180*Y180*VLOOKUP('Données projet'!$B$9,Paramètres!$A$1:$I$89,3,0)*0.475*44/12</f>
        <v>4.8403303482015938E-18</v>
      </c>
      <c r="AC180" s="22">
        <f t="shared" si="163"/>
        <v>11.60622034557729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4.5815795601811263E-14</v>
      </c>
      <c r="AK180" s="13">
        <f t="shared" si="164"/>
        <v>7.5374618042508364E-13</v>
      </c>
      <c r="AL180" s="20">
        <f t="shared" si="165"/>
        <v>1.392570441580175E-12</v>
      </c>
      <c r="AM180" s="59">
        <f t="shared" si="113"/>
        <v>293.33333333333468</v>
      </c>
      <c r="AN180" s="59">
        <f ca="1">AVERAGE(OFFSET($AM$3,0,0,'Données projet'!$E$10+1,1))-AVERAGE(OFFSET($H$3,0,0,'Données projet'!$E$10+1,1))</f>
        <v>344.29957955721721</v>
      </c>
      <c r="AO180" s="59">
        <f t="shared" si="144"/>
        <v>297.12790038882594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32.799101057953351</v>
      </c>
      <c r="AV180" s="21">
        <f>EXP(-LN(2)/25)*AV179+(1-EXP(-LN(2)/25))/(LN(2)/25)*Calculateur!AQ180*Calculateur!AS180*VLOOKUP('Données projet'!$B$10,Paramètres!$A$1:$I$89,3,0)*0.475*44/12</f>
        <v>5.177815281578388</v>
      </c>
      <c r="AW180" s="21">
        <f>EXP(-LN(2)/2)*AW179+(1-EXP(-LN(2)/2))/(LN(2)/2)*AQ180*AT180*VLOOKUP('Données projet'!$B$10,Paramètres!$A$1:$I$89,3,0)*0.475*44/12</f>
        <v>2.0905096732707752E-13</v>
      </c>
      <c r="AX180" s="21">
        <f t="shared" si="166"/>
        <v>37.976916339531947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2.2737367544323206E-13</v>
      </c>
      <c r="BE180" s="13">
        <f>BD180*VLOOKUP('Données projet'!$B$11,Paramètres!$A$1:$I$89,3,0)*VLOOKUP('Données projet'!$B$11,Paramètres!$A$1:$I$89,5,0)</f>
        <v>1.064108801074326E-13</v>
      </c>
      <c r="BF180" s="13">
        <f t="shared" si="167"/>
        <v>1.5870730813698654E-12</v>
      </c>
      <c r="BG180" s="20">
        <f t="shared" si="168"/>
        <v>2.9494845662396269E-12</v>
      </c>
      <c r="BH180" s="59">
        <f t="shared" si="116"/>
        <v>293.33333333333627</v>
      </c>
      <c r="BI180" s="59">
        <f ca="1">AVERAGE(OFFSET($BH$3,0,0,'Données projet'!$E$11+1,1))-AVERAGE(OFFSET($H$3,0,0,'Données projet'!$E$11+1,1))</f>
        <v>234.83702199169585</v>
      </c>
      <c r="BJ180" s="59">
        <f t="shared" si="146"/>
        <v>248.83008816685089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9.5096775499345227</v>
      </c>
      <c r="BQ180" s="21">
        <f>EXP(-LN(2)/25)*BQ179+(1-EXP(-LN(2)/25))/(LN(2)/25)*Calculateur!BL180*Calculateur!BN180*VLOOKUP('Données projet'!$B$11,Paramètres!$A$1:$I$89,3,0)*0.475*44/12</f>
        <v>1.7872058059525733</v>
      </c>
      <c r="BR180" s="21">
        <f>EXP(-LN(2)/2)*BR179+(1-EXP(-LN(2)/2))/(LN(2)/2)*BL180*BO180*VLOOKUP('Données projet'!$B$11,Paramètres!$A$1:$I$89,3,0)*0.475*44/12</f>
        <v>1.2474433772160786E-17</v>
      </c>
      <c r="BS180" s="22">
        <f t="shared" si="169"/>
        <v>11.296883355887097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2.2737367544323206E-13</v>
      </c>
      <c r="BZ180" s="13">
        <f>BY180*VLOOKUP('Données projet'!$B$12,Paramètres!$A$1:$I$89,3,0)*VLOOKUP('Données projet'!$B$12,Paramètres!$A$1:$I$89,5,0)</f>
        <v>1.0049916454590858E-13</v>
      </c>
      <c r="CA180" s="13">
        <f t="shared" si="170"/>
        <v>1.5089081593838289E-12</v>
      </c>
      <c r="CB180" s="20">
        <f t="shared" si="171"/>
        <v>2.8030510891776262E-12</v>
      </c>
      <c r="CC180" s="59">
        <f t="shared" si="119"/>
        <v>293.3333333333361</v>
      </c>
      <c r="CD180" s="59">
        <f ca="1">AVERAGE(OFFSET($CC$3,0,0,'Données projet'!$E$12+1,1))-AVERAGE(OFFSET($H$3,0,0,'Données projet'!$E$12+1,1))</f>
        <v>220.26537310502334</v>
      </c>
      <c r="CE180" s="59">
        <f t="shared" si="148"/>
        <v>233.26853625122016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8.9813621304937126</v>
      </c>
      <c r="CL180" s="21">
        <f>EXP(-LN(2)/25)*CL179+(1-EXP(-LN(2)/25))/(LN(2)/25)*Calculateur!CG180*Calculateur!CI180*VLOOKUP('Données projet'!$B$12,Paramètres!$A$1:$I$89,3,0)*0.475*44/12</f>
        <v>1.6879165945107633</v>
      </c>
      <c r="CM180" s="21">
        <f>EXP(-LN(2)/2)*CM179+(1-EXP(-LN(2)/2))/(LN(2)/2)*CG180*CJ180*VLOOKUP('Données projet'!$B$12,Paramètres!$A$1:$I$89,3,0)*0.475*44/12</f>
        <v>1.1781409673707412E-17</v>
      </c>
      <c r="CN180" s="22">
        <f t="shared" si="172"/>
        <v>10.669278725004476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-1.5961632016114892E-13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263.37813242097957</v>
      </c>
      <c r="T181" s="59">
        <f t="shared" si="142"/>
        <v>314.89350816766904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9.6634545920770609</v>
      </c>
      <c r="AA181" s="21">
        <f>EXP(-LN(2)/25)*AA180+(1-EXP(-LN(2)/25))/(LN(2)/25)*Calculateur!V181*Calculateur!X181*VLOOKUP('Données projet'!$B$9,Paramètres!$A$1:$I$89,3,0)*0.475*44/12</f>
        <v>1.7016414561607311</v>
      </c>
      <c r="AB181" s="21">
        <f>EXP(-LN(2)/2)*AB180+(1-EXP(-LN(2)/2))/(LN(2)/2)*V181*Y181*VLOOKUP('Données projet'!$B$9,Paramètres!$A$1:$I$89,3,0)*0.475*44/12</f>
        <v>3.4226304123963901E-18</v>
      </c>
      <c r="AC181" s="22">
        <f t="shared" si="163"/>
        <v>11.365096048237792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4.5815795601811263E-14</v>
      </c>
      <c r="AK181" s="13">
        <f t="shared" si="164"/>
        <v>7.5374618042508364E-13</v>
      </c>
      <c r="AL181" s="20">
        <f t="shared" si="165"/>
        <v>1.392570441580175E-12</v>
      </c>
      <c r="AM181" s="59">
        <f t="shared" si="113"/>
        <v>293.33333333333468</v>
      </c>
      <c r="AN181" s="59">
        <f ca="1">AVERAGE(OFFSET($AM$3,0,0,'Données projet'!$E$10+1,1))-AVERAGE(OFFSET($H$3,0,0,'Données projet'!$E$10+1,1))</f>
        <v>344.29957955721721</v>
      </c>
      <c r="AO181" s="59">
        <f t="shared" si="144"/>
        <v>297.12790038882594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32.155930691683153</v>
      </c>
      <c r="AV181" s="21">
        <f>EXP(-LN(2)/25)*AV180+(1-EXP(-LN(2)/25))/(LN(2)/25)*Calculateur!AQ181*Calculateur!AS181*VLOOKUP('Données projet'!$B$10,Paramètres!$A$1:$I$89,3,0)*0.475*44/12</f>
        <v>5.0362276504141557</v>
      </c>
      <c r="AW181" s="21">
        <f>EXP(-LN(2)/2)*AW180+(1-EXP(-LN(2)/2))/(LN(2)/2)*AQ181*AT181*VLOOKUP('Données projet'!$B$10,Paramètres!$A$1:$I$89,3,0)*0.475*44/12</f>
        <v>1.478213566105839E-13</v>
      </c>
      <c r="AX181" s="21">
        <f t="shared" si="166"/>
        <v>37.192158342097457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2.2737367544323206E-13</v>
      </c>
      <c r="BE181" s="13">
        <f>BD181*VLOOKUP('Données projet'!$B$11,Paramètres!$A$1:$I$89,3,0)*VLOOKUP('Données projet'!$B$11,Paramètres!$A$1:$I$89,5,0)</f>
        <v>1.064108801074326E-13</v>
      </c>
      <c r="BF181" s="13">
        <f t="shared" si="167"/>
        <v>1.5870730813698654E-12</v>
      </c>
      <c r="BG181" s="20">
        <f t="shared" si="168"/>
        <v>2.9494845662396269E-12</v>
      </c>
      <c r="BH181" s="59">
        <f t="shared" si="116"/>
        <v>293.33333333333627</v>
      </c>
      <c r="BI181" s="59">
        <f ca="1">AVERAGE(OFFSET($BH$3,0,0,'Données projet'!$E$11+1,1))-AVERAGE(OFFSET($H$3,0,0,'Données projet'!$E$11+1,1))</f>
        <v>234.83702199169585</v>
      </c>
      <c r="BJ181" s="59">
        <f t="shared" si="146"/>
        <v>248.83008816685089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9.3231985735108776</v>
      </c>
      <c r="BQ181" s="21">
        <f>EXP(-LN(2)/25)*BQ180+(1-EXP(-LN(2)/25))/(LN(2)/25)*Calculateur!BL181*Calculateur!BN181*VLOOKUP('Données projet'!$B$11,Paramètres!$A$1:$I$89,3,0)*0.475*44/12</f>
        <v>1.7383345692037315</v>
      </c>
      <c r="BR181" s="21">
        <f>EXP(-LN(2)/2)*BR180+(1-EXP(-LN(2)/2))/(LN(2)/2)*BL181*BO181*VLOOKUP('Données projet'!$B$11,Paramètres!$A$1:$I$89,3,0)*0.475*44/12</f>
        <v>8.8207567117573753E-18</v>
      </c>
      <c r="BS181" s="22">
        <f t="shared" si="169"/>
        <v>11.061533142714609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2.2737367544323206E-13</v>
      </c>
      <c r="BZ181" s="13">
        <f>BY181*VLOOKUP('Données projet'!$B$12,Paramètres!$A$1:$I$89,3,0)*VLOOKUP('Données projet'!$B$12,Paramètres!$A$1:$I$89,5,0)</f>
        <v>1.0049916454590858E-13</v>
      </c>
      <c r="CA181" s="13">
        <f t="shared" si="170"/>
        <v>1.5089081593838289E-12</v>
      </c>
      <c r="CB181" s="20">
        <f t="shared" si="171"/>
        <v>2.8030510891776262E-12</v>
      </c>
      <c r="CC181" s="59">
        <f t="shared" si="119"/>
        <v>293.3333333333361</v>
      </c>
      <c r="CD181" s="59">
        <f ca="1">AVERAGE(OFFSET($CC$3,0,0,'Données projet'!$E$12+1,1))-AVERAGE(OFFSET($H$3,0,0,'Données projet'!$E$12+1,1))</f>
        <v>220.26537310502334</v>
      </c>
      <c r="CE181" s="59">
        <f t="shared" si="148"/>
        <v>233.26853625122016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8.8052430972047144</v>
      </c>
      <c r="CL181" s="21">
        <f>EXP(-LN(2)/25)*CL180+(1-EXP(-LN(2)/25))/(LN(2)/25)*Calculateur!CG181*Calculateur!CI181*VLOOKUP('Données projet'!$B$12,Paramètres!$A$1:$I$89,3,0)*0.475*44/12</f>
        <v>1.6417604264701906</v>
      </c>
      <c r="CM181" s="21">
        <f>EXP(-LN(2)/2)*CM180+(1-EXP(-LN(2)/2))/(LN(2)/2)*CG181*CJ181*VLOOKUP('Données projet'!$B$12,Paramètres!$A$1:$I$89,3,0)*0.475*44/12</f>
        <v>8.3307146722153011E-18</v>
      </c>
      <c r="CN181" s="22">
        <f t="shared" si="172"/>
        <v>10.447003523674905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-1.5961632016114892E-13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263.37813242097957</v>
      </c>
      <c r="T182" s="59">
        <f t="shared" si="142"/>
        <v>314.89350816766904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9.4739601416517338</v>
      </c>
      <c r="AA182" s="21">
        <f>EXP(-LN(2)/25)*AA181+(1-EXP(-LN(2)/25))/(LN(2)/25)*Calculateur!V182*Calculateur!X182*VLOOKUP('Données projet'!$B$9,Paramètres!$A$1:$I$89,3,0)*0.475*44/12</f>
        <v>1.655109981056581</v>
      </c>
      <c r="AB182" s="21">
        <f>EXP(-LN(2)/2)*AB181+(1-EXP(-LN(2)/2))/(LN(2)/2)*V182*Y182*VLOOKUP('Données projet'!$B$9,Paramètres!$A$1:$I$89,3,0)*0.475*44/12</f>
        <v>2.4201651741007973E-18</v>
      </c>
      <c r="AC182" s="22">
        <f t="shared" si="163"/>
        <v>11.129070122708315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4.5815795601811263E-14</v>
      </c>
      <c r="AK182" s="13">
        <f t="shared" si="164"/>
        <v>7.5374618042508364E-13</v>
      </c>
      <c r="AL182" s="20">
        <f t="shared" si="165"/>
        <v>1.392570441580175E-12</v>
      </c>
      <c r="AM182" s="59">
        <f t="shared" si="113"/>
        <v>293.33333333333468</v>
      </c>
      <c r="AN182" s="59">
        <f ca="1">AVERAGE(OFFSET($AM$3,0,0,'Données projet'!$E$10+1,1))-AVERAGE(OFFSET($H$3,0,0,'Données projet'!$E$10+1,1))</f>
        <v>344.29957955721721</v>
      </c>
      <c r="AO182" s="59">
        <f t="shared" si="144"/>
        <v>297.12790038882594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31.525372504000327</v>
      </c>
      <c r="AV182" s="21">
        <f>EXP(-LN(2)/25)*AV181+(1-EXP(-LN(2)/25))/(LN(2)/25)*Calculateur!AQ182*Calculateur!AS182*VLOOKUP('Données projet'!$B$10,Paramètres!$A$1:$I$89,3,0)*0.475*44/12</f>
        <v>4.8985117404698792</v>
      </c>
      <c r="AW182" s="21">
        <f>EXP(-LN(2)/2)*AW181+(1-EXP(-LN(2)/2))/(LN(2)/2)*AQ182*AT182*VLOOKUP('Données projet'!$B$10,Paramètres!$A$1:$I$89,3,0)*0.475*44/12</f>
        <v>1.0452548366353876E-13</v>
      </c>
      <c r="AX182" s="21">
        <f t="shared" si="166"/>
        <v>36.423884244470315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2.2737367544323206E-13</v>
      </c>
      <c r="BE182" s="13">
        <f>BD182*VLOOKUP('Données projet'!$B$11,Paramètres!$A$1:$I$89,3,0)*VLOOKUP('Données projet'!$B$11,Paramètres!$A$1:$I$89,5,0)</f>
        <v>1.064108801074326E-13</v>
      </c>
      <c r="BF182" s="13">
        <f t="shared" si="167"/>
        <v>1.5870730813698654E-12</v>
      </c>
      <c r="BG182" s="20">
        <f t="shared" si="168"/>
        <v>2.9494845662396269E-12</v>
      </c>
      <c r="BH182" s="59">
        <f t="shared" si="116"/>
        <v>293.33333333333627</v>
      </c>
      <c r="BI182" s="59">
        <f ca="1">AVERAGE(OFFSET($BH$3,0,0,'Données projet'!$E$11+1,1))-AVERAGE(OFFSET($H$3,0,0,'Données projet'!$E$11+1,1))</f>
        <v>234.83702199169585</v>
      </c>
      <c r="BJ182" s="59">
        <f t="shared" si="146"/>
        <v>248.83008816685089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9.1403763360739543</v>
      </c>
      <c r="BQ182" s="21">
        <f>EXP(-LN(2)/25)*BQ181+(1-EXP(-LN(2)/25))/(LN(2)/25)*Calculateur!BL182*Calculateur!BN182*VLOOKUP('Données projet'!$B$11,Paramètres!$A$1:$I$89,3,0)*0.475*44/12</f>
        <v>1.6907997189938135</v>
      </c>
      <c r="BR182" s="21">
        <f>EXP(-LN(2)/2)*BR181+(1-EXP(-LN(2)/2))/(LN(2)/2)*BL182*BO182*VLOOKUP('Données projet'!$B$11,Paramètres!$A$1:$I$89,3,0)*0.475*44/12</f>
        <v>6.2372168860803929E-18</v>
      </c>
      <c r="BS182" s="22">
        <f t="shared" si="169"/>
        <v>10.831176055067768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2.2737367544323206E-13</v>
      </c>
      <c r="BZ182" s="13">
        <f>BY182*VLOOKUP('Données projet'!$B$12,Paramètres!$A$1:$I$89,3,0)*VLOOKUP('Données projet'!$B$12,Paramètres!$A$1:$I$89,5,0)</f>
        <v>1.0049916454590858E-13</v>
      </c>
      <c r="CA182" s="13">
        <f t="shared" si="170"/>
        <v>1.5089081593838289E-12</v>
      </c>
      <c r="CB182" s="20">
        <f t="shared" si="171"/>
        <v>2.8030510891776262E-12</v>
      </c>
      <c r="CC182" s="59">
        <f t="shared" si="119"/>
        <v>293.3333333333361</v>
      </c>
      <c r="CD182" s="59">
        <f ca="1">AVERAGE(OFFSET($CC$3,0,0,'Données projet'!$E$12+1,1))-AVERAGE(OFFSET($H$3,0,0,'Données projet'!$E$12+1,1))</f>
        <v>220.26537310502334</v>
      </c>
      <c r="CE182" s="59">
        <f t="shared" si="148"/>
        <v>233.26853625122016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8.6325776507365095</v>
      </c>
      <c r="CL182" s="21">
        <f>EXP(-LN(2)/25)*CL181+(1-EXP(-LN(2)/25))/(LN(2)/25)*Calculateur!CG182*Calculateur!CI182*VLOOKUP('Données projet'!$B$12,Paramètres!$A$1:$I$89,3,0)*0.475*44/12</f>
        <v>1.5968664012719347</v>
      </c>
      <c r="CM182" s="21">
        <f>EXP(-LN(2)/2)*CM181+(1-EXP(-LN(2)/2))/(LN(2)/2)*CG182*CJ182*VLOOKUP('Données projet'!$B$12,Paramètres!$A$1:$I$89,3,0)*0.475*44/12</f>
        <v>5.890704836853706E-18</v>
      </c>
      <c r="CN182" s="22">
        <f t="shared" si="172"/>
        <v>10.229444052008445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-1.5961632016114892E-13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263.37813242097957</v>
      </c>
      <c r="T183" s="59">
        <f t="shared" si="142"/>
        <v>314.89350816766904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9.2881815618190462</v>
      </c>
      <c r="AA183" s="21">
        <f>EXP(-LN(2)/25)*AA182+(1-EXP(-LN(2)/25))/(LN(2)/25)*Calculateur!V183*Calculateur!X183*VLOOKUP('Données projet'!$B$9,Paramètres!$A$1:$I$89,3,0)*0.475*44/12</f>
        <v>1.6098509115861377</v>
      </c>
      <c r="AB183" s="21">
        <f>EXP(-LN(2)/2)*AB182+(1-EXP(-LN(2)/2))/(LN(2)/2)*V183*Y183*VLOOKUP('Données projet'!$B$9,Paramètres!$A$1:$I$89,3,0)*0.475*44/12</f>
        <v>1.7113152061981953E-18</v>
      </c>
      <c r="AC183" s="22">
        <f t="shared" si="163"/>
        <v>10.898032473405184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4.5815795601811263E-14</v>
      </c>
      <c r="AK183" s="13">
        <f t="shared" si="164"/>
        <v>7.5374618042508364E-13</v>
      </c>
      <c r="AL183" s="20">
        <f t="shared" si="165"/>
        <v>1.392570441580175E-12</v>
      </c>
      <c r="AM183" s="59">
        <f t="shared" si="113"/>
        <v>293.33333333333468</v>
      </c>
      <c r="AN183" s="59">
        <f ca="1">AVERAGE(OFFSET($AM$3,0,0,'Données projet'!$E$10+1,1))-AVERAGE(OFFSET($H$3,0,0,'Données projet'!$E$10+1,1))</f>
        <v>344.29957955721721</v>
      </c>
      <c r="AO183" s="59">
        <f t="shared" si="144"/>
        <v>297.12790038882594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30.907179177775443</v>
      </c>
      <c r="AV183" s="21">
        <f>EXP(-LN(2)/25)*AV182+(1-EXP(-LN(2)/25))/(LN(2)/25)*Calculateur!AQ183*Calculateur!AS183*VLOOKUP('Données projet'!$B$10,Paramètres!$A$1:$I$89,3,0)*0.475*44/12</f>
        <v>4.7645616793251939</v>
      </c>
      <c r="AW183" s="21">
        <f>EXP(-LN(2)/2)*AW182+(1-EXP(-LN(2)/2))/(LN(2)/2)*AQ183*AT183*VLOOKUP('Données projet'!$B$10,Paramètres!$A$1:$I$89,3,0)*0.475*44/12</f>
        <v>7.3910678305291949E-14</v>
      </c>
      <c r="AX183" s="21">
        <f t="shared" si="166"/>
        <v>35.671740857100708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2.2737367544323206E-13</v>
      </c>
      <c r="BE183" s="13">
        <f>BD183*VLOOKUP('Données projet'!$B$11,Paramètres!$A$1:$I$89,3,0)*VLOOKUP('Données projet'!$B$11,Paramètres!$A$1:$I$89,5,0)</f>
        <v>1.064108801074326E-13</v>
      </c>
      <c r="BF183" s="13">
        <f t="shared" si="167"/>
        <v>1.5870730813698654E-12</v>
      </c>
      <c r="BG183" s="20">
        <f t="shared" si="168"/>
        <v>2.9494845662396269E-12</v>
      </c>
      <c r="BH183" s="59">
        <f t="shared" si="116"/>
        <v>293.33333333333627</v>
      </c>
      <c r="BI183" s="59">
        <f ca="1">AVERAGE(OFFSET($BH$3,0,0,'Données projet'!$E$11+1,1))-AVERAGE(OFFSET($H$3,0,0,'Données projet'!$E$11+1,1))</f>
        <v>234.83702199169585</v>
      </c>
      <c r="BJ183" s="59">
        <f t="shared" si="146"/>
        <v>248.83008816685089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8.9611391312026161</v>
      </c>
      <c r="BQ183" s="21">
        <f>EXP(-LN(2)/25)*BQ182+(1-EXP(-LN(2)/25))/(LN(2)/25)*Calculateur!BL183*Calculateur!BN183*VLOOKUP('Données projet'!$B$11,Paramètres!$A$1:$I$89,3,0)*0.475*44/12</f>
        <v>1.644564711762635</v>
      </c>
      <c r="BR183" s="21">
        <f>EXP(-LN(2)/2)*BR182+(1-EXP(-LN(2)/2))/(LN(2)/2)*BL183*BO183*VLOOKUP('Données projet'!$B$11,Paramètres!$A$1:$I$89,3,0)*0.475*44/12</f>
        <v>4.4103783558786877E-18</v>
      </c>
      <c r="BS183" s="22">
        <f t="shared" si="169"/>
        <v>10.605703842965251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2.2737367544323206E-13</v>
      </c>
      <c r="BZ183" s="13">
        <f>BY183*VLOOKUP('Données projet'!$B$12,Paramètres!$A$1:$I$89,3,0)*VLOOKUP('Données projet'!$B$12,Paramètres!$A$1:$I$89,5,0)</f>
        <v>1.0049916454590858E-13</v>
      </c>
      <c r="CA183" s="13">
        <f t="shared" si="170"/>
        <v>1.5089081593838289E-12</v>
      </c>
      <c r="CB183" s="20">
        <f t="shared" si="171"/>
        <v>2.8030510891776262E-12</v>
      </c>
      <c r="CC183" s="59">
        <f t="shared" si="119"/>
        <v>293.3333333333361</v>
      </c>
      <c r="CD183" s="59">
        <f ca="1">AVERAGE(OFFSET($CC$3,0,0,'Données projet'!$E$12+1,1))-AVERAGE(OFFSET($H$3,0,0,'Données projet'!$E$12+1,1))</f>
        <v>220.26537310502334</v>
      </c>
      <c r="CE183" s="59">
        <f t="shared" si="148"/>
        <v>233.26853625122016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8.4632980683580232</v>
      </c>
      <c r="CL183" s="21">
        <f>EXP(-LN(2)/25)*CL182+(1-EXP(-LN(2)/25))/(LN(2)/25)*Calculateur!CG183*Calculateur!CI183*VLOOKUP('Données projet'!$B$12,Paramètres!$A$1:$I$89,3,0)*0.475*44/12</f>
        <v>1.5532000055535993</v>
      </c>
      <c r="CM183" s="21">
        <f>EXP(-LN(2)/2)*CM182+(1-EXP(-LN(2)/2))/(LN(2)/2)*CG183*CJ183*VLOOKUP('Données projet'!$B$12,Paramètres!$A$1:$I$89,3,0)*0.475*44/12</f>
        <v>4.1653573361076505E-18</v>
      </c>
      <c r="CN183" s="22">
        <f t="shared" si="172"/>
        <v>10.016498073911622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-1.5961632016114892E-13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263.37813242097957</v>
      </c>
      <c r="T184" s="59">
        <f t="shared" si="142"/>
        <v>314.89350816766904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9.1060459866231316</v>
      </c>
      <c r="AA184" s="21">
        <f>EXP(-LN(2)/25)*AA183+(1-EXP(-LN(2)/25))/(LN(2)/25)*Calculateur!V184*Calculateur!X184*VLOOKUP('Données projet'!$B$9,Paramètres!$A$1:$I$89,3,0)*0.475*44/12</f>
        <v>1.5658294537504347</v>
      </c>
      <c r="AB184" s="21">
        <f>EXP(-LN(2)/2)*AB183+(1-EXP(-LN(2)/2))/(LN(2)/2)*V184*Y184*VLOOKUP('Données projet'!$B$9,Paramètres!$A$1:$I$89,3,0)*0.475*44/12</f>
        <v>1.2100825870503988E-18</v>
      </c>
      <c r="AC184" s="22">
        <f t="shared" si="163"/>
        <v>10.671875440373567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4.5815795601811263E-14</v>
      </c>
      <c r="AK184" s="13">
        <f t="shared" si="164"/>
        <v>7.5374618042508364E-13</v>
      </c>
      <c r="AL184" s="20">
        <f t="shared" si="165"/>
        <v>1.392570441580175E-12</v>
      </c>
      <c r="AM184" s="59">
        <f t="shared" si="113"/>
        <v>293.33333333333468</v>
      </c>
      <c r="AN184" s="59">
        <f ca="1">AVERAGE(OFFSET($AM$3,0,0,'Données projet'!$E$10+1,1))-AVERAGE(OFFSET($H$3,0,0,'Données projet'!$E$10+1,1))</f>
        <v>344.29957955721721</v>
      </c>
      <c r="AO184" s="59">
        <f t="shared" si="144"/>
        <v>297.12790038882594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30.301108245617133</v>
      </c>
      <c r="AV184" s="21">
        <f>EXP(-LN(2)/25)*AV183+(1-EXP(-LN(2)/25))/(LN(2)/25)*Calculateur!AQ184*Calculateur!AS184*VLOOKUP('Données projet'!$B$10,Paramètres!$A$1:$I$89,3,0)*0.475*44/12</f>
        <v>4.6342744896466375</v>
      </c>
      <c r="AW184" s="21">
        <f>EXP(-LN(2)/2)*AW183+(1-EXP(-LN(2)/2))/(LN(2)/2)*AQ184*AT184*VLOOKUP('Données projet'!$B$10,Paramètres!$A$1:$I$89,3,0)*0.475*44/12</f>
        <v>5.226274183176938E-14</v>
      </c>
      <c r="AX184" s="21">
        <f t="shared" si="166"/>
        <v>34.935382735263822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2.2737367544323206E-13</v>
      </c>
      <c r="BE184" s="13">
        <f>BD184*VLOOKUP('Données projet'!$B$11,Paramètres!$A$1:$I$89,3,0)*VLOOKUP('Données projet'!$B$11,Paramètres!$A$1:$I$89,5,0)</f>
        <v>1.064108801074326E-13</v>
      </c>
      <c r="BF184" s="13">
        <f t="shared" si="167"/>
        <v>1.5870730813698654E-12</v>
      </c>
      <c r="BG184" s="20">
        <f t="shared" si="168"/>
        <v>2.9494845662396269E-12</v>
      </c>
      <c r="BH184" s="59">
        <f t="shared" si="116"/>
        <v>293.33333333333627</v>
      </c>
      <c r="BI184" s="59">
        <f ca="1">AVERAGE(OFFSET($BH$3,0,0,'Données projet'!$E$11+1,1))-AVERAGE(OFFSET($H$3,0,0,'Données projet'!$E$11+1,1))</f>
        <v>234.83702199169585</v>
      </c>
      <c r="BJ184" s="59">
        <f t="shared" si="146"/>
        <v>248.83008816685089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8.7854166585949045</v>
      </c>
      <c r="BQ184" s="21">
        <f>EXP(-LN(2)/25)*BQ183+(1-EXP(-LN(2)/25))/(LN(2)/25)*Calculateur!BL184*Calculateur!BN184*VLOOKUP('Données projet'!$B$11,Paramètres!$A$1:$I$89,3,0)*0.475*44/12</f>
        <v>1.5995940032355862</v>
      </c>
      <c r="BR184" s="21">
        <f>EXP(-LN(2)/2)*BR183+(1-EXP(-LN(2)/2))/(LN(2)/2)*BL184*BO184*VLOOKUP('Données projet'!$B$11,Paramètres!$A$1:$I$89,3,0)*0.475*44/12</f>
        <v>3.1186084430401965E-18</v>
      </c>
      <c r="BS184" s="22">
        <f t="shared" si="169"/>
        <v>10.38501066183049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2.2737367544323206E-13</v>
      </c>
      <c r="BZ184" s="13">
        <f>BY184*VLOOKUP('Données projet'!$B$12,Paramètres!$A$1:$I$89,3,0)*VLOOKUP('Données projet'!$B$12,Paramètres!$A$1:$I$89,5,0)</f>
        <v>1.0049916454590858E-13</v>
      </c>
      <c r="CA184" s="13">
        <f t="shared" si="170"/>
        <v>1.5089081593838289E-12</v>
      </c>
      <c r="CB184" s="20">
        <f t="shared" si="171"/>
        <v>2.8030510891776262E-12</v>
      </c>
      <c r="CC184" s="59">
        <f t="shared" si="119"/>
        <v>293.3333333333361</v>
      </c>
      <c r="CD184" s="59">
        <f ca="1">AVERAGE(OFFSET($CC$3,0,0,'Données projet'!$E$12+1,1))-AVERAGE(OFFSET($H$3,0,0,'Données projet'!$E$12+1,1))</f>
        <v>220.26537310502334</v>
      </c>
      <c r="CE184" s="59">
        <f t="shared" si="148"/>
        <v>233.26853625122016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8.2973379553396285</v>
      </c>
      <c r="CL184" s="21">
        <f>EXP(-LN(2)/25)*CL183+(1-EXP(-LN(2)/25))/(LN(2)/25)*Calculateur!CG184*Calculateur!CI184*VLOOKUP('Données projet'!$B$12,Paramètres!$A$1:$I$89,3,0)*0.475*44/12</f>
        <v>1.5107276697224976</v>
      </c>
      <c r="CM184" s="21">
        <f>EXP(-LN(2)/2)*CM183+(1-EXP(-LN(2)/2))/(LN(2)/2)*CG184*CJ184*VLOOKUP('Données projet'!$B$12,Paramètres!$A$1:$I$89,3,0)*0.475*44/12</f>
        <v>2.945352418426853E-18</v>
      </c>
      <c r="CN184" s="22">
        <f t="shared" si="172"/>
        <v>9.8080656250621256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-1.5961632016114892E-13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263.37813242097957</v>
      </c>
      <c r="T185" s="59">
        <f t="shared" si="142"/>
        <v>314.89350816766904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8.9274819789650781</v>
      </c>
      <c r="AA185" s="21">
        <f>EXP(-LN(2)/25)*AA184+(1-EXP(-LN(2)/25))/(LN(2)/25)*Calculateur!V185*Calculateur!X185*VLOOKUP('Données projet'!$B$9,Paramètres!$A$1:$I$89,3,0)*0.475*44/12</f>
        <v>1.5230117649942367</v>
      </c>
      <c r="AB185" s="21">
        <f>EXP(-LN(2)/2)*AB184+(1-EXP(-LN(2)/2))/(LN(2)/2)*V185*Y185*VLOOKUP('Données projet'!$B$9,Paramètres!$A$1:$I$89,3,0)*0.475*44/12</f>
        <v>8.5565760309909782E-19</v>
      </c>
      <c r="AC185" s="22">
        <f t="shared" si="163"/>
        <v>10.450493743959315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4.5815795601811263E-14</v>
      </c>
      <c r="AK185" s="13">
        <f t="shared" si="164"/>
        <v>7.5374618042508364E-13</v>
      </c>
      <c r="AL185" s="20">
        <f t="shared" si="165"/>
        <v>1.392570441580175E-12</v>
      </c>
      <c r="AM185" s="59">
        <f t="shared" si="113"/>
        <v>293.33333333333468</v>
      </c>
      <c r="AN185" s="59">
        <f ca="1">AVERAGE(OFFSET($AM$3,0,0,'Données projet'!$E$10+1,1))-AVERAGE(OFFSET($H$3,0,0,'Données projet'!$E$10+1,1))</f>
        <v>344.29957955721721</v>
      </c>
      <c r="AO185" s="59">
        <f t="shared" si="144"/>
        <v>297.12790038882594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29.70692199477168</v>
      </c>
      <c r="AV185" s="21">
        <f>EXP(-LN(2)/25)*AV184+(1-EXP(-LN(2)/25))/(LN(2)/25)*Calculateur!AQ185*Calculateur!AS185*VLOOKUP('Données projet'!$B$10,Paramètres!$A$1:$I$89,3,0)*0.475*44/12</f>
        <v>4.5075500100213466</v>
      </c>
      <c r="AW185" s="21">
        <f>EXP(-LN(2)/2)*AW184+(1-EXP(-LN(2)/2))/(LN(2)/2)*AQ185*AT185*VLOOKUP('Données projet'!$B$10,Paramètres!$A$1:$I$89,3,0)*0.475*44/12</f>
        <v>3.6955339152645974E-14</v>
      </c>
      <c r="AX185" s="21">
        <f t="shared" si="166"/>
        <v>34.214472004793059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2.2737367544323206E-13</v>
      </c>
      <c r="BE185" s="13">
        <f>BD185*VLOOKUP('Données projet'!$B$11,Paramètres!$A$1:$I$89,3,0)*VLOOKUP('Données projet'!$B$11,Paramètres!$A$1:$I$89,5,0)</f>
        <v>1.064108801074326E-13</v>
      </c>
      <c r="BF185" s="13">
        <f t="shared" si="167"/>
        <v>1.5870730813698654E-12</v>
      </c>
      <c r="BG185" s="20">
        <f t="shared" si="168"/>
        <v>2.9494845662396269E-12</v>
      </c>
      <c r="BH185" s="59">
        <f t="shared" si="116"/>
        <v>293.33333333333627</v>
      </c>
      <c r="BI185" s="59">
        <f ca="1">AVERAGE(OFFSET($BH$3,0,0,'Données projet'!$E$11+1,1))-AVERAGE(OFFSET($H$3,0,0,'Données projet'!$E$11+1,1))</f>
        <v>234.83702199169585</v>
      </c>
      <c r="BJ185" s="59">
        <f t="shared" si="146"/>
        <v>248.83008816685089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8.6131399964949047</v>
      </c>
      <c r="BQ185" s="21">
        <f>EXP(-LN(2)/25)*BQ184+(1-EXP(-LN(2)/25))/(LN(2)/25)*Calculateur!BL185*Calculateur!BN185*VLOOKUP('Données projet'!$B$11,Paramètres!$A$1:$I$89,3,0)*0.475*44/12</f>
        <v>1.5558530210981163</v>
      </c>
      <c r="BR185" s="21">
        <f>EXP(-LN(2)/2)*BR184+(1-EXP(-LN(2)/2))/(LN(2)/2)*BL185*BO185*VLOOKUP('Données projet'!$B$11,Paramètres!$A$1:$I$89,3,0)*0.475*44/12</f>
        <v>2.2051891779393438E-18</v>
      </c>
      <c r="BS185" s="22">
        <f t="shared" si="169"/>
        <v>10.168993017593021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2.2737367544323206E-13</v>
      </c>
      <c r="BZ185" s="13">
        <f>BY185*VLOOKUP('Données projet'!$B$12,Paramètres!$A$1:$I$89,3,0)*VLOOKUP('Données projet'!$B$12,Paramètres!$A$1:$I$89,5,0)</f>
        <v>1.0049916454590858E-13</v>
      </c>
      <c r="CA185" s="13">
        <f t="shared" si="170"/>
        <v>1.5089081593838289E-12</v>
      </c>
      <c r="CB185" s="20">
        <f t="shared" si="171"/>
        <v>2.8030510891776262E-12</v>
      </c>
      <c r="CC185" s="59">
        <f t="shared" si="119"/>
        <v>293.3333333333361</v>
      </c>
      <c r="CD185" s="59">
        <f ca="1">AVERAGE(OFFSET($CC$3,0,0,'Données projet'!$E$12+1,1))-AVERAGE(OFFSET($H$3,0,0,'Données projet'!$E$12+1,1))</f>
        <v>220.26537310502334</v>
      </c>
      <c r="CE185" s="59">
        <f t="shared" si="148"/>
        <v>233.26853625122016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8.1346322189118503</v>
      </c>
      <c r="CL185" s="21">
        <f>EXP(-LN(2)/25)*CL184+(1-EXP(-LN(2)/25))/(LN(2)/25)*Calculateur!CG185*Calculateur!CI185*VLOOKUP('Données projet'!$B$12,Paramètres!$A$1:$I$89,3,0)*0.475*44/12</f>
        <v>1.4694167421482205</v>
      </c>
      <c r="CM185" s="21">
        <f>EXP(-LN(2)/2)*CM184+(1-EXP(-LN(2)/2))/(LN(2)/2)*CG185*CJ185*VLOOKUP('Données projet'!$B$12,Paramètres!$A$1:$I$89,3,0)*0.475*44/12</f>
        <v>2.0826786680538253E-18</v>
      </c>
      <c r="CN185" s="22">
        <f t="shared" si="172"/>
        <v>9.6040489610600712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-1.5961632016114892E-13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263.37813242097957</v>
      </c>
      <c r="T186" s="59">
        <f t="shared" si="142"/>
        <v>314.89350816766904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8.7524195025839084</v>
      </c>
      <c r="AA186" s="21">
        <f>EXP(-LN(2)/25)*AA185+(1-EXP(-LN(2)/25))/(LN(2)/25)*Calculateur!V186*Calculateur!X186*VLOOKUP('Données projet'!$B$9,Paramètres!$A$1:$I$89,3,0)*0.475*44/12</f>
        <v>1.4813649281887615</v>
      </c>
      <c r="AB186" s="21">
        <f>EXP(-LN(2)/2)*AB185+(1-EXP(-LN(2)/2))/(LN(2)/2)*V186*Y186*VLOOKUP('Données projet'!$B$9,Paramètres!$A$1:$I$89,3,0)*0.475*44/12</f>
        <v>6.0504129352519952E-19</v>
      </c>
      <c r="AC186" s="22">
        <f t="shared" si="163"/>
        <v>10.233784430772669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4.5815795601811263E-14</v>
      </c>
      <c r="AK186" s="13">
        <f t="shared" si="164"/>
        <v>7.5374618042508364E-13</v>
      </c>
      <c r="AL186" s="20">
        <f t="shared" si="165"/>
        <v>1.392570441580175E-12</v>
      </c>
      <c r="AM186" s="59">
        <f t="shared" si="113"/>
        <v>293.33333333333468</v>
      </c>
      <c r="AN186" s="59">
        <f ca="1">AVERAGE(OFFSET($AM$3,0,0,'Données projet'!$E$10+1,1))-AVERAGE(OFFSET($H$3,0,0,'Données projet'!$E$10+1,1))</f>
        <v>344.29957955721721</v>
      </c>
      <c r="AO186" s="59">
        <f t="shared" si="144"/>
        <v>297.12790038882594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29.12438737388748</v>
      </c>
      <c r="AV186" s="21">
        <f>EXP(-LN(2)/25)*AV185+(1-EXP(-LN(2)/25))/(LN(2)/25)*Calculateur!AQ186*Calculateur!AS186*VLOOKUP('Données projet'!$B$10,Paramètres!$A$1:$I$89,3,0)*0.475*44/12</f>
        <v>4.3842908179555602</v>
      </c>
      <c r="AW186" s="21">
        <f>EXP(-LN(2)/2)*AW185+(1-EXP(-LN(2)/2))/(LN(2)/2)*AQ186*AT186*VLOOKUP('Données projet'!$B$10,Paramètres!$A$1:$I$89,3,0)*0.475*44/12</f>
        <v>2.613137091588469E-14</v>
      </c>
      <c r="AX186" s="21">
        <f t="shared" si="166"/>
        <v>33.508678191843067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2.2737367544323206E-13</v>
      </c>
      <c r="BE186" s="13">
        <f>BD186*VLOOKUP('Données projet'!$B$11,Paramètres!$A$1:$I$89,3,0)*VLOOKUP('Données projet'!$B$11,Paramètres!$A$1:$I$89,5,0)</f>
        <v>1.064108801074326E-13</v>
      </c>
      <c r="BF186" s="13">
        <f t="shared" si="167"/>
        <v>1.5870730813698654E-12</v>
      </c>
      <c r="BG186" s="20">
        <f t="shared" si="168"/>
        <v>2.9494845662396269E-12</v>
      </c>
      <c r="BH186" s="59">
        <f t="shared" si="116"/>
        <v>293.33333333333627</v>
      </c>
      <c r="BI186" s="59">
        <f ca="1">AVERAGE(OFFSET($BH$3,0,0,'Données projet'!$E$11+1,1))-AVERAGE(OFFSET($H$3,0,0,'Données projet'!$E$11+1,1))</f>
        <v>234.83702199169585</v>
      </c>
      <c r="BJ186" s="59">
        <f t="shared" si="146"/>
        <v>248.83008816685089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8.4442415746602979</v>
      </c>
      <c r="BQ186" s="21">
        <f>EXP(-LN(2)/25)*BQ185+(1-EXP(-LN(2)/25))/(LN(2)/25)*Calculateur!BL186*Calculateur!BN186*VLOOKUP('Données projet'!$B$11,Paramètres!$A$1:$I$89,3,0)*0.475*44/12</f>
        <v>1.5133081384174338</v>
      </c>
      <c r="BR186" s="21">
        <f>EXP(-LN(2)/2)*BR185+(1-EXP(-LN(2)/2))/(LN(2)/2)*BL186*BO186*VLOOKUP('Données projet'!$B$11,Paramètres!$A$1:$I$89,3,0)*0.475*44/12</f>
        <v>1.5593042215200982E-18</v>
      </c>
      <c r="BS186" s="22">
        <f t="shared" si="169"/>
        <v>9.9575497130777322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2.2737367544323206E-13</v>
      </c>
      <c r="BZ186" s="13">
        <f>BY186*VLOOKUP('Données projet'!$B$12,Paramètres!$A$1:$I$89,3,0)*VLOOKUP('Données projet'!$B$12,Paramètres!$A$1:$I$89,5,0)</f>
        <v>1.0049916454590858E-13</v>
      </c>
      <c r="CA186" s="13">
        <f t="shared" si="170"/>
        <v>1.5089081593838289E-12</v>
      </c>
      <c r="CB186" s="20">
        <f t="shared" si="171"/>
        <v>2.8030510891776262E-12</v>
      </c>
      <c r="CC186" s="59">
        <f t="shared" si="119"/>
        <v>293.3333333333361</v>
      </c>
      <c r="CD186" s="59">
        <f ca="1">AVERAGE(OFFSET($CC$3,0,0,'Données projet'!$E$12+1,1))-AVERAGE(OFFSET($H$3,0,0,'Données projet'!$E$12+1,1))</f>
        <v>220.26537310502334</v>
      </c>
      <c r="CE186" s="59">
        <f t="shared" si="148"/>
        <v>233.26853625122016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7.9751170427347216</v>
      </c>
      <c r="CL186" s="21">
        <f>EXP(-LN(2)/25)*CL185+(1-EXP(-LN(2)/25))/(LN(2)/25)*Calculateur!CG186*Calculateur!CI186*VLOOKUP('Données projet'!$B$12,Paramètres!$A$1:$I$89,3,0)*0.475*44/12</f>
        <v>1.4292354640609093</v>
      </c>
      <c r="CM186" s="21">
        <f>EXP(-LN(2)/2)*CM185+(1-EXP(-LN(2)/2))/(LN(2)/2)*CG186*CJ186*VLOOKUP('Données projet'!$B$12,Paramètres!$A$1:$I$89,3,0)*0.475*44/12</f>
        <v>1.4726762092134265E-18</v>
      </c>
      <c r="CN186" s="22">
        <f t="shared" si="172"/>
        <v>9.4043525067956306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-1.5961632016114892E-13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263.37813242097957</v>
      </c>
      <c r="T187" s="59">
        <f t="shared" si="142"/>
        <v>314.89350816766904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8.5807898945870065</v>
      </c>
      <c r="AA187" s="21">
        <f>EXP(-LN(2)/25)*AA186+(1-EXP(-LN(2)/25))/(LN(2)/25)*Calculateur!V187*Calculateur!X187*VLOOKUP('Données projet'!$B$9,Paramètres!$A$1:$I$89,3,0)*0.475*44/12</f>
        <v>1.4408569263258439</v>
      </c>
      <c r="AB187" s="21">
        <f>EXP(-LN(2)/2)*AB186+(1-EXP(-LN(2)/2))/(LN(2)/2)*V187*Y187*VLOOKUP('Données projet'!$B$9,Paramètres!$A$1:$I$89,3,0)*0.475*44/12</f>
        <v>4.2782880154954896E-19</v>
      </c>
      <c r="AC187" s="22">
        <f t="shared" si="163"/>
        <v>10.021646820912851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4.5815795601811263E-14</v>
      </c>
      <c r="AK187" s="13">
        <f t="shared" si="164"/>
        <v>7.5374618042508364E-13</v>
      </c>
      <c r="AL187" s="20">
        <f t="shared" si="165"/>
        <v>1.392570441580175E-12</v>
      </c>
      <c r="AM187" s="59">
        <f t="shared" si="113"/>
        <v>293.33333333333468</v>
      </c>
      <c r="AN187" s="59">
        <f ca="1">AVERAGE(OFFSET($AM$3,0,0,'Données projet'!$E$10+1,1))-AVERAGE(OFFSET($H$3,0,0,'Données projet'!$E$10+1,1))</f>
        <v>344.29957955721721</v>
      </c>
      <c r="AO187" s="59">
        <f t="shared" si="144"/>
        <v>297.12790038882594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28.553275901607783</v>
      </c>
      <c r="AV187" s="21">
        <f>EXP(-LN(2)/25)*AV186+(1-EXP(-LN(2)/25))/(LN(2)/25)*Calculateur!AQ187*Calculateur!AS187*VLOOKUP('Données projet'!$B$10,Paramètres!$A$1:$I$89,3,0)*0.475*44/12</f>
        <v>4.2644021549787317</v>
      </c>
      <c r="AW187" s="21">
        <f>EXP(-LN(2)/2)*AW186+(1-EXP(-LN(2)/2))/(LN(2)/2)*AQ187*AT187*VLOOKUP('Données projet'!$B$10,Paramètres!$A$1:$I$89,3,0)*0.475*44/12</f>
        <v>1.8477669576322987E-14</v>
      </c>
      <c r="AX187" s="21">
        <f t="shared" si="166"/>
        <v>32.817678056586537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2.2737367544323206E-13</v>
      </c>
      <c r="BE187" s="13">
        <f>BD187*VLOOKUP('Données projet'!$B$11,Paramètres!$A$1:$I$89,3,0)*VLOOKUP('Données projet'!$B$11,Paramètres!$A$1:$I$89,5,0)</f>
        <v>1.064108801074326E-13</v>
      </c>
      <c r="BF187" s="13">
        <f t="shared" si="167"/>
        <v>1.5870730813698654E-12</v>
      </c>
      <c r="BG187" s="20">
        <f t="shared" si="168"/>
        <v>2.9494845662396269E-12</v>
      </c>
      <c r="BH187" s="59">
        <f t="shared" si="116"/>
        <v>293.33333333333627</v>
      </c>
      <c r="BI187" s="59">
        <f ca="1">AVERAGE(OFFSET($BH$3,0,0,'Données projet'!$E$11+1,1))-AVERAGE(OFFSET($H$3,0,0,'Données projet'!$E$11+1,1))</f>
        <v>234.83702199169585</v>
      </c>
      <c r="BJ187" s="59">
        <f t="shared" si="146"/>
        <v>248.83008816685089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8.2786551478600021</v>
      </c>
      <c r="BQ187" s="21">
        <f>EXP(-LN(2)/25)*BQ186+(1-EXP(-LN(2)/25))/(LN(2)/25)*Calculateur!BL187*Calculateur!BN187*VLOOKUP('Données projet'!$B$11,Paramètres!$A$1:$I$89,3,0)*0.475*44/12</f>
        <v>1.4719266477909929</v>
      </c>
      <c r="BR187" s="21">
        <f>EXP(-LN(2)/2)*BR186+(1-EXP(-LN(2)/2))/(LN(2)/2)*BL187*BO187*VLOOKUP('Données projet'!$B$11,Paramètres!$A$1:$I$89,3,0)*0.475*44/12</f>
        <v>1.1025945889696719E-18</v>
      </c>
      <c r="BS187" s="22">
        <f t="shared" si="169"/>
        <v>9.7505817956509944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2.2737367544323206E-13</v>
      </c>
      <c r="BZ187" s="13">
        <f>BY187*VLOOKUP('Données projet'!$B$12,Paramètres!$A$1:$I$89,3,0)*VLOOKUP('Données projet'!$B$12,Paramètres!$A$1:$I$89,5,0)</f>
        <v>1.0049916454590858E-13</v>
      </c>
      <c r="CA187" s="13">
        <f t="shared" si="170"/>
        <v>1.5089081593838289E-12</v>
      </c>
      <c r="CB187" s="20">
        <f t="shared" si="171"/>
        <v>2.8030510891776262E-12</v>
      </c>
      <c r="CC187" s="59">
        <f t="shared" si="119"/>
        <v>293.3333333333361</v>
      </c>
      <c r="CD187" s="59">
        <f ca="1">AVERAGE(OFFSET($CC$3,0,0,'Données projet'!$E$12+1,1))-AVERAGE(OFFSET($H$3,0,0,'Données projet'!$E$12+1,1))</f>
        <v>220.26537310502334</v>
      </c>
      <c r="CE187" s="59">
        <f t="shared" si="148"/>
        <v>233.26853625122016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7.8187298618677756</v>
      </c>
      <c r="CL187" s="21">
        <f>EXP(-LN(2)/25)*CL186+(1-EXP(-LN(2)/25))/(LN(2)/25)*Calculateur!CG187*Calculateur!CI187*VLOOKUP('Données projet'!$B$12,Paramètres!$A$1:$I$89,3,0)*0.475*44/12</f>
        <v>1.3901529451359371</v>
      </c>
      <c r="CM187" s="21">
        <f>EXP(-LN(2)/2)*CM186+(1-EXP(-LN(2)/2))/(LN(2)/2)*CG187*CJ187*VLOOKUP('Données projet'!$B$12,Paramètres!$A$1:$I$89,3,0)*0.475*44/12</f>
        <v>1.0413393340269126E-18</v>
      </c>
      <c r="CN187" s="22">
        <f t="shared" si="172"/>
        <v>9.2088828070037128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-1.5961632016114892E-13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263.37813242097957</v>
      </c>
      <c r="T188" s="59">
        <f t="shared" si="142"/>
        <v>314.89350816766904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8.4125258385191994</v>
      </c>
      <c r="AA188" s="21">
        <f>EXP(-LN(2)/25)*AA187+(1-EXP(-LN(2)/25))/(LN(2)/25)*Calculateur!V188*Calculateur!X188*VLOOKUP('Données projet'!$B$9,Paramètres!$A$1:$I$89,3,0)*0.475*44/12</f>
        <v>1.401456617904091</v>
      </c>
      <c r="AB188" s="21">
        <f>EXP(-LN(2)/2)*AB187+(1-EXP(-LN(2)/2))/(LN(2)/2)*V188*Y188*VLOOKUP('Données projet'!$B$9,Paramètres!$A$1:$I$89,3,0)*0.475*44/12</f>
        <v>3.0252064676259981E-19</v>
      </c>
      <c r="AC188" s="22">
        <f t="shared" si="163"/>
        <v>9.8139824564232896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4.5815795601811263E-14</v>
      </c>
      <c r="AK188" s="13">
        <f t="shared" si="164"/>
        <v>7.5374618042508364E-13</v>
      </c>
      <c r="AL188" s="20">
        <f t="shared" si="165"/>
        <v>1.392570441580175E-12</v>
      </c>
      <c r="AM188" s="59">
        <f t="shared" si="113"/>
        <v>293.33333333333468</v>
      </c>
      <c r="AN188" s="59">
        <f ca="1">AVERAGE(OFFSET($AM$3,0,0,'Données projet'!$E$10+1,1))-AVERAGE(OFFSET($H$3,0,0,'Données projet'!$E$10+1,1))</f>
        <v>344.29957955721721</v>
      </c>
      <c r="AO188" s="59">
        <f t="shared" si="144"/>
        <v>297.12790038882594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27.99336357695589</v>
      </c>
      <c r="AV188" s="21">
        <f>EXP(-LN(2)/25)*AV187+(1-EXP(-LN(2)/25))/(LN(2)/25)*Calculateur!AQ188*Calculateur!AS188*VLOOKUP('Données projet'!$B$10,Paramètres!$A$1:$I$89,3,0)*0.475*44/12</f>
        <v>4.1477918537956757</v>
      </c>
      <c r="AW188" s="21">
        <f>EXP(-LN(2)/2)*AW187+(1-EXP(-LN(2)/2))/(LN(2)/2)*AQ188*AT188*VLOOKUP('Données projet'!$B$10,Paramètres!$A$1:$I$89,3,0)*0.475*44/12</f>
        <v>1.3065685457942345E-14</v>
      </c>
      <c r="AX188" s="21">
        <f t="shared" si="166"/>
        <v>32.141155430751581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2.2737367544323206E-13</v>
      </c>
      <c r="BE188" s="13">
        <f>BD188*VLOOKUP('Données projet'!$B$11,Paramètres!$A$1:$I$89,3,0)*VLOOKUP('Données projet'!$B$11,Paramètres!$A$1:$I$89,5,0)</f>
        <v>1.064108801074326E-13</v>
      </c>
      <c r="BF188" s="13">
        <f t="shared" si="167"/>
        <v>1.5870730813698654E-12</v>
      </c>
      <c r="BG188" s="20">
        <f t="shared" si="168"/>
        <v>2.9494845662396269E-12</v>
      </c>
      <c r="BH188" s="59">
        <f t="shared" si="116"/>
        <v>293.33333333333627</v>
      </c>
      <c r="BI188" s="59">
        <f ca="1">AVERAGE(OFFSET($BH$3,0,0,'Données projet'!$E$11+1,1))-AVERAGE(OFFSET($H$3,0,0,'Données projet'!$E$11+1,1))</f>
        <v>234.83702199169585</v>
      </c>
      <c r="BJ188" s="59">
        <f t="shared" si="146"/>
        <v>248.83008816685089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8.1163157698915125</v>
      </c>
      <c r="BQ188" s="21">
        <f>EXP(-LN(2)/25)*BQ187+(1-EXP(-LN(2)/25))/(LN(2)/25)*Calculateur!BL188*Calculateur!BN188*VLOOKUP('Données projet'!$B$11,Paramètres!$A$1:$I$89,3,0)*0.475*44/12</f>
        <v>1.4316767362018898</v>
      </c>
      <c r="BR188" s="21">
        <f>EXP(-LN(2)/2)*BR187+(1-EXP(-LN(2)/2))/(LN(2)/2)*BL188*BO188*VLOOKUP('Données projet'!$B$11,Paramètres!$A$1:$I$89,3,0)*0.475*44/12</f>
        <v>7.7965211076004911E-19</v>
      </c>
      <c r="BS188" s="22">
        <f t="shared" si="169"/>
        <v>9.5479925060934026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2.2737367544323206E-13</v>
      </c>
      <c r="BZ188" s="13">
        <f>BY188*VLOOKUP('Données projet'!$B$12,Paramètres!$A$1:$I$89,3,0)*VLOOKUP('Données projet'!$B$12,Paramètres!$A$1:$I$89,5,0)</f>
        <v>1.0049916454590858E-13</v>
      </c>
      <c r="CA188" s="13">
        <f t="shared" si="170"/>
        <v>1.5089081593838289E-12</v>
      </c>
      <c r="CB188" s="20">
        <f t="shared" si="171"/>
        <v>2.8030510891776262E-12</v>
      </c>
      <c r="CC188" s="59">
        <f t="shared" si="119"/>
        <v>293.3333333333361</v>
      </c>
      <c r="CD188" s="59">
        <f ca="1">AVERAGE(OFFSET($CC$3,0,0,'Données projet'!$E$12+1,1))-AVERAGE(OFFSET($H$3,0,0,'Données projet'!$E$12+1,1))</f>
        <v>220.26537310502334</v>
      </c>
      <c r="CE188" s="59">
        <f t="shared" si="148"/>
        <v>233.26853625122016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7.6654093382308695</v>
      </c>
      <c r="CL188" s="21">
        <f>EXP(-LN(2)/25)*CL187+(1-EXP(-LN(2)/25))/(LN(2)/25)*Calculateur!CG188*Calculateur!CI188*VLOOKUP('Données projet'!$B$12,Paramètres!$A$1:$I$89,3,0)*0.475*44/12</f>
        <v>1.3521391397462288</v>
      </c>
      <c r="CM188" s="21">
        <f>EXP(-LN(2)/2)*CM187+(1-EXP(-LN(2)/2))/(LN(2)/2)*CG188*CJ188*VLOOKUP('Données projet'!$B$12,Paramètres!$A$1:$I$89,3,0)*0.475*44/12</f>
        <v>7.3633810460671325E-19</v>
      </c>
      <c r="CN188" s="22">
        <f t="shared" si="172"/>
        <v>9.0175484779770976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-1.5961632016114892E-13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263.37813242097957</v>
      </c>
      <c r="T189" s="59">
        <f t="shared" si="142"/>
        <v>314.89350816766904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8.247561337959942</v>
      </c>
      <c r="AA189" s="21">
        <f>EXP(-LN(2)/25)*AA188+(1-EXP(-LN(2)/25))/(LN(2)/25)*Calculateur!V189*Calculateur!X189*VLOOKUP('Données projet'!$B$9,Paramètres!$A$1:$I$89,3,0)*0.475*44/12</f>
        <v>1.3631337129881032</v>
      </c>
      <c r="AB189" s="21">
        <f>EXP(-LN(2)/2)*AB188+(1-EXP(-LN(2)/2))/(LN(2)/2)*V189*Y189*VLOOKUP('Données projet'!$B$9,Paramètres!$A$1:$I$89,3,0)*0.475*44/12</f>
        <v>2.139144007747745E-19</v>
      </c>
      <c r="AC189" s="22">
        <f t="shared" si="163"/>
        <v>9.6106950509480455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4.5815795601811263E-14</v>
      </c>
      <c r="AK189" s="13">
        <f t="shared" si="164"/>
        <v>7.5374618042508364E-13</v>
      </c>
      <c r="AL189" s="20">
        <f t="shared" si="165"/>
        <v>1.392570441580175E-12</v>
      </c>
      <c r="AM189" s="59">
        <f t="shared" si="113"/>
        <v>293.33333333333468</v>
      </c>
      <c r="AN189" s="59">
        <f ca="1">AVERAGE(OFFSET($AM$3,0,0,'Données projet'!$E$10+1,1))-AVERAGE(OFFSET($H$3,0,0,'Données projet'!$E$10+1,1))</f>
        <v>344.29957955721721</v>
      </c>
      <c r="AO189" s="59">
        <f t="shared" si="144"/>
        <v>297.12790038882594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27.444430791477622</v>
      </c>
      <c r="AV189" s="21">
        <f>EXP(-LN(2)/25)*AV188+(1-EXP(-LN(2)/25))/(LN(2)/25)*Calculateur!AQ189*Calculateur!AS189*VLOOKUP('Données projet'!$B$10,Paramètres!$A$1:$I$89,3,0)*0.475*44/12</f>
        <v>4.0343702674307389</v>
      </c>
      <c r="AW189" s="21">
        <f>EXP(-LN(2)/2)*AW188+(1-EXP(-LN(2)/2))/(LN(2)/2)*AQ189*AT189*VLOOKUP('Données projet'!$B$10,Paramètres!$A$1:$I$89,3,0)*0.475*44/12</f>
        <v>9.2388347881614936E-15</v>
      </c>
      <c r="AX189" s="21">
        <f t="shared" si="166"/>
        <v>31.47880105890837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2.2737367544323206E-13</v>
      </c>
      <c r="BE189" s="13">
        <f>BD189*VLOOKUP('Données projet'!$B$11,Paramètres!$A$1:$I$89,3,0)*VLOOKUP('Données projet'!$B$11,Paramètres!$A$1:$I$89,5,0)</f>
        <v>1.064108801074326E-13</v>
      </c>
      <c r="BF189" s="13">
        <f t="shared" si="167"/>
        <v>1.5870730813698654E-12</v>
      </c>
      <c r="BG189" s="20">
        <f t="shared" si="168"/>
        <v>2.9494845662396269E-12</v>
      </c>
      <c r="BH189" s="59">
        <f t="shared" si="116"/>
        <v>293.33333333333627</v>
      </c>
      <c r="BI189" s="59">
        <f ca="1">AVERAGE(OFFSET($BH$3,0,0,'Données projet'!$E$11+1,1))-AVERAGE(OFFSET($H$3,0,0,'Données projet'!$E$11+1,1))</f>
        <v>234.83702199169585</v>
      </c>
      <c r="BJ189" s="59">
        <f t="shared" si="146"/>
        <v>248.83008816685089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7.9571597681077417</v>
      </c>
      <c r="BQ189" s="21">
        <f>EXP(-LN(2)/25)*BQ188+(1-EXP(-LN(2)/25))/(LN(2)/25)*Calculateur!BL189*Calculateur!BN189*VLOOKUP('Données projet'!$B$11,Paramètres!$A$1:$I$89,3,0)*0.475*44/12</f>
        <v>1.3925274605618418</v>
      </c>
      <c r="BR189" s="21">
        <f>EXP(-LN(2)/2)*BR188+(1-EXP(-LN(2)/2))/(LN(2)/2)*BL189*BO189*VLOOKUP('Données projet'!$B$11,Paramètres!$A$1:$I$89,3,0)*0.475*44/12</f>
        <v>5.5129729448483596E-19</v>
      </c>
      <c r="BS189" s="22">
        <f t="shared" si="169"/>
        <v>9.349687228669584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2.2737367544323206E-13</v>
      </c>
      <c r="BZ189" s="13">
        <f>BY189*VLOOKUP('Données projet'!$B$12,Paramètres!$A$1:$I$89,3,0)*VLOOKUP('Données projet'!$B$12,Paramètres!$A$1:$I$89,5,0)</f>
        <v>1.0049916454590858E-13</v>
      </c>
      <c r="CA189" s="13">
        <f t="shared" si="170"/>
        <v>1.5089081593838289E-12</v>
      </c>
      <c r="CB189" s="20">
        <f t="shared" si="171"/>
        <v>2.8030510891776262E-12</v>
      </c>
      <c r="CC189" s="59">
        <f t="shared" si="119"/>
        <v>293.3333333333361</v>
      </c>
      <c r="CD189" s="59">
        <f ca="1">AVERAGE(OFFSET($CC$3,0,0,'Données projet'!$E$12+1,1))-AVERAGE(OFFSET($H$3,0,0,'Données projet'!$E$12+1,1))</f>
        <v>220.26537310502334</v>
      </c>
      <c r="CE189" s="59">
        <f t="shared" si="148"/>
        <v>233.26853625122016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7.5150953365461977</v>
      </c>
      <c r="CL189" s="21">
        <f>EXP(-LN(2)/25)*CL188+(1-EXP(-LN(2)/25))/(LN(2)/25)*Calculateur!CG189*Calculateur!CI189*VLOOKUP('Données projet'!$B$12,Paramètres!$A$1:$I$89,3,0)*0.475*44/12</f>
        <v>1.3151648238639611</v>
      </c>
      <c r="CM189" s="21">
        <f>EXP(-LN(2)/2)*CM188+(1-EXP(-LN(2)/2))/(LN(2)/2)*CG189*CJ189*VLOOKUP('Données projet'!$B$12,Paramètres!$A$1:$I$89,3,0)*0.475*44/12</f>
        <v>5.2066966701345632E-19</v>
      </c>
      <c r="CN189" s="22">
        <f t="shared" si="172"/>
        <v>8.8302601604101589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-1.5961632016114892E-13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263.37813242097957</v>
      </c>
      <c r="T190" s="59">
        <f t="shared" si="142"/>
        <v>314.89350816766904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8.0858316906382424</v>
      </c>
      <c r="AA190" s="21">
        <f>EXP(-LN(2)/25)*AA189+(1-EXP(-LN(2)/25))/(LN(2)/25)*Calculateur!V190*Calculateur!X190*VLOOKUP('Données projet'!$B$9,Paramètres!$A$1:$I$89,3,0)*0.475*44/12</f>
        <v>1.3258587499223571</v>
      </c>
      <c r="AB190" s="21">
        <f>EXP(-LN(2)/2)*AB189+(1-EXP(-LN(2)/2))/(LN(2)/2)*V190*Y190*VLOOKUP('Données projet'!$B$9,Paramètres!$A$1:$I$89,3,0)*0.475*44/12</f>
        <v>1.5126032338129993E-19</v>
      </c>
      <c r="AC190" s="22">
        <f t="shared" si="163"/>
        <v>9.4116904405605997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4.5815795601811263E-14</v>
      </c>
      <c r="AK190" s="13">
        <f t="shared" si="164"/>
        <v>7.5374618042508364E-13</v>
      </c>
      <c r="AL190" s="20">
        <f t="shared" si="165"/>
        <v>1.392570441580175E-12</v>
      </c>
      <c r="AM190" s="59">
        <f t="shared" si="113"/>
        <v>293.33333333333468</v>
      </c>
      <c r="AN190" s="59">
        <f ca="1">AVERAGE(OFFSET($AM$3,0,0,'Données projet'!$E$10+1,1))-AVERAGE(OFFSET($H$3,0,0,'Données projet'!$E$10+1,1))</f>
        <v>344.29957955721721</v>
      </c>
      <c r="AO190" s="59">
        <f t="shared" si="144"/>
        <v>297.12790038882594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26.906262243106646</v>
      </c>
      <c r="AV190" s="21">
        <f>EXP(-LN(2)/25)*AV189+(1-EXP(-LN(2)/25))/(LN(2)/25)*Calculateur!AQ190*Calculateur!AS190*VLOOKUP('Données projet'!$B$10,Paramètres!$A$1:$I$89,3,0)*0.475*44/12</f>
        <v>3.9240502003095337</v>
      </c>
      <c r="AW190" s="21">
        <f>EXP(-LN(2)/2)*AW189+(1-EXP(-LN(2)/2))/(LN(2)/2)*AQ190*AT190*VLOOKUP('Données projet'!$B$10,Paramètres!$A$1:$I$89,3,0)*0.475*44/12</f>
        <v>6.5328427289711725E-15</v>
      </c>
      <c r="AX190" s="21">
        <f t="shared" si="166"/>
        <v>30.830312443416187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2.2737367544323206E-13</v>
      </c>
      <c r="BE190" s="13">
        <f>BD190*VLOOKUP('Données projet'!$B$11,Paramètres!$A$1:$I$89,3,0)*VLOOKUP('Données projet'!$B$11,Paramètres!$A$1:$I$89,5,0)</f>
        <v>1.064108801074326E-13</v>
      </c>
      <c r="BF190" s="13">
        <f t="shared" si="167"/>
        <v>1.5870730813698654E-12</v>
      </c>
      <c r="BG190" s="20">
        <f t="shared" si="168"/>
        <v>2.9494845662396269E-12</v>
      </c>
      <c r="BH190" s="59">
        <f t="shared" si="116"/>
        <v>293.33333333333627</v>
      </c>
      <c r="BI190" s="59">
        <f ca="1">AVERAGE(OFFSET($BH$3,0,0,'Données projet'!$E$11+1,1))-AVERAGE(OFFSET($H$3,0,0,'Données projet'!$E$11+1,1))</f>
        <v>234.83702199169585</v>
      </c>
      <c r="BJ190" s="59">
        <f t="shared" si="146"/>
        <v>248.83008816685089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7.8011247184433747</v>
      </c>
      <c r="BQ190" s="21">
        <f>EXP(-LN(2)/25)*BQ189+(1-EXP(-LN(2)/25))/(LN(2)/25)*Calculateur!BL190*Calculateur!BN190*VLOOKUP('Données projet'!$B$11,Paramètres!$A$1:$I$89,3,0)*0.475*44/12</f>
        <v>1.3544487239229417</v>
      </c>
      <c r="BR190" s="21">
        <f>EXP(-LN(2)/2)*BR189+(1-EXP(-LN(2)/2))/(LN(2)/2)*BL190*BO190*VLOOKUP('Données projet'!$B$11,Paramètres!$A$1:$I$89,3,0)*0.475*44/12</f>
        <v>3.8982605538002456E-19</v>
      </c>
      <c r="BS190" s="22">
        <f t="shared" si="169"/>
        <v>9.1555734423663164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2.2737367544323206E-13</v>
      </c>
      <c r="BZ190" s="13">
        <f>BY190*VLOOKUP('Données projet'!$B$12,Paramètres!$A$1:$I$89,3,0)*VLOOKUP('Données projet'!$B$12,Paramètres!$A$1:$I$89,5,0)</f>
        <v>1.0049916454590858E-13</v>
      </c>
      <c r="CA190" s="13">
        <f t="shared" si="170"/>
        <v>1.5089081593838289E-12</v>
      </c>
      <c r="CB190" s="20">
        <f t="shared" si="171"/>
        <v>2.8030510891776262E-12</v>
      </c>
      <c r="CC190" s="59">
        <f t="shared" si="119"/>
        <v>293.3333333333361</v>
      </c>
      <c r="CD190" s="59">
        <f ca="1">AVERAGE(OFFSET($CC$3,0,0,'Données projet'!$E$12+1,1))-AVERAGE(OFFSET($H$3,0,0,'Données projet'!$E$12+1,1))</f>
        <v>220.26537310502334</v>
      </c>
      <c r="CE190" s="59">
        <f t="shared" si="148"/>
        <v>233.26853625122016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7.3677289007520734</v>
      </c>
      <c r="CL190" s="21">
        <f>EXP(-LN(2)/25)*CL189+(1-EXP(-LN(2)/25))/(LN(2)/25)*Calculateur!CG190*Calculateur!CI190*VLOOKUP('Données projet'!$B$12,Paramètres!$A$1:$I$89,3,0)*0.475*44/12</f>
        <v>1.2792015725938888</v>
      </c>
      <c r="CM190" s="21">
        <f>EXP(-LN(2)/2)*CM189+(1-EXP(-LN(2)/2))/(LN(2)/2)*CG190*CJ190*VLOOKUP('Données projet'!$B$12,Paramètres!$A$1:$I$89,3,0)*0.475*44/12</f>
        <v>3.6816905230335663E-19</v>
      </c>
      <c r="CN190" s="22">
        <f t="shared" si="172"/>
        <v>8.6469304733459627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-1.5961632016114892E-13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263.37813242097957</v>
      </c>
      <c r="T191" s="59">
        <f t="shared" si="142"/>
        <v>314.89350816766904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7.927273463055176</v>
      </c>
      <c r="AA191" s="21">
        <f>EXP(-LN(2)/25)*AA190+(1-EXP(-LN(2)/25))/(LN(2)/25)*Calculateur!V191*Calculateur!X191*VLOOKUP('Données projet'!$B$9,Paramètres!$A$1:$I$89,3,0)*0.475*44/12</f>
        <v>1.2896030726818488</v>
      </c>
      <c r="AB191" s="21">
        <f>EXP(-LN(2)/2)*AB190+(1-EXP(-LN(2)/2))/(LN(2)/2)*V191*Y191*VLOOKUP('Données projet'!$B$9,Paramètres!$A$1:$I$89,3,0)*0.475*44/12</f>
        <v>1.0695720038738728E-19</v>
      </c>
      <c r="AC191" s="22">
        <f t="shared" si="163"/>
        <v>9.2168765357370255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4.5815795601811263E-14</v>
      </c>
      <c r="AK191" s="13">
        <f t="shared" si="164"/>
        <v>7.5374618042508364E-13</v>
      </c>
      <c r="AL191" s="20">
        <f t="shared" si="165"/>
        <v>1.392570441580175E-12</v>
      </c>
      <c r="AM191" s="59">
        <f t="shared" si="113"/>
        <v>293.33333333333468</v>
      </c>
      <c r="AN191" s="59">
        <f ca="1">AVERAGE(OFFSET($AM$3,0,0,'Données projet'!$E$10+1,1))-AVERAGE(OFFSET($H$3,0,0,'Données projet'!$E$10+1,1))</f>
        <v>344.29957955721721</v>
      </c>
      <c r="AO191" s="59">
        <f t="shared" si="144"/>
        <v>297.12790038882594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26.37864685171882</v>
      </c>
      <c r="AV191" s="21">
        <f>EXP(-LN(2)/25)*AV190+(1-EXP(-LN(2)/25))/(LN(2)/25)*Calculateur!AQ191*Calculateur!AS191*VLOOKUP('Données projet'!$B$10,Paramètres!$A$1:$I$89,3,0)*0.475*44/12</f>
        <v>3.8167468412252381</v>
      </c>
      <c r="AW191" s="21">
        <f>EXP(-LN(2)/2)*AW190+(1-EXP(-LN(2)/2))/(LN(2)/2)*AQ191*AT191*VLOOKUP('Données projet'!$B$10,Paramètres!$A$1:$I$89,3,0)*0.475*44/12</f>
        <v>4.6194173940807468E-15</v>
      </c>
      <c r="AX191" s="21">
        <f t="shared" si="166"/>
        <v>30.195393692944062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2.2737367544323206E-13</v>
      </c>
      <c r="BE191" s="13">
        <f>BD191*VLOOKUP('Données projet'!$B$11,Paramètres!$A$1:$I$89,3,0)*VLOOKUP('Données projet'!$B$11,Paramètres!$A$1:$I$89,5,0)</f>
        <v>1.064108801074326E-13</v>
      </c>
      <c r="BF191" s="13">
        <f t="shared" si="167"/>
        <v>1.5870730813698654E-12</v>
      </c>
      <c r="BG191" s="20">
        <f t="shared" si="168"/>
        <v>2.9494845662396269E-12</v>
      </c>
      <c r="BH191" s="59">
        <f t="shared" si="116"/>
        <v>293.33333333333627</v>
      </c>
      <c r="BI191" s="59">
        <f ca="1">AVERAGE(OFFSET($BH$3,0,0,'Données projet'!$E$11+1,1))-AVERAGE(OFFSET($H$3,0,0,'Données projet'!$E$11+1,1))</f>
        <v>234.83702199169585</v>
      </c>
      <c r="BJ191" s="59">
        <f t="shared" si="146"/>
        <v>248.83008816685089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7.6481494209309435</v>
      </c>
      <c r="BQ191" s="21">
        <f>EXP(-LN(2)/25)*BQ190+(1-EXP(-LN(2)/25))/(LN(2)/25)*Calculateur!BL191*Calculateur!BN191*VLOOKUP('Données projet'!$B$11,Paramètres!$A$1:$I$89,3,0)*0.475*44/12</f>
        <v>1.3174112523399062</v>
      </c>
      <c r="BR191" s="21">
        <f>EXP(-LN(2)/2)*BR190+(1-EXP(-LN(2)/2))/(LN(2)/2)*BL191*BO191*VLOOKUP('Données projet'!$B$11,Paramètres!$A$1:$I$89,3,0)*0.475*44/12</f>
        <v>2.7564864724241798E-19</v>
      </c>
      <c r="BS191" s="22">
        <f t="shared" si="169"/>
        <v>8.9655606732708506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2.2737367544323206E-13</v>
      </c>
      <c r="BZ191" s="13">
        <f>BY191*VLOOKUP('Données projet'!$B$12,Paramètres!$A$1:$I$89,3,0)*VLOOKUP('Données projet'!$B$12,Paramètres!$A$1:$I$89,5,0)</f>
        <v>1.0049916454590858E-13</v>
      </c>
      <c r="CA191" s="13">
        <f t="shared" si="170"/>
        <v>1.5089081593838289E-12</v>
      </c>
      <c r="CB191" s="20">
        <f t="shared" si="171"/>
        <v>2.8030510891776262E-12</v>
      </c>
      <c r="CC191" s="59">
        <f t="shared" si="119"/>
        <v>293.3333333333361</v>
      </c>
      <c r="CD191" s="59">
        <f ca="1">AVERAGE(OFFSET($CC$3,0,0,'Données projet'!$E$12+1,1))-AVERAGE(OFFSET($H$3,0,0,'Données projet'!$E$12+1,1))</f>
        <v>220.26537310502334</v>
      </c>
      <c r="CE191" s="59">
        <f t="shared" si="148"/>
        <v>233.26853625122016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7.223252230879222</v>
      </c>
      <c r="CL191" s="21">
        <f>EXP(-LN(2)/25)*CL190+(1-EXP(-LN(2)/25))/(LN(2)/25)*Calculateur!CG191*Calculateur!CI191*VLOOKUP('Données projet'!$B$12,Paramètres!$A$1:$I$89,3,0)*0.475*44/12</f>
        <v>1.2442217383210219</v>
      </c>
      <c r="CM191" s="21">
        <f>EXP(-LN(2)/2)*CM190+(1-EXP(-LN(2)/2))/(LN(2)/2)*CG191*CJ191*VLOOKUP('Données projet'!$B$12,Paramètres!$A$1:$I$89,3,0)*0.475*44/12</f>
        <v>2.6033483350672816E-19</v>
      </c>
      <c r="CN191" s="22">
        <f t="shared" si="172"/>
        <v>8.4674739692002436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-1.5961632016114892E-13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263.37813242097957</v>
      </c>
      <c r="T192" s="59">
        <f t="shared" si="142"/>
        <v>314.89350816766904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7.7718244656040438</v>
      </c>
      <c r="AA192" s="21">
        <f>EXP(-LN(2)/25)*AA191+(1-EXP(-LN(2)/25))/(LN(2)/25)*Calculateur!V192*Calculateur!X192*VLOOKUP('Données projet'!$B$9,Paramètres!$A$1:$I$89,3,0)*0.475*44/12</f>
        <v>1.2543388088420855</v>
      </c>
      <c r="AB192" s="21">
        <f>EXP(-LN(2)/2)*AB191+(1-EXP(-LN(2)/2))/(LN(2)/2)*V192*Y192*VLOOKUP('Données projet'!$B$9,Paramètres!$A$1:$I$89,3,0)*0.475*44/12</f>
        <v>7.5630161690649976E-20</v>
      </c>
      <c r="AC192" s="22">
        <f t="shared" si="163"/>
        <v>9.0261632744461302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4.5815795601811263E-14</v>
      </c>
      <c r="AK192" s="13">
        <f t="shared" si="164"/>
        <v>7.5374618042508364E-13</v>
      </c>
      <c r="AL192" s="20">
        <f t="shared" si="165"/>
        <v>1.392570441580175E-12</v>
      </c>
      <c r="AM192" s="59">
        <f t="shared" si="113"/>
        <v>293.33333333333468</v>
      </c>
      <c r="AN192" s="59">
        <f ca="1">AVERAGE(OFFSET($AM$3,0,0,'Données projet'!$E$10+1,1))-AVERAGE(OFFSET($H$3,0,0,'Données projet'!$E$10+1,1))</f>
        <v>344.29957955721721</v>
      </c>
      <c r="AO192" s="59">
        <f t="shared" si="144"/>
        <v>297.12790038882594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25.861377676342499</v>
      </c>
      <c r="AV192" s="21">
        <f>EXP(-LN(2)/25)*AV191+(1-EXP(-LN(2)/25))/(LN(2)/25)*Calculateur!AQ192*Calculateur!AS192*VLOOKUP('Données projet'!$B$10,Paramètres!$A$1:$I$89,3,0)*0.475*44/12</f>
        <v>3.7123776981379408</v>
      </c>
      <c r="AW192" s="21">
        <f>EXP(-LN(2)/2)*AW191+(1-EXP(-LN(2)/2))/(LN(2)/2)*AQ192*AT192*VLOOKUP('Données projet'!$B$10,Paramètres!$A$1:$I$89,3,0)*0.475*44/12</f>
        <v>3.2664213644855863E-15</v>
      </c>
      <c r="AX192" s="21">
        <f t="shared" si="166"/>
        <v>29.573755374480445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2.2737367544323206E-13</v>
      </c>
      <c r="BE192" s="13">
        <f>BD192*VLOOKUP('Données projet'!$B$11,Paramètres!$A$1:$I$89,3,0)*VLOOKUP('Données projet'!$B$11,Paramètres!$A$1:$I$89,5,0)</f>
        <v>1.064108801074326E-13</v>
      </c>
      <c r="BF192" s="13">
        <f t="shared" si="167"/>
        <v>1.5870730813698654E-12</v>
      </c>
      <c r="BG192" s="20">
        <f t="shared" si="168"/>
        <v>2.9494845662396269E-12</v>
      </c>
      <c r="BH192" s="59">
        <f t="shared" si="116"/>
        <v>293.33333333333627</v>
      </c>
      <c r="BI192" s="59">
        <f ca="1">AVERAGE(OFFSET($BH$3,0,0,'Données projet'!$E$11+1,1))-AVERAGE(OFFSET($H$3,0,0,'Données projet'!$E$11+1,1))</f>
        <v>234.83702199169585</v>
      </c>
      <c r="BJ192" s="59">
        <f t="shared" si="146"/>
        <v>248.83008816685089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7.4981738756970131</v>
      </c>
      <c r="BQ192" s="21">
        <f>EXP(-LN(2)/25)*BQ191+(1-EXP(-LN(2)/25))/(LN(2)/25)*Calculateur!BL192*Calculateur!BN192*VLOOKUP('Données projet'!$B$11,Paramètres!$A$1:$I$89,3,0)*0.475*44/12</f>
        <v>1.2813865723650246</v>
      </c>
      <c r="BR192" s="21">
        <f>EXP(-LN(2)/2)*BR191+(1-EXP(-LN(2)/2))/(LN(2)/2)*BL192*BO192*VLOOKUP('Données projet'!$B$11,Paramètres!$A$1:$I$89,3,0)*0.475*44/12</f>
        <v>1.9491302769001228E-19</v>
      </c>
      <c r="BS192" s="22">
        <f t="shared" si="169"/>
        <v>8.7795604480620373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2.2737367544323206E-13</v>
      </c>
      <c r="BZ192" s="13">
        <f>BY192*VLOOKUP('Données projet'!$B$12,Paramètres!$A$1:$I$89,3,0)*VLOOKUP('Données projet'!$B$12,Paramètres!$A$1:$I$89,5,0)</f>
        <v>1.0049916454590858E-13</v>
      </c>
      <c r="CA192" s="13">
        <f t="shared" si="170"/>
        <v>1.5089081593838289E-12</v>
      </c>
      <c r="CB192" s="20">
        <f t="shared" si="171"/>
        <v>2.8030510891776262E-12</v>
      </c>
      <c r="CC192" s="59">
        <f t="shared" si="119"/>
        <v>293.3333333333361</v>
      </c>
      <c r="CD192" s="59">
        <f ca="1">AVERAGE(OFFSET($CC$3,0,0,'Données projet'!$E$12+1,1))-AVERAGE(OFFSET($H$3,0,0,'Données projet'!$E$12+1,1))</f>
        <v>220.26537310502334</v>
      </c>
      <c r="CE192" s="59">
        <f t="shared" si="148"/>
        <v>233.26853625122016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7.0816086603805095</v>
      </c>
      <c r="CL192" s="21">
        <f>EXP(-LN(2)/25)*CL191+(1-EXP(-LN(2)/25))/(LN(2)/25)*Calculateur!CG192*Calculateur!CI192*VLOOKUP('Données projet'!$B$12,Paramètres!$A$1:$I$89,3,0)*0.475*44/12</f>
        <v>1.2101984294558561</v>
      </c>
      <c r="CM192" s="21">
        <f>EXP(-LN(2)/2)*CM191+(1-EXP(-LN(2)/2))/(LN(2)/2)*CG192*CJ192*VLOOKUP('Données projet'!$B$12,Paramètres!$A$1:$I$89,3,0)*0.475*44/12</f>
        <v>1.8408452615167831E-19</v>
      </c>
      <c r="CN192" s="22">
        <f t="shared" si="172"/>
        <v>8.2918070898363663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-1.5961632016114892E-13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263.37813242097957</v>
      </c>
      <c r="T193" s="59">
        <f t="shared" si="142"/>
        <v>314.89350816766904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7.6194237281784023</v>
      </c>
      <c r="AA193" s="21">
        <f>EXP(-LN(2)/25)*AA192+(1-EXP(-LN(2)/25))/(LN(2)/25)*Calculateur!V193*Calculateur!X193*VLOOKUP('Données projet'!$B$9,Paramètres!$A$1:$I$89,3,0)*0.475*44/12</f>
        <v>1.2200388481514874</v>
      </c>
      <c r="AB193" s="21">
        <f>EXP(-LN(2)/2)*AB192+(1-EXP(-LN(2)/2))/(LN(2)/2)*V193*Y193*VLOOKUP('Données projet'!$B$9,Paramètres!$A$1:$I$89,3,0)*0.475*44/12</f>
        <v>5.3478600193693644E-20</v>
      </c>
      <c r="AC193" s="22">
        <f t="shared" si="163"/>
        <v>8.8394625763298897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4.5815795601811263E-14</v>
      </c>
      <c r="AK193" s="13">
        <f t="shared" si="164"/>
        <v>7.5374618042508364E-13</v>
      </c>
      <c r="AL193" s="20">
        <f t="shared" si="165"/>
        <v>1.392570441580175E-12</v>
      </c>
      <c r="AM193" s="59">
        <f t="shared" si="113"/>
        <v>293.33333333333468</v>
      </c>
      <c r="AN193" s="59">
        <f ca="1">AVERAGE(OFFSET($AM$3,0,0,'Données projet'!$E$10+1,1))-AVERAGE(OFFSET($H$3,0,0,'Données projet'!$E$10+1,1))</f>
        <v>344.29957955721721</v>
      </c>
      <c r="AO193" s="59">
        <f t="shared" si="144"/>
        <v>297.12790038882594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25.354251833992265</v>
      </c>
      <c r="AV193" s="21">
        <f>EXP(-LN(2)/25)*AV192+(1-EXP(-LN(2)/25))/(LN(2)/25)*Calculateur!AQ193*Calculateur!AS193*VLOOKUP('Données projet'!$B$10,Paramètres!$A$1:$I$89,3,0)*0.475*44/12</f>
        <v>3.6108625347569006</v>
      </c>
      <c r="AW193" s="21">
        <f>EXP(-LN(2)/2)*AW192+(1-EXP(-LN(2)/2))/(LN(2)/2)*AQ193*AT193*VLOOKUP('Données projet'!$B$10,Paramètres!$A$1:$I$89,3,0)*0.475*44/12</f>
        <v>2.3097086970403734E-15</v>
      </c>
      <c r="AX193" s="21">
        <f t="shared" si="166"/>
        <v>28.96511436874917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2.2737367544323206E-13</v>
      </c>
      <c r="BE193" s="13">
        <f>BD193*VLOOKUP('Données projet'!$B$11,Paramètres!$A$1:$I$89,3,0)*VLOOKUP('Données projet'!$B$11,Paramètres!$A$1:$I$89,5,0)</f>
        <v>1.064108801074326E-13</v>
      </c>
      <c r="BF193" s="13">
        <f t="shared" si="167"/>
        <v>1.5870730813698654E-12</v>
      </c>
      <c r="BG193" s="20">
        <f t="shared" si="168"/>
        <v>2.9494845662396269E-12</v>
      </c>
      <c r="BH193" s="59">
        <f t="shared" si="116"/>
        <v>293.33333333333627</v>
      </c>
      <c r="BI193" s="59">
        <f ca="1">AVERAGE(OFFSET($BH$3,0,0,'Données projet'!$E$11+1,1))-AVERAGE(OFFSET($H$3,0,0,'Données projet'!$E$11+1,1))</f>
        <v>234.83702199169585</v>
      </c>
      <c r="BJ193" s="59">
        <f t="shared" si="146"/>
        <v>248.83008816685089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7.3511392594290701</v>
      </c>
      <c r="BQ193" s="21">
        <f>EXP(-LN(2)/25)*BQ192+(1-EXP(-LN(2)/25))/(LN(2)/25)*Calculateur!BL193*Calculateur!BN193*VLOOKUP('Données projet'!$B$11,Paramètres!$A$1:$I$89,3,0)*0.475*44/12</f>
        <v>1.2463469891585119</v>
      </c>
      <c r="BR193" s="21">
        <f>EXP(-LN(2)/2)*BR192+(1-EXP(-LN(2)/2))/(LN(2)/2)*BL193*BO193*VLOOKUP('Données projet'!$B$11,Paramètres!$A$1:$I$89,3,0)*0.475*44/12</f>
        <v>1.3782432362120899E-19</v>
      </c>
      <c r="BS193" s="22">
        <f t="shared" si="169"/>
        <v>8.5974862485875825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2.2737367544323206E-13</v>
      </c>
      <c r="BZ193" s="13">
        <f>BY193*VLOOKUP('Données projet'!$B$12,Paramètres!$A$1:$I$89,3,0)*VLOOKUP('Données projet'!$B$12,Paramètres!$A$1:$I$89,5,0)</f>
        <v>1.0049916454590858E-13</v>
      </c>
      <c r="CA193" s="13">
        <f t="shared" si="170"/>
        <v>1.5089081593838289E-12</v>
      </c>
      <c r="CB193" s="20">
        <f t="shared" si="171"/>
        <v>2.8030510891776262E-12</v>
      </c>
      <c r="CC193" s="59">
        <f t="shared" si="119"/>
        <v>293.3333333333361</v>
      </c>
      <c r="CD193" s="59">
        <f ca="1">AVERAGE(OFFSET($CC$3,0,0,'Données projet'!$E$12+1,1))-AVERAGE(OFFSET($H$3,0,0,'Données projet'!$E$12+1,1))</f>
        <v>220.26537310502334</v>
      </c>
      <c r="CE193" s="59">
        <f t="shared" si="148"/>
        <v>233.26853625122016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6.9427426339052296</v>
      </c>
      <c r="CL193" s="21">
        <f>EXP(-LN(2)/25)*CL192+(1-EXP(-LN(2)/25))/(LN(2)/25)*Calculateur!CG193*Calculateur!CI193*VLOOKUP('Données projet'!$B$12,Paramètres!$A$1:$I$89,3,0)*0.475*44/12</f>
        <v>1.1771054897608162</v>
      </c>
      <c r="CM193" s="21">
        <f>EXP(-LN(2)/2)*CM192+(1-EXP(-LN(2)/2))/(LN(2)/2)*CG193*CJ193*VLOOKUP('Données projet'!$B$12,Paramètres!$A$1:$I$89,3,0)*0.475*44/12</f>
        <v>1.3016741675336408E-19</v>
      </c>
      <c r="CN193" s="22">
        <f t="shared" si="172"/>
        <v>8.1198481236660456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-1.5961632016114892E-13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263.37813242097957</v>
      </c>
      <c r="T194" s="59">
        <f t="shared" si="142"/>
        <v>314.89350816766904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7.4700114762584064</v>
      </c>
      <c r="AA194" s="21">
        <f>EXP(-LN(2)/25)*AA193+(1-EXP(-LN(2)/25))/(LN(2)/25)*Calculateur!V194*Calculateur!X194*VLOOKUP('Données projet'!$B$9,Paramètres!$A$1:$I$89,3,0)*0.475*44/12</f>
        <v>1.1866768216897303</v>
      </c>
      <c r="AB194" s="21">
        <f>EXP(-LN(2)/2)*AB193+(1-EXP(-LN(2)/2))/(LN(2)/2)*V194*Y194*VLOOKUP('Données projet'!$B$9,Paramètres!$A$1:$I$89,3,0)*0.475*44/12</f>
        <v>3.7815080845324994E-20</v>
      </c>
      <c r="AC194" s="22">
        <f t="shared" si="163"/>
        <v>8.6566882979481363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4.5815795601811263E-14</v>
      </c>
      <c r="AK194" s="13">
        <f t="shared" si="164"/>
        <v>7.5374618042508364E-13</v>
      </c>
      <c r="AL194" s="20">
        <f t="shared" si="165"/>
        <v>1.392570441580175E-12</v>
      </c>
      <c r="AM194" s="59">
        <f t="shared" si="113"/>
        <v>293.33333333333468</v>
      </c>
      <c r="AN194" s="59">
        <f ca="1">AVERAGE(OFFSET($AM$3,0,0,'Données projet'!$E$10+1,1))-AVERAGE(OFFSET($H$3,0,0,'Données projet'!$E$10+1,1))</f>
        <v>344.29957955721721</v>
      </c>
      <c r="AO194" s="59">
        <f t="shared" si="144"/>
        <v>297.12790038882594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24.857070420094296</v>
      </c>
      <c r="AV194" s="21">
        <f>EXP(-LN(2)/25)*AV193+(1-EXP(-LN(2)/25))/(LN(2)/25)*Calculateur!AQ194*Calculateur!AS194*VLOOKUP('Données projet'!$B$10,Paramètres!$A$1:$I$89,3,0)*0.475*44/12</f>
        <v>3.5121233088569652</v>
      </c>
      <c r="AW194" s="21">
        <f>EXP(-LN(2)/2)*AW193+(1-EXP(-LN(2)/2))/(LN(2)/2)*AQ194*AT194*VLOOKUP('Données projet'!$B$10,Paramètres!$A$1:$I$89,3,0)*0.475*44/12</f>
        <v>1.6332106822427931E-15</v>
      </c>
      <c r="AX194" s="21">
        <f t="shared" si="166"/>
        <v>28.369193728951259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2.2737367544323206E-13</v>
      </c>
      <c r="BE194" s="13">
        <f>BD194*VLOOKUP('Données projet'!$B$11,Paramètres!$A$1:$I$89,3,0)*VLOOKUP('Données projet'!$B$11,Paramètres!$A$1:$I$89,5,0)</f>
        <v>1.064108801074326E-13</v>
      </c>
      <c r="BF194" s="13">
        <f t="shared" si="167"/>
        <v>1.5870730813698654E-12</v>
      </c>
      <c r="BG194" s="20">
        <f t="shared" si="168"/>
        <v>2.9494845662396269E-12</v>
      </c>
      <c r="BH194" s="59">
        <f t="shared" si="116"/>
        <v>293.33333333333627</v>
      </c>
      <c r="BI194" s="59">
        <f ca="1">AVERAGE(OFFSET($BH$3,0,0,'Données projet'!$E$11+1,1))-AVERAGE(OFFSET($H$3,0,0,'Données projet'!$E$11+1,1))</f>
        <v>234.83702199169585</v>
      </c>
      <c r="BJ194" s="59">
        <f t="shared" si="146"/>
        <v>248.83008816685089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7.2069879023038803</v>
      </c>
      <c r="BQ194" s="21">
        <f>EXP(-LN(2)/25)*BQ193+(1-EXP(-LN(2)/25))/(LN(2)/25)*Calculateur!BL194*Calculateur!BN194*VLOOKUP('Données projet'!$B$11,Paramètres!$A$1:$I$89,3,0)*0.475*44/12</f>
        <v>1.2122655651974328</v>
      </c>
      <c r="BR194" s="21">
        <f>EXP(-LN(2)/2)*BR193+(1-EXP(-LN(2)/2))/(LN(2)/2)*BL194*BO194*VLOOKUP('Données projet'!$B$11,Paramètres!$A$1:$I$89,3,0)*0.475*44/12</f>
        <v>9.7456513845006139E-20</v>
      </c>
      <c r="BS194" s="22">
        <f t="shared" si="169"/>
        <v>8.4192534675013135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2.2737367544323206E-13</v>
      </c>
      <c r="BZ194" s="13">
        <f>BY194*VLOOKUP('Données projet'!$B$12,Paramètres!$A$1:$I$89,3,0)*VLOOKUP('Données projet'!$B$12,Paramètres!$A$1:$I$89,5,0)</f>
        <v>1.0049916454590858E-13</v>
      </c>
      <c r="CA194" s="13">
        <f t="shared" si="170"/>
        <v>1.5089081593838289E-12</v>
      </c>
      <c r="CB194" s="20">
        <f t="shared" si="171"/>
        <v>2.8030510891776262E-12</v>
      </c>
      <c r="CC194" s="59">
        <f t="shared" si="119"/>
        <v>293.3333333333361</v>
      </c>
      <c r="CD194" s="59">
        <f ca="1">AVERAGE(OFFSET($CC$3,0,0,'Données projet'!$E$12+1,1))-AVERAGE(OFFSET($H$3,0,0,'Données projet'!$E$12+1,1))</f>
        <v>220.26537310502334</v>
      </c>
      <c r="CE194" s="59">
        <f t="shared" si="148"/>
        <v>233.26853625122016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6.8065996855092177</v>
      </c>
      <c r="CL194" s="21">
        <f>EXP(-LN(2)/25)*CL193+(1-EXP(-LN(2)/25))/(LN(2)/25)*Calculateur!CG194*Calculateur!CI194*VLOOKUP('Données projet'!$B$12,Paramètres!$A$1:$I$89,3,0)*0.475*44/12</f>
        <v>1.1449174782420193</v>
      </c>
      <c r="CM194" s="21">
        <f>EXP(-LN(2)/2)*CM193+(1-EXP(-LN(2)/2))/(LN(2)/2)*CG194*CJ194*VLOOKUP('Données projet'!$B$12,Paramètres!$A$1:$I$89,3,0)*0.475*44/12</f>
        <v>9.2042263075839156E-20</v>
      </c>
      <c r="CN194" s="22">
        <f t="shared" si="172"/>
        <v>7.9515171637512374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-1.5961632016114892E-13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263.37813242097957</v>
      </c>
      <c r="T195" s="59">
        <f t="shared" si="142"/>
        <v>314.89350816766904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7.3235291074660864</v>
      </c>
      <c r="AA195" s="21">
        <f>EXP(-LN(2)/25)*AA194+(1-EXP(-LN(2)/25))/(LN(2)/25)*Calculateur!V195*Calculateur!X195*VLOOKUP('Données projet'!$B$9,Paramètres!$A$1:$I$89,3,0)*0.475*44/12</f>
        <v>1.1542270815960027</v>
      </c>
      <c r="AB195" s="21">
        <f>EXP(-LN(2)/2)*AB194+(1-EXP(-LN(2)/2))/(LN(2)/2)*V195*Y195*VLOOKUP('Données projet'!$B$9,Paramètres!$A$1:$I$89,3,0)*0.475*44/12</f>
        <v>2.6739300096846828E-20</v>
      </c>
      <c r="AC195" s="22">
        <f t="shared" si="163"/>
        <v>8.4777561890620898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4.5815795601811263E-14</v>
      </c>
      <c r="AK195" s="13">
        <f t="shared" si="164"/>
        <v>7.5374618042508364E-13</v>
      </c>
      <c r="AL195" s="20">
        <f t="shared" si="165"/>
        <v>1.392570441580175E-12</v>
      </c>
      <c r="AM195" s="59">
        <f t="shared" si="113"/>
        <v>293.33333333333468</v>
      </c>
      <c r="AN195" s="59">
        <f ca="1">AVERAGE(OFFSET($AM$3,0,0,'Données projet'!$E$10+1,1))-AVERAGE(OFFSET($H$3,0,0,'Données projet'!$E$10+1,1))</f>
        <v>344.29957955721721</v>
      </c>
      <c r="AO195" s="59">
        <f t="shared" si="144"/>
        <v>297.12790038882594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24.369638430472147</v>
      </c>
      <c r="AV195" s="21">
        <f>EXP(-LN(2)/25)*AV194+(1-EXP(-LN(2)/25))/(LN(2)/25)*Calculateur!AQ195*Calculateur!AS195*VLOOKUP('Données projet'!$B$10,Paramètres!$A$1:$I$89,3,0)*0.475*44/12</f>
        <v>3.4160841122817338</v>
      </c>
      <c r="AW195" s="21">
        <f>EXP(-LN(2)/2)*AW194+(1-EXP(-LN(2)/2))/(LN(2)/2)*AQ195*AT195*VLOOKUP('Données projet'!$B$10,Paramètres!$A$1:$I$89,3,0)*0.475*44/12</f>
        <v>1.1548543485201867E-15</v>
      </c>
      <c r="AX195" s="21">
        <f t="shared" si="166"/>
        <v>27.785722542753881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2.2737367544323206E-13</v>
      </c>
      <c r="BE195" s="13">
        <f>BD195*VLOOKUP('Données projet'!$B$11,Paramètres!$A$1:$I$89,3,0)*VLOOKUP('Données projet'!$B$11,Paramètres!$A$1:$I$89,5,0)</f>
        <v>1.064108801074326E-13</v>
      </c>
      <c r="BF195" s="13">
        <f t="shared" si="167"/>
        <v>1.5870730813698654E-12</v>
      </c>
      <c r="BG195" s="20">
        <f t="shared" si="168"/>
        <v>2.9494845662396269E-12</v>
      </c>
      <c r="BH195" s="59">
        <f t="shared" si="116"/>
        <v>293.33333333333627</v>
      </c>
      <c r="BI195" s="59">
        <f ca="1">AVERAGE(OFFSET($BH$3,0,0,'Données projet'!$E$11+1,1))-AVERAGE(OFFSET($H$3,0,0,'Données projet'!$E$11+1,1))</f>
        <v>234.83702199169585</v>
      </c>
      <c r="BJ195" s="59">
        <f t="shared" si="146"/>
        <v>248.83008816685089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7.0656632653682694</v>
      </c>
      <c r="BQ195" s="21">
        <f>EXP(-LN(2)/25)*BQ194+(1-EXP(-LN(2)/25))/(LN(2)/25)*Calculateur!BL195*Calculateur!BN195*VLOOKUP('Données projet'!$B$11,Paramètres!$A$1:$I$89,3,0)*0.475*44/12</f>
        <v>1.1791160995668335</v>
      </c>
      <c r="BR195" s="21">
        <f>EXP(-LN(2)/2)*BR194+(1-EXP(-LN(2)/2))/(LN(2)/2)*BL195*BO195*VLOOKUP('Données projet'!$B$11,Paramètres!$A$1:$I$89,3,0)*0.475*44/12</f>
        <v>6.8912161810604495E-20</v>
      </c>
      <c r="BS195" s="22">
        <f t="shared" si="169"/>
        <v>8.244779364935102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2.2737367544323206E-13</v>
      </c>
      <c r="BZ195" s="13">
        <f>BY195*VLOOKUP('Données projet'!$B$12,Paramètres!$A$1:$I$89,3,0)*VLOOKUP('Données projet'!$B$12,Paramètres!$A$1:$I$89,5,0)</f>
        <v>1.0049916454590858E-13</v>
      </c>
      <c r="CA195" s="13">
        <f t="shared" si="170"/>
        <v>1.5089081593838289E-12</v>
      </c>
      <c r="CB195" s="20">
        <f t="shared" si="171"/>
        <v>2.8030510891776262E-12</v>
      </c>
      <c r="CC195" s="59">
        <f t="shared" si="119"/>
        <v>293.3333333333361</v>
      </c>
      <c r="CD195" s="59">
        <f ca="1">AVERAGE(OFFSET($CC$3,0,0,'Données projet'!$E$12+1,1))-AVERAGE(OFFSET($H$3,0,0,'Données projet'!$E$12+1,1))</f>
        <v>220.26537310502334</v>
      </c>
      <c r="CE195" s="59">
        <f t="shared" si="148"/>
        <v>233.26853625122016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6.6731264172922522</v>
      </c>
      <c r="CL195" s="21">
        <f>EXP(-LN(2)/25)*CL194+(1-EXP(-LN(2)/25))/(LN(2)/25)*Calculateur!CG195*Calculateur!CI195*VLOOKUP('Données projet'!$B$12,Paramètres!$A$1:$I$89,3,0)*0.475*44/12</f>
        <v>1.1136096495908978</v>
      </c>
      <c r="CM195" s="21">
        <f>EXP(-LN(2)/2)*CM194+(1-EXP(-LN(2)/2))/(LN(2)/2)*CG195*CJ195*VLOOKUP('Données projet'!$B$12,Paramètres!$A$1:$I$89,3,0)*0.475*44/12</f>
        <v>6.508370837668204E-20</v>
      </c>
      <c r="CN195" s="22">
        <f t="shared" si="172"/>
        <v>7.78673606688315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-1.5961632016114892E-13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263.37813242097957</v>
      </c>
      <c r="T196" s="59">
        <f t="shared" si="142"/>
        <v>314.89350816766904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7.1799191685803612</v>
      </c>
      <c r="AA196" s="21">
        <f>EXP(-LN(2)/25)*AA195+(1-EXP(-LN(2)/25))/(LN(2)/25)*Calculateur!V196*Calculateur!X196*VLOOKUP('Données projet'!$B$9,Paramètres!$A$1:$I$89,3,0)*0.475*44/12</f>
        <v>1.1226646813515959</v>
      </c>
      <c r="AB196" s="21">
        <f>EXP(-LN(2)/2)*AB195+(1-EXP(-LN(2)/2))/(LN(2)/2)*V196*Y196*VLOOKUP('Données projet'!$B$9,Paramètres!$A$1:$I$89,3,0)*0.475*44/12</f>
        <v>1.89075404226625E-20</v>
      </c>
      <c r="AC196" s="22">
        <f t="shared" si="163"/>
        <v>8.3025838499319562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4.5815795601811263E-14</v>
      </c>
      <c r="AK196" s="13">
        <f t="shared" si="164"/>
        <v>7.5374618042508364E-13</v>
      </c>
      <c r="AL196" s="20">
        <f t="shared" si="165"/>
        <v>1.392570441580175E-12</v>
      </c>
      <c r="AM196" s="59">
        <f t="shared" ref="AM196:AM203" si="193">AL196+(AD196+AE196)*44/12</f>
        <v>293.33333333333468</v>
      </c>
      <c r="AN196" s="59">
        <f ca="1">AVERAGE(OFFSET($AM$3,0,0,'Données projet'!$E$10+1,1))-AVERAGE(OFFSET($H$3,0,0,'Données projet'!$E$10+1,1))</f>
        <v>344.29957955721721</v>
      </c>
      <c r="AO196" s="59">
        <f t="shared" si="144"/>
        <v>297.12790038882594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23.891764684862331</v>
      </c>
      <c r="AV196" s="21">
        <f>EXP(-LN(2)/25)*AV195+(1-EXP(-LN(2)/25))/(LN(2)/25)*Calculateur!AQ196*Calculateur!AS196*VLOOKUP('Données projet'!$B$10,Paramètres!$A$1:$I$89,3,0)*0.475*44/12</f>
        <v>3.3226711125873338</v>
      </c>
      <c r="AW196" s="21">
        <f>EXP(-LN(2)/2)*AW195+(1-EXP(-LN(2)/2))/(LN(2)/2)*AQ196*AT196*VLOOKUP('Données projet'!$B$10,Paramètres!$A$1:$I$89,3,0)*0.475*44/12</f>
        <v>8.1660534112139656E-16</v>
      </c>
      <c r="AX196" s="21">
        <f t="shared" si="166"/>
        <v>27.214435797449664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2.2737367544323206E-13</v>
      </c>
      <c r="BE196" s="13">
        <f>BD196*VLOOKUP('Données projet'!$B$11,Paramètres!$A$1:$I$89,3,0)*VLOOKUP('Données projet'!$B$11,Paramètres!$A$1:$I$89,5,0)</f>
        <v>1.064108801074326E-13</v>
      </c>
      <c r="BF196" s="13">
        <f t="shared" si="167"/>
        <v>1.5870730813698654E-12</v>
      </c>
      <c r="BG196" s="20">
        <f t="shared" si="168"/>
        <v>2.9494845662396269E-12</v>
      </c>
      <c r="BH196" s="59">
        <f t="shared" ref="BH196:BH203" si="194">BG196+(AY196+AZ196)*44/12</f>
        <v>293.33333333333627</v>
      </c>
      <c r="BI196" s="59">
        <f ca="1">AVERAGE(OFFSET($BH$3,0,0,'Données projet'!$E$11+1,1))-AVERAGE(OFFSET($H$3,0,0,'Données projet'!$E$11+1,1))</f>
        <v>234.83702199169585</v>
      </c>
      <c r="BJ196" s="59">
        <f t="shared" si="146"/>
        <v>248.83008816685089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6.927109918363449</v>
      </c>
      <c r="BQ196" s="21">
        <f>EXP(-LN(2)/25)*BQ195+(1-EXP(-LN(2)/25))/(LN(2)/25)*Calculateur!BL196*Calculateur!BN196*VLOOKUP('Données projet'!$B$11,Paramètres!$A$1:$I$89,3,0)*0.475*44/12</f>
        <v>1.1468731078171577</v>
      </c>
      <c r="BR196" s="21">
        <f>EXP(-LN(2)/2)*BR195+(1-EXP(-LN(2)/2))/(LN(2)/2)*BL196*BO196*VLOOKUP('Données projet'!$B$11,Paramètres!$A$1:$I$89,3,0)*0.475*44/12</f>
        <v>4.872825692250307E-20</v>
      </c>
      <c r="BS196" s="22">
        <f t="shared" si="169"/>
        <v>8.0739830261806063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2.2737367544323206E-13</v>
      </c>
      <c r="BZ196" s="13">
        <f>BY196*VLOOKUP('Données projet'!$B$12,Paramètres!$A$1:$I$89,3,0)*VLOOKUP('Données projet'!$B$12,Paramètres!$A$1:$I$89,5,0)</f>
        <v>1.0049916454590858E-13</v>
      </c>
      <c r="CA196" s="13">
        <f t="shared" si="170"/>
        <v>1.5089081593838289E-12</v>
      </c>
      <c r="CB196" s="20">
        <f t="shared" si="171"/>
        <v>2.8030510891776262E-12</v>
      </c>
      <c r="CC196" s="59">
        <f t="shared" ref="CC196:CC203" si="195">CB196+(BT196+BU196)*44/12</f>
        <v>293.3333333333361</v>
      </c>
      <c r="CD196" s="59">
        <f ca="1">AVERAGE(OFFSET($CC$3,0,0,'Données projet'!$E$12+1,1))-AVERAGE(OFFSET($H$3,0,0,'Données projet'!$E$12+1,1))</f>
        <v>220.26537310502334</v>
      </c>
      <c r="CE196" s="59">
        <f t="shared" si="148"/>
        <v>233.26853625122016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6.5422704784543662</v>
      </c>
      <c r="CL196" s="21">
        <f>EXP(-LN(2)/25)*CL195+(1-EXP(-LN(2)/25))/(LN(2)/25)*Calculateur!CG196*Calculateur!CI196*VLOOKUP('Données projet'!$B$12,Paramètres!$A$1:$I$89,3,0)*0.475*44/12</f>
        <v>1.0831579351606484</v>
      </c>
      <c r="CM196" s="21">
        <f>EXP(-LN(2)/2)*CM195+(1-EXP(-LN(2)/2))/(LN(2)/2)*CG196*CJ196*VLOOKUP('Données projet'!$B$12,Paramètres!$A$1:$I$89,3,0)*0.475*44/12</f>
        <v>4.6021131537919578E-20</v>
      </c>
      <c r="CN196" s="22">
        <f t="shared" si="172"/>
        <v>7.6254284136150146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-1.5961632016114892E-13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263.37813242097957</v>
      </c>
      <c r="T197" s="59">
        <f t="shared" ref="T197:T203" si="204">$T$3</f>
        <v>314.89350816766904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7.0391253330027714</v>
      </c>
      <c r="AA197" s="21">
        <f>EXP(-LN(2)/25)*AA196+(1-EXP(-LN(2)/25))/(LN(2)/25)*Calculateur!V197*Calculateur!X197*VLOOKUP('Données projet'!$B$9,Paramètres!$A$1:$I$89,3,0)*0.475*44/12</f>
        <v>1.0919653566016667</v>
      </c>
      <c r="AB197" s="21">
        <f>EXP(-LN(2)/2)*AB196+(1-EXP(-LN(2)/2))/(LN(2)/2)*V197*Y197*VLOOKUP('Données projet'!$B$9,Paramètres!$A$1:$I$89,3,0)*0.475*44/12</f>
        <v>1.3369650048423415E-20</v>
      </c>
      <c r="AC197" s="22">
        <f t="shared" si="163"/>
        <v>8.1310906896044379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4.5815795601811263E-14</v>
      </c>
      <c r="AK197" s="13">
        <f t="shared" si="164"/>
        <v>7.5374618042508364E-13</v>
      </c>
      <c r="AL197" s="20">
        <f t="shared" si="165"/>
        <v>1.392570441580175E-12</v>
      </c>
      <c r="AM197" s="59">
        <f t="shared" si="193"/>
        <v>293.33333333333468</v>
      </c>
      <c r="AN197" s="59">
        <f ca="1">AVERAGE(OFFSET($AM$3,0,0,'Données projet'!$E$10+1,1))-AVERAGE(OFFSET($H$3,0,0,'Données projet'!$E$10+1,1))</f>
        <v>344.29957955721721</v>
      </c>
      <c r="AO197" s="59">
        <f t="shared" ref="AO197:AO203" si="205">$AO$3</f>
        <v>297.12790038882594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23.423261751929719</v>
      </c>
      <c r="AV197" s="21">
        <f>EXP(-LN(2)/25)*AV196+(1-EXP(-LN(2)/25))/(LN(2)/25)*Calculateur!AQ197*Calculateur!AS197*VLOOKUP('Données projet'!$B$10,Paramètres!$A$1:$I$89,3,0)*0.475*44/12</f>
        <v>3.2318124962819534</v>
      </c>
      <c r="AW197" s="21">
        <f>EXP(-LN(2)/2)*AW196+(1-EXP(-LN(2)/2))/(LN(2)/2)*AQ197*AT197*VLOOKUP('Données projet'!$B$10,Paramètres!$A$1:$I$89,3,0)*0.475*44/12</f>
        <v>5.7742717426009335E-16</v>
      </c>
      <c r="AX197" s="21">
        <f t="shared" si="166"/>
        <v>26.655074248211672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2.2737367544323206E-13</v>
      </c>
      <c r="BE197" s="13">
        <f>BD197*VLOOKUP('Données projet'!$B$11,Paramètres!$A$1:$I$89,3,0)*VLOOKUP('Données projet'!$B$11,Paramètres!$A$1:$I$89,5,0)</f>
        <v>1.064108801074326E-13</v>
      </c>
      <c r="BF197" s="13">
        <f t="shared" si="167"/>
        <v>1.5870730813698654E-12</v>
      </c>
      <c r="BG197" s="20">
        <f t="shared" si="168"/>
        <v>2.9494845662396269E-12</v>
      </c>
      <c r="BH197" s="59">
        <f t="shared" si="194"/>
        <v>293.33333333333627</v>
      </c>
      <c r="BI197" s="59">
        <f ca="1">AVERAGE(OFFSET($BH$3,0,0,'Données projet'!$E$11+1,1))-AVERAGE(OFFSET($H$3,0,0,'Données projet'!$E$11+1,1))</f>
        <v>234.83702199169585</v>
      </c>
      <c r="BJ197" s="59">
        <f t="shared" ref="BJ197:BJ203" si="206">$BJ$3</f>
        <v>248.83008816685089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6.7912735179841963</v>
      </c>
      <c r="BQ197" s="21">
        <f>EXP(-LN(2)/25)*BQ196+(1-EXP(-LN(2)/25))/(LN(2)/25)*Calculateur!BL197*Calculateur!BN197*VLOOKUP('Données projet'!$B$11,Paramètres!$A$1:$I$89,3,0)*0.475*44/12</f>
        <v>1.1155118023724619</v>
      </c>
      <c r="BR197" s="21">
        <f>EXP(-LN(2)/2)*BR196+(1-EXP(-LN(2)/2))/(LN(2)/2)*BL197*BO197*VLOOKUP('Données projet'!$B$11,Paramètres!$A$1:$I$89,3,0)*0.475*44/12</f>
        <v>3.4456080905302247E-20</v>
      </c>
      <c r="BS197" s="22">
        <f t="shared" si="169"/>
        <v>7.9067853203566578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2.2737367544323206E-13</v>
      </c>
      <c r="BZ197" s="13">
        <f>BY197*VLOOKUP('Données projet'!$B$12,Paramètres!$A$1:$I$89,3,0)*VLOOKUP('Données projet'!$B$12,Paramètres!$A$1:$I$89,5,0)</f>
        <v>1.0049916454590858E-13</v>
      </c>
      <c r="CA197" s="13">
        <f t="shared" si="170"/>
        <v>1.5089081593838289E-12</v>
      </c>
      <c r="CB197" s="20">
        <f t="shared" si="171"/>
        <v>2.8030510891776262E-12</v>
      </c>
      <c r="CC197" s="59">
        <f t="shared" si="195"/>
        <v>293.3333333333361</v>
      </c>
      <c r="CD197" s="59">
        <f ca="1">AVERAGE(OFFSET($CC$3,0,0,'Données projet'!$E$12+1,1))-AVERAGE(OFFSET($H$3,0,0,'Données projet'!$E$12+1,1))</f>
        <v>220.26537310502334</v>
      </c>
      <c r="CE197" s="59">
        <f t="shared" ref="CE197:CE203" si="207">$CE$3</f>
        <v>233.26853625122016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6.4139805447628495</v>
      </c>
      <c r="CL197" s="21">
        <f>EXP(-LN(2)/25)*CL196+(1-EXP(-LN(2)/25))/(LN(2)/25)*Calculateur!CG197*Calculateur!CI197*VLOOKUP('Données projet'!$B$12,Paramètres!$A$1:$I$89,3,0)*0.475*44/12</f>
        <v>1.0535389244628803</v>
      </c>
      <c r="CM197" s="21">
        <f>EXP(-LN(2)/2)*CM196+(1-EXP(-LN(2)/2))/(LN(2)/2)*CG197*CJ197*VLOOKUP('Données projet'!$B$12,Paramètres!$A$1:$I$89,3,0)*0.475*44/12</f>
        <v>3.254185418834102E-20</v>
      </c>
      <c r="CN197" s="22">
        <f t="shared" si="172"/>
        <v>7.4675194692257296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-1.5961632016114892E-13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263.37813242097957</v>
      </c>
      <c r="T198" s="59">
        <f t="shared" si="204"/>
        <v>314.89350816766904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6.9010923786650977</v>
      </c>
      <c r="AA198" s="21">
        <f>EXP(-LN(2)/25)*AA197+(1-EXP(-LN(2)/25))/(LN(2)/25)*Calculateur!V198*Calculateur!X198*VLOOKUP('Données projet'!$B$9,Paramètres!$A$1:$I$89,3,0)*0.475*44/12</f>
        <v>1.0621055065014318</v>
      </c>
      <c r="AB198" s="21">
        <f>EXP(-LN(2)/2)*AB197+(1-EXP(-LN(2)/2))/(LN(2)/2)*V198*Y198*VLOOKUP('Données projet'!$B$9,Paramètres!$A$1:$I$89,3,0)*0.475*44/12</f>
        <v>9.4537702113312515E-21</v>
      </c>
      <c r="AC198" s="22">
        <f t="shared" si="163"/>
        <v>7.9631978851665295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4.5815795601811263E-14</v>
      </c>
      <c r="AK198" s="13">
        <f t="shared" si="164"/>
        <v>7.5374618042508364E-13</v>
      </c>
      <c r="AL198" s="20">
        <f t="shared" si="165"/>
        <v>1.392570441580175E-12</v>
      </c>
      <c r="AM198" s="59">
        <f t="shared" si="193"/>
        <v>293.33333333333468</v>
      </c>
      <c r="AN198" s="59">
        <f ca="1">AVERAGE(OFFSET($AM$3,0,0,'Données projet'!$E$10+1,1))-AVERAGE(OFFSET($H$3,0,0,'Données projet'!$E$10+1,1))</f>
        <v>344.29957955721721</v>
      </c>
      <c r="AO198" s="59">
        <f t="shared" si="205"/>
        <v>297.12790038882594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22.963945875753343</v>
      </c>
      <c r="AV198" s="21">
        <f>EXP(-LN(2)/25)*AV197+(1-EXP(-LN(2)/25))/(LN(2)/25)*Calculateur!AQ198*Calculateur!AS198*VLOOKUP('Données projet'!$B$10,Paramètres!$A$1:$I$89,3,0)*0.475*44/12</f>
        <v>3.1434384136174907</v>
      </c>
      <c r="AW198" s="21">
        <f>EXP(-LN(2)/2)*AW197+(1-EXP(-LN(2)/2))/(LN(2)/2)*AQ198*AT198*VLOOKUP('Données projet'!$B$10,Paramètres!$A$1:$I$89,3,0)*0.475*44/12</f>
        <v>4.0830267056069828E-16</v>
      </c>
      <c r="AX198" s="21">
        <f t="shared" si="166"/>
        <v>26.107384289370835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2.2737367544323206E-13</v>
      </c>
      <c r="BE198" s="13">
        <f>BD198*VLOOKUP('Données projet'!$B$11,Paramètres!$A$1:$I$89,3,0)*VLOOKUP('Données projet'!$B$11,Paramètres!$A$1:$I$89,5,0)</f>
        <v>1.064108801074326E-13</v>
      </c>
      <c r="BF198" s="13">
        <f t="shared" si="167"/>
        <v>1.5870730813698654E-12</v>
      </c>
      <c r="BG198" s="20">
        <f t="shared" si="168"/>
        <v>2.9494845662396269E-12</v>
      </c>
      <c r="BH198" s="59">
        <f t="shared" si="194"/>
        <v>293.33333333333627</v>
      </c>
      <c r="BI198" s="59">
        <f ca="1">AVERAGE(OFFSET($BH$3,0,0,'Données projet'!$E$11+1,1))-AVERAGE(OFFSET($H$3,0,0,'Données projet'!$E$11+1,1))</f>
        <v>234.83702199169585</v>
      </c>
      <c r="BJ198" s="59">
        <f t="shared" si="206"/>
        <v>248.83008816685089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6.6581007865643569</v>
      </c>
      <c r="BQ198" s="21">
        <f>EXP(-LN(2)/25)*BQ197+(1-EXP(-LN(2)/25))/(LN(2)/25)*Calculateur!BL198*Calculateur!BN198*VLOOKUP('Données projet'!$B$11,Paramètres!$A$1:$I$89,3,0)*0.475*44/12</f>
        <v>1.0850080734743708</v>
      </c>
      <c r="BR198" s="21">
        <f>EXP(-LN(2)/2)*BR197+(1-EXP(-LN(2)/2))/(LN(2)/2)*BL198*BO198*VLOOKUP('Données projet'!$B$11,Paramètres!$A$1:$I$89,3,0)*0.475*44/12</f>
        <v>2.4364128461251535E-20</v>
      </c>
      <c r="BS198" s="22">
        <f t="shared" si="169"/>
        <v>7.7431088600387277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2.2737367544323206E-13</v>
      </c>
      <c r="BZ198" s="13">
        <f>BY198*VLOOKUP('Données projet'!$B$12,Paramètres!$A$1:$I$89,3,0)*VLOOKUP('Données projet'!$B$12,Paramètres!$A$1:$I$89,5,0)</f>
        <v>1.0049916454590858E-13</v>
      </c>
      <c r="CA198" s="13">
        <f t="shared" si="170"/>
        <v>1.5089081593838289E-12</v>
      </c>
      <c r="CB198" s="20">
        <f t="shared" si="171"/>
        <v>2.8030510891776262E-12</v>
      </c>
      <c r="CC198" s="59">
        <f t="shared" si="195"/>
        <v>293.3333333333361</v>
      </c>
      <c r="CD198" s="59">
        <f ca="1">AVERAGE(OFFSET($CC$3,0,0,'Données projet'!$E$12+1,1))-AVERAGE(OFFSET($H$3,0,0,'Données projet'!$E$12+1,1))</f>
        <v>220.26537310502334</v>
      </c>
      <c r="CE198" s="59">
        <f t="shared" si="207"/>
        <v>233.26853625122016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6.2882062984218905</v>
      </c>
      <c r="CL198" s="21">
        <f>EXP(-LN(2)/25)*CL197+(1-EXP(-LN(2)/25))/(LN(2)/25)*Calculateur!CG198*Calculateur!CI198*VLOOKUP('Données projet'!$B$12,Paramètres!$A$1:$I$89,3,0)*0.475*44/12</f>
        <v>1.0247298471702386</v>
      </c>
      <c r="CM198" s="21">
        <f>EXP(-LN(2)/2)*CM197+(1-EXP(-LN(2)/2))/(LN(2)/2)*CG198*CJ198*VLOOKUP('Données projet'!$B$12,Paramètres!$A$1:$I$89,3,0)*0.475*44/12</f>
        <v>2.3010565768959789E-20</v>
      </c>
      <c r="CN198" s="22">
        <f t="shared" si="172"/>
        <v>7.3129361455921291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-1.5961632016114892E-13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263.37813242097957</v>
      </c>
      <c r="T199" s="59">
        <f t="shared" si="204"/>
        <v>314.89350816766904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6.7657661663701969</v>
      </c>
      <c r="AA199" s="21">
        <f>EXP(-LN(2)/25)*AA198+(1-EXP(-LN(2)/25))/(LN(2)/25)*Calculateur!V199*Calculateur!X199*VLOOKUP('Données projet'!$B$9,Paramètres!$A$1:$I$89,3,0)*0.475*44/12</f>
        <v>1.0330621755724489</v>
      </c>
      <c r="AB199" s="21">
        <f>EXP(-LN(2)/2)*AB198+(1-EXP(-LN(2)/2))/(LN(2)/2)*V199*Y199*VLOOKUP('Données projet'!$B$9,Paramètres!$A$1:$I$89,3,0)*0.475*44/12</f>
        <v>6.6848250242117085E-21</v>
      </c>
      <c r="AC199" s="22">
        <f t="shared" si="163"/>
        <v>7.7988283419426461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4.5815795601811263E-14</v>
      </c>
      <c r="AK199" s="13">
        <f t="shared" si="164"/>
        <v>7.5374618042508364E-13</v>
      </c>
      <c r="AL199" s="20">
        <f t="shared" si="165"/>
        <v>1.392570441580175E-12</v>
      </c>
      <c r="AM199" s="59">
        <f t="shared" si="193"/>
        <v>293.33333333333468</v>
      </c>
      <c r="AN199" s="59">
        <f ca="1">AVERAGE(OFFSET($AM$3,0,0,'Données projet'!$E$10+1,1))-AVERAGE(OFFSET($H$3,0,0,'Données projet'!$E$10+1,1))</f>
        <v>344.29957955721721</v>
      </c>
      <c r="AO199" s="59">
        <f t="shared" si="205"/>
        <v>297.12790038882594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22.513636903753763</v>
      </c>
      <c r="AV199" s="21">
        <f>EXP(-LN(2)/25)*AV198+(1-EXP(-LN(2)/25))/(LN(2)/25)*Calculateur!AQ199*Calculateur!AS199*VLOOKUP('Données projet'!$B$10,Paramètres!$A$1:$I$89,3,0)*0.475*44/12</f>
        <v>3.0574809248908785</v>
      </c>
      <c r="AW199" s="21">
        <f>EXP(-LN(2)/2)*AW198+(1-EXP(-LN(2)/2))/(LN(2)/2)*AQ199*AT199*VLOOKUP('Données projet'!$B$10,Paramètres!$A$1:$I$89,3,0)*0.475*44/12</f>
        <v>2.8871358713004668E-16</v>
      </c>
      <c r="AX199" s="21">
        <f t="shared" si="166"/>
        <v>25.571117828644642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2.2737367544323206E-13</v>
      </c>
      <c r="BE199" s="13">
        <f>BD199*VLOOKUP('Données projet'!$B$11,Paramètres!$A$1:$I$89,3,0)*VLOOKUP('Données projet'!$B$11,Paramètres!$A$1:$I$89,5,0)</f>
        <v>1.064108801074326E-13</v>
      </c>
      <c r="BF199" s="13">
        <f t="shared" si="167"/>
        <v>1.5870730813698654E-12</v>
      </c>
      <c r="BG199" s="20">
        <f t="shared" si="168"/>
        <v>2.9494845662396269E-12</v>
      </c>
      <c r="BH199" s="59">
        <f t="shared" si="194"/>
        <v>293.33333333333627</v>
      </c>
      <c r="BI199" s="59">
        <f ca="1">AVERAGE(OFFSET($BH$3,0,0,'Données projet'!$E$11+1,1))-AVERAGE(OFFSET($H$3,0,0,'Données projet'!$E$11+1,1))</f>
        <v>234.83702199169585</v>
      </c>
      <c r="BJ199" s="59">
        <f t="shared" si="206"/>
        <v>248.83008816685089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6.5275394911803151</v>
      </c>
      <c r="BQ199" s="21">
        <f>EXP(-LN(2)/25)*BQ198+(1-EXP(-LN(2)/25))/(LN(2)/25)*Calculateur!BL199*Calculateur!BN199*VLOOKUP('Données projet'!$B$11,Paramètres!$A$1:$I$89,3,0)*0.475*44/12</f>
        <v>1.0553384706471194</v>
      </c>
      <c r="BR199" s="21">
        <f>EXP(-LN(2)/2)*BR198+(1-EXP(-LN(2)/2))/(LN(2)/2)*BL199*BO199*VLOOKUP('Données projet'!$B$11,Paramètres!$A$1:$I$89,3,0)*0.475*44/12</f>
        <v>1.7228040452651124E-20</v>
      </c>
      <c r="BS199" s="22">
        <f t="shared" si="169"/>
        <v>7.5828779618274345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2.2737367544323206E-13</v>
      </c>
      <c r="BZ199" s="13">
        <f>BY199*VLOOKUP('Données projet'!$B$12,Paramètres!$A$1:$I$89,3,0)*VLOOKUP('Données projet'!$B$12,Paramètres!$A$1:$I$89,5,0)</f>
        <v>1.0049916454590858E-13</v>
      </c>
      <c r="CA199" s="13">
        <f t="shared" si="170"/>
        <v>1.5089081593838289E-12</v>
      </c>
      <c r="CB199" s="20">
        <f t="shared" si="171"/>
        <v>2.8030510891776262E-12</v>
      </c>
      <c r="CC199" s="59">
        <f t="shared" si="195"/>
        <v>293.3333333333361</v>
      </c>
      <c r="CD199" s="59">
        <f ca="1">AVERAGE(OFFSET($CC$3,0,0,'Données projet'!$E$12+1,1))-AVERAGE(OFFSET($H$3,0,0,'Données projet'!$E$12+1,1))</f>
        <v>220.26537310502334</v>
      </c>
      <c r="CE199" s="59">
        <f t="shared" si="207"/>
        <v>233.26853625122016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6.1648984083369625</v>
      </c>
      <c r="CL199" s="21">
        <f>EXP(-LN(2)/25)*CL198+(1-EXP(-LN(2)/25))/(LN(2)/25)*Calculateur!CG199*Calculateur!CI199*VLOOKUP('Données projet'!$B$12,Paramètres!$A$1:$I$89,3,0)*0.475*44/12</f>
        <v>0.99670855561116789</v>
      </c>
      <c r="CM199" s="21">
        <f>EXP(-LN(2)/2)*CM198+(1-EXP(-LN(2)/2))/(LN(2)/2)*CG199*CJ199*VLOOKUP('Données projet'!$B$12,Paramètres!$A$1:$I$89,3,0)*0.475*44/12</f>
        <v>1.627092709417051E-20</v>
      </c>
      <c r="CN199" s="22">
        <f t="shared" si="172"/>
        <v>7.1616069639481301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-1.5961632016114892E-13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263.37813242097957</v>
      </c>
      <c r="T200" s="59">
        <f t="shared" si="204"/>
        <v>314.89350816766904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6.6330936185575604</v>
      </c>
      <c r="AA200" s="21">
        <f>EXP(-LN(2)/25)*AA199+(1-EXP(-LN(2)/25))/(LN(2)/25)*Calculateur!V200*Calculateur!X200*VLOOKUP('Données projet'!$B$9,Paramètres!$A$1:$I$89,3,0)*0.475*44/12</f>
        <v>1.0048130360550416</v>
      </c>
      <c r="AB200" s="21">
        <f>EXP(-LN(2)/2)*AB199+(1-EXP(-LN(2)/2))/(LN(2)/2)*V200*Y200*VLOOKUP('Données projet'!$B$9,Paramètres!$A$1:$I$89,3,0)*0.475*44/12</f>
        <v>4.7268851056656265E-21</v>
      </c>
      <c r="AC200" s="22">
        <f t="shared" si="163"/>
        <v>7.6379066546126015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4.5815795601811263E-14</v>
      </c>
      <c r="AK200" s="13">
        <f t="shared" si="164"/>
        <v>7.5374618042508364E-13</v>
      </c>
      <c r="AL200" s="20">
        <f t="shared" si="165"/>
        <v>1.392570441580175E-12</v>
      </c>
      <c r="AM200" s="59">
        <f t="shared" si="193"/>
        <v>293.33333333333468</v>
      </c>
      <c r="AN200" s="59">
        <f ca="1">AVERAGE(OFFSET($AM$3,0,0,'Données projet'!$E$10+1,1))-AVERAGE(OFFSET($H$3,0,0,'Données projet'!$E$10+1,1))</f>
        <v>344.29957955721721</v>
      </c>
      <c r="AO200" s="59">
        <f t="shared" si="205"/>
        <v>297.12790038882594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22.072158216033746</v>
      </c>
      <c r="AV200" s="21">
        <f>EXP(-LN(2)/25)*AV199+(1-EXP(-LN(2)/25))/(LN(2)/25)*Calculateur!AQ200*Calculateur!AS200*VLOOKUP('Données projet'!$B$10,Paramètres!$A$1:$I$89,3,0)*0.475*44/12</f>
        <v>2.9738739482138037</v>
      </c>
      <c r="AW200" s="21">
        <f>EXP(-LN(2)/2)*AW199+(1-EXP(-LN(2)/2))/(LN(2)/2)*AQ200*AT200*VLOOKUP('Données projet'!$B$10,Paramètres!$A$1:$I$89,3,0)*0.475*44/12</f>
        <v>2.0415133528034914E-16</v>
      </c>
      <c r="AX200" s="21">
        <f t="shared" si="166"/>
        <v>25.046032164247549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2.2737367544323206E-13</v>
      </c>
      <c r="BE200" s="13">
        <f>BD200*VLOOKUP('Données projet'!$B$11,Paramètres!$A$1:$I$89,3,0)*VLOOKUP('Données projet'!$B$11,Paramètres!$A$1:$I$89,5,0)</f>
        <v>1.064108801074326E-13</v>
      </c>
      <c r="BF200" s="13">
        <f t="shared" si="167"/>
        <v>1.5870730813698654E-12</v>
      </c>
      <c r="BG200" s="20">
        <f t="shared" si="168"/>
        <v>2.9494845662396269E-12</v>
      </c>
      <c r="BH200" s="59">
        <f t="shared" si="194"/>
        <v>293.33333333333627</v>
      </c>
      <c r="BI200" s="59">
        <f ca="1">AVERAGE(OFFSET($BH$3,0,0,'Données projet'!$E$11+1,1))-AVERAGE(OFFSET($H$3,0,0,'Données projet'!$E$11+1,1))</f>
        <v>234.83702199169585</v>
      </c>
      <c r="BJ200" s="59">
        <f t="shared" si="206"/>
        <v>248.83008816685089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6.3995384231642278</v>
      </c>
      <c r="BQ200" s="21">
        <f>EXP(-LN(2)/25)*BQ199+(1-EXP(-LN(2)/25))/(LN(2)/25)*Calculateur!BL200*Calculateur!BN200*VLOOKUP('Données projet'!$B$11,Paramètres!$A$1:$I$89,3,0)*0.475*44/12</f>
        <v>1.0264801846694358</v>
      </c>
      <c r="BR200" s="21">
        <f>EXP(-LN(2)/2)*BR199+(1-EXP(-LN(2)/2))/(LN(2)/2)*BL200*BO200*VLOOKUP('Données projet'!$B$11,Paramètres!$A$1:$I$89,3,0)*0.475*44/12</f>
        <v>1.2182064230625767E-20</v>
      </c>
      <c r="BS200" s="22">
        <f t="shared" si="169"/>
        <v>7.4260186078336634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2.2737367544323206E-13</v>
      </c>
      <c r="BZ200" s="13">
        <f>BY200*VLOOKUP('Données projet'!$B$12,Paramètres!$A$1:$I$89,3,0)*VLOOKUP('Données projet'!$B$12,Paramètres!$A$1:$I$89,5,0)</f>
        <v>1.0049916454590858E-13</v>
      </c>
      <c r="CA200" s="13">
        <f t="shared" si="170"/>
        <v>1.5089081593838289E-12</v>
      </c>
      <c r="CB200" s="20">
        <f t="shared" si="171"/>
        <v>2.8030510891776262E-12</v>
      </c>
      <c r="CC200" s="59">
        <f t="shared" si="195"/>
        <v>293.3333333333361</v>
      </c>
      <c r="CD200" s="59">
        <f ca="1">AVERAGE(OFFSET($CC$3,0,0,'Données projet'!$E$12+1,1))-AVERAGE(OFFSET($H$3,0,0,'Données projet'!$E$12+1,1))</f>
        <v>220.26537310502334</v>
      </c>
      <c r="CE200" s="59">
        <f t="shared" si="207"/>
        <v>233.26853625122016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6.0440085107662131</v>
      </c>
      <c r="CL200" s="21">
        <f>EXP(-LN(2)/25)*CL199+(1-EXP(-LN(2)/25))/(LN(2)/25)*Calculateur!CG200*Calculateur!CI200*VLOOKUP('Données projet'!$B$12,Paramètres!$A$1:$I$89,3,0)*0.475*44/12</f>
        <v>0.96945350774335559</v>
      </c>
      <c r="CM200" s="21">
        <f>EXP(-LN(2)/2)*CM199+(1-EXP(-LN(2)/2))/(LN(2)/2)*CG200*CJ200*VLOOKUP('Données projet'!$B$12,Paramètres!$A$1:$I$89,3,0)*0.475*44/12</f>
        <v>1.1505282884479895E-20</v>
      </c>
      <c r="CN200" s="22">
        <f t="shared" si="172"/>
        <v>7.0134620185095686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-1.5961632016114892E-13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263.37813242097957</v>
      </c>
      <c r="T201" s="59">
        <f t="shared" si="204"/>
        <v>314.89350816766904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6.5030226984852657</v>
      </c>
      <c r="AA201" s="21">
        <f>EXP(-LN(2)/25)*AA200+(1-EXP(-LN(2)/25))/(LN(2)/25)*Calculateur!V201*Calculateur!X201*VLOOKUP('Données projet'!$B$9,Paramètres!$A$1:$I$89,3,0)*0.475*44/12</f>
        <v>0.97733637074329538</v>
      </c>
      <c r="AB201" s="21">
        <f>EXP(-LN(2)/2)*AB200+(1-EXP(-LN(2)/2))/(LN(2)/2)*V201*Y201*VLOOKUP('Données projet'!$B$9,Paramètres!$A$1:$I$89,3,0)*0.475*44/12</f>
        <v>3.342412512105855E-21</v>
      </c>
      <c r="AC201" s="22">
        <f t="shared" si="163"/>
        <v>7.4803590692285606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4.5815795601811263E-14</v>
      </c>
      <c r="AK201" s="13">
        <f t="shared" si="164"/>
        <v>7.5374618042508364E-13</v>
      </c>
      <c r="AL201" s="20">
        <f t="shared" si="165"/>
        <v>1.392570441580175E-12</v>
      </c>
      <c r="AM201" s="59">
        <f t="shared" si="193"/>
        <v>293.33333333333468</v>
      </c>
      <c r="AN201" s="59">
        <f ca="1">AVERAGE(OFFSET($AM$3,0,0,'Données projet'!$E$10+1,1))-AVERAGE(OFFSET($H$3,0,0,'Données projet'!$E$10+1,1))</f>
        <v>344.29957955721721</v>
      </c>
      <c r="AO201" s="59">
        <f t="shared" si="205"/>
        <v>297.12790038882594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21.639336656104504</v>
      </c>
      <c r="AV201" s="21">
        <f>EXP(-LN(2)/25)*AV200+(1-EXP(-LN(2)/25))/(LN(2)/25)*Calculateur!AQ201*Calculateur!AS201*VLOOKUP('Données projet'!$B$10,Paramètres!$A$1:$I$89,3,0)*0.475*44/12</f>
        <v>2.8925532087106633</v>
      </c>
      <c r="AW201" s="21">
        <f>EXP(-LN(2)/2)*AW200+(1-EXP(-LN(2)/2))/(LN(2)/2)*AQ201*AT201*VLOOKUP('Données projet'!$B$10,Paramètres!$A$1:$I$89,3,0)*0.475*44/12</f>
        <v>1.4435679356502334E-16</v>
      </c>
      <c r="AX201" s="21">
        <f t="shared" si="166"/>
        <v>24.531889864815167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2.2737367544323206E-13</v>
      </c>
      <c r="BE201" s="13">
        <f>BD201*VLOOKUP('Données projet'!$B$11,Paramètres!$A$1:$I$89,3,0)*VLOOKUP('Données projet'!$B$11,Paramètres!$A$1:$I$89,5,0)</f>
        <v>1.064108801074326E-13</v>
      </c>
      <c r="BF201" s="13">
        <f t="shared" si="167"/>
        <v>1.5870730813698654E-12</v>
      </c>
      <c r="BG201" s="20">
        <f t="shared" si="168"/>
        <v>2.9494845662396269E-12</v>
      </c>
      <c r="BH201" s="59">
        <f t="shared" si="194"/>
        <v>293.33333333333627</v>
      </c>
      <c r="BI201" s="59">
        <f ca="1">AVERAGE(OFFSET($BH$3,0,0,'Données projet'!$E$11+1,1))-AVERAGE(OFFSET($H$3,0,0,'Données projet'!$E$11+1,1))</f>
        <v>234.83702199169585</v>
      </c>
      <c r="BJ201" s="59">
        <f t="shared" si="206"/>
        <v>248.83008816685089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6.2740473780189934</v>
      </c>
      <c r="BQ201" s="21">
        <f>EXP(-LN(2)/25)*BQ200+(1-EXP(-LN(2)/25))/(LN(2)/25)*Calculateur!BL201*Calculateur!BN201*VLOOKUP('Données projet'!$B$11,Paramètres!$A$1:$I$89,3,0)*0.475*44/12</f>
        <v>0.99841103003940324</v>
      </c>
      <c r="BR201" s="21">
        <f>EXP(-LN(2)/2)*BR200+(1-EXP(-LN(2)/2))/(LN(2)/2)*BL201*BO201*VLOOKUP('Données projet'!$B$11,Paramètres!$A$1:$I$89,3,0)*0.475*44/12</f>
        <v>8.6140202263255618E-21</v>
      </c>
      <c r="BS201" s="22">
        <f t="shared" si="169"/>
        <v>7.2724584080583963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2.2737367544323206E-13</v>
      </c>
      <c r="BZ201" s="13">
        <f>BY201*VLOOKUP('Données projet'!$B$12,Paramètres!$A$1:$I$89,3,0)*VLOOKUP('Données projet'!$B$12,Paramètres!$A$1:$I$89,5,0)</f>
        <v>1.0049916454590858E-13</v>
      </c>
      <c r="CA201" s="13">
        <f t="shared" si="170"/>
        <v>1.5089081593838289E-12</v>
      </c>
      <c r="CB201" s="20">
        <f t="shared" si="171"/>
        <v>2.8030510891776262E-12</v>
      </c>
      <c r="CC201" s="59">
        <f t="shared" si="195"/>
        <v>293.3333333333361</v>
      </c>
      <c r="CD201" s="59">
        <f ca="1">AVERAGE(OFFSET($CC$3,0,0,'Données projet'!$E$12+1,1))-AVERAGE(OFFSET($H$3,0,0,'Données projet'!$E$12+1,1))</f>
        <v>220.26537310502334</v>
      </c>
      <c r="CE201" s="59">
        <f t="shared" si="207"/>
        <v>233.26853625122016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5.9254891903512696</v>
      </c>
      <c r="CL201" s="21">
        <f>EXP(-LN(2)/25)*CL200+(1-EXP(-LN(2)/25))/(LN(2)/25)*Calculateur!CG201*Calculateur!CI201*VLOOKUP('Données projet'!$B$12,Paramètres!$A$1:$I$89,3,0)*0.475*44/12</f>
        <v>0.94294375059276925</v>
      </c>
      <c r="CM201" s="21">
        <f>EXP(-LN(2)/2)*CM200+(1-EXP(-LN(2)/2))/(LN(2)/2)*CG201*CJ201*VLOOKUP('Données projet'!$B$12,Paramètres!$A$1:$I$89,3,0)*0.475*44/12</f>
        <v>8.1354635470852549E-21</v>
      </c>
      <c r="CN201" s="22">
        <f t="shared" si="172"/>
        <v>6.8684329409440386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-1.5961632016114892E-13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263.37813242097957</v>
      </c>
      <c r="T202" s="59">
        <f t="shared" si="204"/>
        <v>314.89350816766904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6.375502389820161</v>
      </c>
      <c r="AA202" s="21">
        <f>EXP(-LN(2)/25)*AA201+(1-EXP(-LN(2)/25))/(LN(2)/25)*Calculateur!V202*Calculateur!X202*VLOOKUP('Données projet'!$B$9,Paramètres!$A$1:$I$89,3,0)*0.475*44/12</f>
        <v>0.95061105628943399</v>
      </c>
      <c r="AB202" s="21">
        <f>EXP(-LN(2)/2)*AB201+(1-EXP(-LN(2)/2))/(LN(2)/2)*V202*Y202*VLOOKUP('Données projet'!$B$9,Paramètres!$A$1:$I$89,3,0)*0.475*44/12</f>
        <v>2.3634425528328136E-21</v>
      </c>
      <c r="AC202" s="22">
        <f t="shared" si="163"/>
        <v>7.3261134461095949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4.5815795601811263E-14</v>
      </c>
      <c r="AK202" s="13">
        <f t="shared" si="164"/>
        <v>7.5374618042508364E-13</v>
      </c>
      <c r="AL202" s="20">
        <f t="shared" si="165"/>
        <v>1.392570441580175E-12</v>
      </c>
      <c r="AM202" s="59">
        <f t="shared" si="193"/>
        <v>293.33333333333468</v>
      </c>
      <c r="AN202" s="59">
        <f ca="1">AVERAGE(OFFSET($AM$3,0,0,'Données projet'!$E$10+1,1))-AVERAGE(OFFSET($H$3,0,0,'Données projet'!$E$10+1,1))</f>
        <v>344.29957955721721</v>
      </c>
      <c r="AO202" s="59">
        <f t="shared" si="205"/>
        <v>297.12790038882594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21.215002462970393</v>
      </c>
      <c r="AV202" s="21">
        <f>EXP(-LN(2)/25)*AV201+(1-EXP(-LN(2)/25))/(LN(2)/25)*Calculateur!AQ202*Calculateur!AS202*VLOOKUP('Données projet'!$B$10,Paramètres!$A$1:$I$89,3,0)*0.475*44/12</f>
        <v>2.8134561891057079</v>
      </c>
      <c r="AW202" s="21">
        <f>EXP(-LN(2)/2)*AW201+(1-EXP(-LN(2)/2))/(LN(2)/2)*AQ202*AT202*VLOOKUP('Données projet'!$B$10,Paramètres!$A$1:$I$89,3,0)*0.475*44/12</f>
        <v>1.0207566764017457E-16</v>
      </c>
      <c r="AX202" s="21">
        <f t="shared" si="166"/>
        <v>24.0284586520761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2.2737367544323206E-13</v>
      </c>
      <c r="BE202" s="13">
        <f>BD202*VLOOKUP('Données projet'!$B$11,Paramètres!$A$1:$I$89,3,0)*VLOOKUP('Données projet'!$B$11,Paramètres!$A$1:$I$89,5,0)</f>
        <v>1.064108801074326E-13</v>
      </c>
      <c r="BF202" s="13">
        <f t="shared" si="167"/>
        <v>1.5870730813698654E-12</v>
      </c>
      <c r="BG202" s="20">
        <f t="shared" si="168"/>
        <v>2.9494845662396269E-12</v>
      </c>
      <c r="BH202" s="59">
        <f t="shared" si="194"/>
        <v>293.33333333333627</v>
      </c>
      <c r="BI202" s="59">
        <f ca="1">AVERAGE(OFFSET($BH$3,0,0,'Données projet'!$E$11+1,1))-AVERAGE(OFFSET($H$3,0,0,'Données projet'!$E$11+1,1))</f>
        <v>234.83702199169585</v>
      </c>
      <c r="BJ202" s="59">
        <f t="shared" si="206"/>
        <v>248.83008816685089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6.1510171357270771</v>
      </c>
      <c r="BQ202" s="21">
        <f>EXP(-LN(2)/25)*BQ201+(1-EXP(-LN(2)/25))/(LN(2)/25)*Calculateur!BL202*Calculateur!BN202*VLOOKUP('Données projet'!$B$11,Paramètres!$A$1:$I$89,3,0)*0.475*44/12</f>
        <v>0.9711094279188216</v>
      </c>
      <c r="BR202" s="21">
        <f>EXP(-LN(2)/2)*BR201+(1-EXP(-LN(2)/2))/(LN(2)/2)*BL202*BO202*VLOOKUP('Données projet'!$B$11,Paramètres!$A$1:$I$89,3,0)*0.475*44/12</f>
        <v>6.0910321153128837E-21</v>
      </c>
      <c r="BS202" s="22">
        <f t="shared" si="169"/>
        <v>7.1221265636458986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2.2737367544323206E-13</v>
      </c>
      <c r="BZ202" s="13">
        <f>BY202*VLOOKUP('Données projet'!$B$12,Paramètres!$A$1:$I$89,3,0)*VLOOKUP('Données projet'!$B$12,Paramètres!$A$1:$I$89,5,0)</f>
        <v>1.0049916454590858E-13</v>
      </c>
      <c r="CA202" s="13">
        <f t="shared" si="170"/>
        <v>1.5089081593838289E-12</v>
      </c>
      <c r="CB202" s="20">
        <f t="shared" si="171"/>
        <v>2.8030510891776262E-12</v>
      </c>
      <c r="CC202" s="59">
        <f t="shared" si="195"/>
        <v>293.3333333333361</v>
      </c>
      <c r="CD202" s="59">
        <f ca="1">AVERAGE(OFFSET($CC$3,0,0,'Données projet'!$E$12+1,1))-AVERAGE(OFFSET($H$3,0,0,'Données projet'!$E$12+1,1))</f>
        <v>220.26537310502334</v>
      </c>
      <c r="CE202" s="59">
        <f t="shared" si="207"/>
        <v>233.26853625122016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5.8092939615200159</v>
      </c>
      <c r="CL202" s="21">
        <f>EXP(-LN(2)/25)*CL201+(1-EXP(-LN(2)/25))/(LN(2)/25)*Calculateur!CG202*Calculateur!CI202*VLOOKUP('Données projet'!$B$12,Paramètres!$A$1:$I$89,3,0)*0.475*44/12</f>
        <v>0.91715890414555323</v>
      </c>
      <c r="CM202" s="21">
        <f>EXP(-LN(2)/2)*CM201+(1-EXP(-LN(2)/2))/(LN(2)/2)*CG202*CJ202*VLOOKUP('Données projet'!$B$12,Paramètres!$A$1:$I$89,3,0)*0.475*44/12</f>
        <v>5.7526414422399473E-21</v>
      </c>
      <c r="CN202" s="22">
        <f t="shared" si="172"/>
        <v>6.7264528656655695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-1.5961632016114892E-13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263.37813242097957</v>
      </c>
      <c r="T203" s="59">
        <f t="shared" si="204"/>
        <v>314.89350816766904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6.2504826766282706</v>
      </c>
      <c r="AA203" s="21">
        <f>EXP(-LN(2)/25)*AA202+(1-EXP(-LN(2)/25))/(LN(2)/25)*Calculateur!V203*Calculateur!X203*VLOOKUP('Données projet'!$B$9,Paramètres!$A$1:$I$89,3,0)*0.475*44/12</f>
        <v>0.92461654696473661</v>
      </c>
      <c r="AB203" s="21">
        <f>EXP(-LN(2)/2)*AB202+(1-EXP(-LN(2)/2))/(LN(2)/2)*V203*Y203*VLOOKUP('Données projet'!$B$9,Paramètres!$A$1:$I$89,3,0)*0.475*44/12</f>
        <v>1.6712062560529277E-21</v>
      </c>
      <c r="AC203" s="22">
        <f t="shared" si="163"/>
        <v>7.1750992235930076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4.5815795601811263E-14</v>
      </c>
      <c r="AK203" s="13">
        <f t="shared" si="164"/>
        <v>7.5374618042508364E-13</v>
      </c>
      <c r="AL203" s="20">
        <f t="shared" si="165"/>
        <v>1.392570441580175E-12</v>
      </c>
      <c r="AM203" s="59">
        <f t="shared" si="193"/>
        <v>293.33333333333468</v>
      </c>
      <c r="AN203" s="59">
        <f ca="1">AVERAGE(OFFSET($AM$3,0,0,'Données projet'!$E$10+1,1))-AVERAGE(OFFSET($H$3,0,0,'Données projet'!$E$10+1,1))</f>
        <v>344.29957955721721</v>
      </c>
      <c r="AO203" s="59">
        <f t="shared" si="205"/>
        <v>297.12790038882594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20.79898920454534</v>
      </c>
      <c r="AV203" s="21">
        <f>EXP(-LN(2)/25)*AV202+(1-EXP(-LN(2)/25))/(LN(2)/25)*Calculateur!AQ203*Calculateur!AS203*VLOOKUP('Données projet'!$B$10,Paramètres!$A$1:$I$89,3,0)*0.475*44/12</f>
        <v>2.7365220816613816</v>
      </c>
      <c r="AW203" s="21">
        <f>EXP(-LN(2)/2)*AW202+(1-EXP(-LN(2)/2))/(LN(2)/2)*AQ203*AT203*VLOOKUP('Données projet'!$B$10,Paramètres!$A$1:$I$89,3,0)*0.475*44/12</f>
        <v>7.2178396782511669E-17</v>
      </c>
      <c r="AX203" s="21">
        <f t="shared" si="166"/>
        <v>23.53551128620672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2.2737367544323206E-13</v>
      </c>
      <c r="BE203" s="13">
        <f>BD203*VLOOKUP('Données projet'!$B$11,Paramètres!$A$1:$I$89,3,0)*VLOOKUP('Données projet'!$B$11,Paramètres!$A$1:$I$89,5,0)</f>
        <v>1.064108801074326E-13</v>
      </c>
      <c r="BF203" s="13">
        <f t="shared" si="167"/>
        <v>1.5870730813698654E-12</v>
      </c>
      <c r="BG203" s="20">
        <f t="shared" si="168"/>
        <v>2.9494845662396269E-12</v>
      </c>
      <c r="BH203" s="59">
        <f t="shared" si="194"/>
        <v>293.33333333333627</v>
      </c>
      <c r="BI203" s="59">
        <f ca="1">AVERAGE(OFFSET($BH$3,0,0,'Données projet'!$E$11+1,1))-AVERAGE(OFFSET($H$3,0,0,'Données projet'!$E$11+1,1))</f>
        <v>234.83702199169585</v>
      </c>
      <c r="BJ203" s="59">
        <f t="shared" si="206"/>
        <v>248.83008816685089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6.0303994414454678</v>
      </c>
      <c r="BQ203" s="21">
        <f>EXP(-LN(2)/25)*BQ202+(1-EXP(-LN(2)/25))/(LN(2)/25)*Calculateur!BL203*Calculateur!BN203*VLOOKUP('Données projet'!$B$11,Paramètres!$A$1:$I$89,3,0)*0.475*44/12</f>
        <v>0.9445543895439561</v>
      </c>
      <c r="BR203" s="21">
        <f>EXP(-LN(2)/2)*BR202+(1-EXP(-LN(2)/2))/(LN(2)/2)*BL203*BO203*VLOOKUP('Données projet'!$B$11,Paramètres!$A$1:$I$89,3,0)*0.475*44/12</f>
        <v>4.3070101131627809E-21</v>
      </c>
      <c r="BS203" s="22">
        <f t="shared" si="169"/>
        <v>6.9749538309894241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2.2737367544323206E-13</v>
      </c>
      <c r="BZ203" s="13">
        <f>BY203*VLOOKUP('Données projet'!$B$12,Paramètres!$A$1:$I$89,3,0)*VLOOKUP('Données projet'!$B$12,Paramètres!$A$1:$I$89,5,0)</f>
        <v>1.0049916454590858E-13</v>
      </c>
      <c r="CA203" s="13">
        <f t="shared" si="170"/>
        <v>1.5089081593838289E-12</v>
      </c>
      <c r="CB203" s="20">
        <f t="shared" si="171"/>
        <v>2.8030510891776262E-12</v>
      </c>
      <c r="CC203" s="59">
        <f t="shared" si="195"/>
        <v>293.3333333333361</v>
      </c>
      <c r="CD203" s="59">
        <f ca="1">AVERAGE(OFFSET($CC$3,0,0,'Données projet'!$E$12+1,1))-AVERAGE(OFFSET($H$3,0,0,'Données projet'!$E$12+1,1))</f>
        <v>220.26537310502334</v>
      </c>
      <c r="CE203" s="59">
        <f t="shared" si="207"/>
        <v>233.26853625122016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5.6953772502540509</v>
      </c>
      <c r="CL203" s="21">
        <f>EXP(-LN(2)/25)*CL202+(1-EXP(-LN(2)/25))/(LN(2)/25)*Calculateur!CG203*Calculateur!CI203*VLOOKUP('Données projet'!$B$12,Paramètres!$A$1:$I$89,3,0)*0.475*44/12</f>
        <v>0.89207914568040247</v>
      </c>
      <c r="CM203" s="21">
        <f>EXP(-LN(2)/2)*CM202+(1-EXP(-LN(2)/2))/(LN(2)/2)*CG203*CJ203*VLOOKUP('Données projet'!$B$12,Paramètres!$A$1:$I$89,3,0)*0.475*44/12</f>
        <v>4.0677317735426275E-21</v>
      </c>
      <c r="CN203" s="22">
        <f t="shared" si="172"/>
        <v>6.5874563959344536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1.2816422091414759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1.3026665442450553</v>
      </c>
      <c r="BA205" s="82">
        <f>EXP(LN('Données projet'!B88)/'Données projet'!A88)</f>
        <v>1.2485684178796581</v>
      </c>
      <c r="BV205" s="82">
        <f>EXP(LN('Données projet'!B114)/'Données projet'!A114)</f>
        <v>1.2485684178796581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816406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81640625" style="4" bestFit="1" customWidth="1"/>
    <col min="7" max="7" width="11.453125" style="4" bestFit="1" customWidth="1"/>
    <col min="8" max="8" width="39" style="4" bestFit="1" customWidth="1"/>
    <col min="9" max="9" width="16.81640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3" zoomScale="90" zoomScaleNormal="90" workbookViewId="0">
      <selection activeCell="N29" sqref="N29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Epicéa de Sitka</v>
      </c>
      <c r="B6" s="146">
        <f>'Données projet'!D9</f>
        <v>2.6312000000000002</v>
      </c>
      <c r="C6" s="147">
        <f ca="1">IF(OR('Données projet'!B9="",'Données projet'!C9="",'Données projet'!C9=0%),0,Calculateur!S3)</f>
        <v>263.37813242097957</v>
      </c>
      <c r="D6" s="147">
        <f>IF(OR('Données projet'!B9="",'Données projet'!C9="",'Données projet'!C9=0%),0,Calculateur!T3)</f>
        <v>314.89350816766904</v>
      </c>
      <c r="E6" s="147">
        <f ca="1">MIN(C6,D6)</f>
        <v>263.37813242097957</v>
      </c>
      <c r="F6" s="147">
        <f ca="1">E6*B6</f>
        <v>693.00054202608146</v>
      </c>
      <c r="G6" s="147">
        <f ca="1">F6*(100%-'Données projet'!$C$24)*(100%-'Données projet'!$C$25)*(100%-'Données projet'!$C$26)*(100%-'Données projet'!$C$27)</f>
        <v>530.14541464995227</v>
      </c>
      <c r="H6" s="148">
        <f>IF(OR('Données projet'!B9="",'Données projet'!C9="",'Données projet'!C9=0%),0,AVERAGE(Calculateur!$AC$3:$AC$33)*B6)</f>
        <v>23.510466096894042</v>
      </c>
      <c r="I6" s="149">
        <f>H6*(100%-'Données projet'!$C$24)*(100%-'Données projet'!$C$25)*(100%-'Données projet'!$C$26)*(100%-'Données projet'!$C$27)</f>
        <v>17.985506564123941</v>
      </c>
      <c r="J6" s="150">
        <f>IF(OR('Données projet'!B9="",'Données projet'!C9="",'Données projet'!C9=0%),0,SUM(Calculateur!$V$3:$V$33)*VLOOKUP('Données projet'!$B$9,Paramètres!$A$1:$I$89,9,0)*B6)</f>
        <v>194.60355200000001</v>
      </c>
      <c r="K6" s="151">
        <f>J6*(100%-'Données projet'!$C$24)*(100%-'Données projet'!$C$25)*(100%-'Données projet'!$C$26)*(100%-'Données projet'!$C$27)</f>
        <v>148.87171727999998</v>
      </c>
      <c r="L6" s="152">
        <f ca="1">G6+I6+K6</f>
        <v>697.00263849407622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Thuya géant</v>
      </c>
      <c r="B7" s="154">
        <f>'Données projet'!D10</f>
        <v>0.25760000000000005</v>
      </c>
      <c r="C7" s="147">
        <f ca="1">IF(OR('Données projet'!B10="",'Données projet'!C10="",'Données projet'!C10=0%),0,Calculateur!AN3)</f>
        <v>344.29957955721721</v>
      </c>
      <c r="D7" s="147">
        <f>IF(OR('Données projet'!B10="",'Données projet'!C10="",'Données projet'!C10=0%),0,Calculateur!AO3)</f>
        <v>297.12790038882594</v>
      </c>
      <c r="E7" s="147">
        <f t="shared" ref="E7:E15" ca="1" si="0">MIN(C7,D7)</f>
        <v>297.12790038882594</v>
      </c>
      <c r="F7" s="147">
        <f t="shared" ref="F7:F15" ca="1" si="1">E7*B7</f>
        <v>76.540147140161579</v>
      </c>
      <c r="G7" s="147">
        <f ca="1">F7*(100%-'Données projet'!$C$24)*(100%-'Données projet'!$C$25)*(100%-'Données projet'!$C$26)*(100%-'Données projet'!$C$27)</f>
        <v>58.553212562223607</v>
      </c>
      <c r="H7" s="155">
        <f>IF(OR('Données projet'!B10="",'Données projet'!C10="",'Données projet'!C10=0%),0,AVERAGE(Calculateur!$AX$3:$AX$33)*B7)</f>
        <v>2.1747150233583032</v>
      </c>
      <c r="I7" s="149">
        <f>H7*(100%-'Données projet'!$C$24)*(100%-'Données projet'!$C$25)*(100%-'Données projet'!$C$26)*(100%-'Données projet'!$C$27)</f>
        <v>1.6636569928691021</v>
      </c>
      <c r="J7" s="150">
        <f>IF(OR('Données projet'!B10="",'Données projet'!C10="",'Données projet'!C10=0%),0,SUM(Calculateur!$AQ$3:$AQ$33)*VLOOKUP('Données projet'!$B$10,Paramètres!$A$1:$I$89,9,0)*B7)</f>
        <v>22.485904000000001</v>
      </c>
      <c r="K7" s="151">
        <f>J7*(100%-'Données projet'!$C$24)*(100%-'Données projet'!$C$25)*(100%-'Données projet'!$C$26)*(100%-'Données projet'!$C$27)</f>
        <v>17.201716560000001</v>
      </c>
      <c r="L7" s="152">
        <f t="shared" ref="L7:L15" ca="1" si="2">G7+I7+K7</f>
        <v>77.418586115092708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Cryptomère du Japon</v>
      </c>
      <c r="B8" s="154">
        <f>'Données projet'!D11</f>
        <v>0.5152000000000001</v>
      </c>
      <c r="C8" s="147">
        <f ca="1">IF(OR('Données projet'!B11="",'Données projet'!C11="",'Données projet'!C11=0%),0,Calculateur!BI3)</f>
        <v>234.83702199169585</v>
      </c>
      <c r="D8" s="147">
        <f>IF(OR('Données projet'!B11="",'Données projet'!C11="",'Données projet'!C11=0%),0,Calculateur!BJ3)</f>
        <v>248.83008816685089</v>
      </c>
      <c r="E8" s="147">
        <f t="shared" ca="1" si="0"/>
        <v>234.83702199169585</v>
      </c>
      <c r="F8" s="147">
        <f t="shared" ca="1" si="1"/>
        <v>120.98803373012173</v>
      </c>
      <c r="G8" s="147">
        <f ca="1">F8*(100%-'Données projet'!$C$24)*(100%-'Données projet'!$C$25)*(100%-'Données projet'!$C$26)*(100%-'Données projet'!$C$27)</f>
        <v>92.555845803543122</v>
      </c>
      <c r="H8" s="155">
        <f>IF(OR('Données projet'!B11="",'Données projet'!C11="",'Données projet'!C11=0%),0,AVERAGE(Calculateur!$BS$3:$BS$33)*B8)</f>
        <v>3.3219518413021638</v>
      </c>
      <c r="I8" s="149">
        <f>H8*(100%-'Données projet'!$C$24)*(100%-'Données projet'!$C$25)*(100%-'Données projet'!$C$26)*(100%-'Données projet'!$C$27)</f>
        <v>2.5412931585961553</v>
      </c>
      <c r="J8" s="150">
        <f>IF(OR('Données projet'!B11="",'Données projet'!C11="",'Données projet'!C11=0%),0,SUM(Calculateur!$BL$3:$BL$33)*VLOOKUP('Données projet'!$B$11,Paramètres!$A$1:$I$89,9,0)*B8)</f>
        <v>26.362784000000005</v>
      </c>
      <c r="K8" s="151">
        <f>J8*(100%-'Données projet'!$C$24)*(100%-'Données projet'!$C$25)*(100%-'Données projet'!$C$26)*(100%-'Données projet'!$C$27)</f>
        <v>20.167529760000004</v>
      </c>
      <c r="L8" s="152">
        <f t="shared" ca="1" si="2"/>
        <v>115.26466872213929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Séquoia toujours vert</v>
      </c>
      <c r="B9" s="154">
        <f>'Données projet'!D12</f>
        <v>0.25760000000000005</v>
      </c>
      <c r="C9" s="147">
        <f ca="1">IF(OR('Données projet'!B12="",'Données projet'!C12="",'Données projet'!C12=0%),0,Calculateur!CD3)</f>
        <v>220.26537310502334</v>
      </c>
      <c r="D9" s="147">
        <f>IF(OR('Données projet'!B12="",'Données projet'!C12="",'Données projet'!C12=0%),0,Calculateur!CE3)</f>
        <v>233.26853625122016</v>
      </c>
      <c r="E9" s="147">
        <f t="shared" ca="1" si="0"/>
        <v>220.26537310502334</v>
      </c>
      <c r="F9" s="147">
        <f t="shared" ca="1" si="1"/>
        <v>56.740360111854024</v>
      </c>
      <c r="G9" s="147">
        <f ca="1">F9*(100%-'Données projet'!$C$24)*(100%-'Données projet'!$C$25)*(100%-'Données projet'!$C$26)*(100%-'Données projet'!$C$27)</f>
        <v>43.406375485568326</v>
      </c>
      <c r="H9" s="155">
        <f>IF(OR('Données projet'!B12="",'Données projet'!C12="",'Données projet'!C12=0%),0,AVERAGE(Calculateur!$CN$3:$CN$33)*B9)</f>
        <v>1.5686994806149115</v>
      </c>
      <c r="I9" s="149">
        <f>H9*(100%-'Données projet'!$C$24)*(100%-'Données projet'!$C$25)*(100%-'Données projet'!$C$26)*(100%-'Données projet'!$C$27)</f>
        <v>1.2000551026704074</v>
      </c>
      <c r="J9" s="150">
        <f>IF(OR('Données projet'!B12="",'Données projet'!C12="",'Données projet'!C12=0%),0,SUM(Calculateur!$CG$3:$CG$33)*VLOOKUP('Données projet'!$B$12,Paramètres!$A$1:$I$89,9,0)*B9)</f>
        <v>13.181392000000002</v>
      </c>
      <c r="K9" s="151">
        <f>J9*(100%-'Données projet'!$C$24)*(100%-'Données projet'!$C$25)*(100%-'Données projet'!$C$26)*(100%-'Données projet'!$C$27)</f>
        <v>10.083764880000002</v>
      </c>
      <c r="L9" s="152">
        <f t="shared" ca="1" si="2"/>
        <v>54.690195468238734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947.26908300821879</v>
      </c>
      <c r="G16" s="166">
        <f t="shared" ca="1" si="3"/>
        <v>724.66084850128732</v>
      </c>
      <c r="H16" s="167">
        <f t="shared" si="3"/>
        <v>30.575832442169418</v>
      </c>
      <c r="I16" s="167">
        <f t="shared" si="3"/>
        <v>23.390511818259608</v>
      </c>
      <c r="J16" s="168">
        <f t="shared" si="3"/>
        <v>256.63363200000003</v>
      </c>
      <c r="K16" s="168">
        <f t="shared" si="3"/>
        <v>196.32472847999998</v>
      </c>
      <c r="L16" s="169">
        <f t="shared" ca="1" si="3"/>
        <v>944.37608879954689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Epicéa de Sitka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Thuya géant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Cryptomère du Japon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Séquoia toujours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7" zoomScale="60" zoomScaleNormal="60" workbookViewId="0">
      <selection activeCell="V22" sqref="V22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816406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Epicéa de Sitka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5022.285880368062</v>
      </c>
      <c r="U10" s="178">
        <f>'Données projet'!D9</f>
        <v>2.6312000000000002</v>
      </c>
      <c r="V10" s="177">
        <f>U10*T10</f>
        <v>13214.638608424446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Thuya géant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3509.8138511192192</v>
      </c>
      <c r="U11" s="178">
        <f>'Données projet'!D10</f>
        <v>0.25760000000000005</v>
      </c>
      <c r="V11" s="177">
        <f t="shared" ref="V11" si="0">U11*T11</f>
        <v>904.12804804831103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Cryptomère du Japon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4029.7198047947895</v>
      </c>
      <c r="U12" s="178">
        <f>'Données projet'!D11</f>
        <v>0.5152000000000001</v>
      </c>
      <c r="V12" s="177">
        <f t="shared" ref="V12:V19" si="1">U12*T12</f>
        <v>2076.1116434302758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Séquoia toujours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4029.7198047947895</v>
      </c>
      <c r="U13" s="178">
        <f>'Données projet'!D12</f>
        <v>0.25760000000000005</v>
      </c>
      <c r="V13" s="177">
        <f t="shared" si="1"/>
        <v>1038.0558217151379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Epicéa de Sitka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749.99999999999943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4000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463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20</v>
      </c>
      <c r="B23" s="181">
        <f>'Données projet'!D36</f>
        <v>48</v>
      </c>
      <c r="C23" s="193">
        <v>12</v>
      </c>
      <c r="D23" s="182">
        <f>B23*C23</f>
        <v>576</v>
      </c>
      <c r="E23" s="193">
        <v>60</v>
      </c>
      <c r="F23" s="230"/>
      <c r="H23" s="190">
        <v>3</v>
      </c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-5655.7383194467802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58</v>
      </c>
      <c r="C24" s="193">
        <v>12</v>
      </c>
      <c r="D24" s="182">
        <f t="shared" ref="D24:D42" si="2">B24*C24</f>
        <v>696</v>
      </c>
      <c r="E24" s="193">
        <v>60</v>
      </c>
      <c r="F24" s="233"/>
      <c r="H24" s="190">
        <v>4</v>
      </c>
      <c r="I24" s="191">
        <v>463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305.55863390519971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28</v>
      </c>
      <c r="B25" s="181">
        <f>'Données projet'!D38</f>
        <v>66</v>
      </c>
      <c r="C25" s="193">
        <v>26.55</v>
      </c>
      <c r="D25" s="182">
        <f t="shared" si="2"/>
        <v>1752.3</v>
      </c>
      <c r="E25" s="193">
        <v>60</v>
      </c>
      <c r="F25" s="233"/>
      <c r="H25" s="190">
        <v>5</v>
      </c>
      <c r="I25" s="191">
        <v>800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-5961.2969533519799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72</v>
      </c>
      <c r="C26" s="193">
        <v>26.55</v>
      </c>
      <c r="D26" s="182">
        <f t="shared" si="2"/>
        <v>1911.6000000000001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36</v>
      </c>
      <c r="B27" s="181">
        <f>'Données projet'!D40</f>
        <v>59</v>
      </c>
      <c r="C27" s="193">
        <v>26.55</v>
      </c>
      <c r="D27" s="182">
        <f t="shared" si="2"/>
        <v>1566.45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40</v>
      </c>
      <c r="B28" s="181">
        <f>'Données projet'!D41</f>
        <v>55</v>
      </c>
      <c r="C28" s="193">
        <v>26.55</v>
      </c>
      <c r="D28" s="182">
        <f t="shared" si="2"/>
        <v>1460.25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45</v>
      </c>
      <c r="B29" s="181">
        <f>'Données projet'!D42</f>
        <v>62</v>
      </c>
      <c r="C29" s="193">
        <v>26.55</v>
      </c>
      <c r="D29" s="182">
        <f t="shared" si="2"/>
        <v>1646.1000000000001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50</v>
      </c>
      <c r="B30" s="181">
        <f>'Données projet'!D43</f>
        <v>781</v>
      </c>
      <c r="C30" s="193">
        <v>33.299999999999997</v>
      </c>
      <c r="D30" s="182">
        <f t="shared" si="2"/>
        <v>26007.3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Thuya géant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20</v>
      </c>
      <c r="B54" s="181">
        <f>'Données projet'!D62</f>
        <v>49</v>
      </c>
      <c r="C54" s="191">
        <v>8.75</v>
      </c>
      <c r="D54" s="179">
        <f>B54*C54</f>
        <v>428.75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25</v>
      </c>
      <c r="B55" s="181">
        <f>'Données projet'!D63</f>
        <v>77</v>
      </c>
      <c r="C55" s="191">
        <v>8.75</v>
      </c>
      <c r="D55" s="179">
        <f t="shared" ref="D55:D73" si="4">B55*C55</f>
        <v>673.75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77</v>
      </c>
      <c r="C56" s="191">
        <v>8.75</v>
      </c>
      <c r="D56" s="179">
        <f t="shared" si="4"/>
        <v>673.75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35</v>
      </c>
      <c r="B57" s="181">
        <f>'Données projet'!D65</f>
        <v>77</v>
      </c>
      <c r="C57" s="191">
        <v>8.75</v>
      </c>
      <c r="D57" s="179">
        <f t="shared" si="4"/>
        <v>673.75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40</v>
      </c>
      <c r="B58" s="181">
        <f>'Données projet'!D66</f>
        <v>77</v>
      </c>
      <c r="C58" s="191">
        <v>36</v>
      </c>
      <c r="D58" s="179">
        <f t="shared" si="4"/>
        <v>2772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45</v>
      </c>
      <c r="B59" s="181">
        <f>'Données projet'!D67</f>
        <v>77</v>
      </c>
      <c r="C59" s="191">
        <v>36</v>
      </c>
      <c r="D59" s="179">
        <f t="shared" si="4"/>
        <v>2772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50</v>
      </c>
      <c r="B60" s="181">
        <f>'Données projet'!D68</f>
        <v>76</v>
      </c>
      <c r="C60" s="191">
        <v>36</v>
      </c>
      <c r="D60" s="179">
        <f t="shared" si="4"/>
        <v>2736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55</v>
      </c>
      <c r="B61" s="181">
        <f>'Données projet'!D69</f>
        <v>66</v>
      </c>
      <c r="C61" s="191">
        <v>36</v>
      </c>
      <c r="D61" s="179">
        <f t="shared" si="4"/>
        <v>2376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60</v>
      </c>
      <c r="B62" s="181">
        <f>'Données projet'!D70</f>
        <v>60</v>
      </c>
      <c r="C62" s="191">
        <v>36</v>
      </c>
      <c r="D62" s="179">
        <f t="shared" si="4"/>
        <v>2160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65</v>
      </c>
      <c r="B63" s="181">
        <f>'Données projet'!D71</f>
        <v>56</v>
      </c>
      <c r="C63" s="191">
        <v>36</v>
      </c>
      <c r="D63" s="179">
        <f t="shared" si="4"/>
        <v>2016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70</v>
      </c>
      <c r="B64" s="181">
        <f>'Données projet'!D72</f>
        <v>53</v>
      </c>
      <c r="C64" s="191">
        <v>36</v>
      </c>
      <c r="D64" s="179">
        <f t="shared" si="4"/>
        <v>1908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75</v>
      </c>
      <c r="B65" s="181">
        <f>'Données projet'!D73</f>
        <v>50</v>
      </c>
      <c r="C65" s="191">
        <v>36</v>
      </c>
      <c r="D65" s="179">
        <f t="shared" si="4"/>
        <v>1800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80</v>
      </c>
      <c r="B66" s="181">
        <f>'Données projet'!D74</f>
        <v>901</v>
      </c>
      <c r="C66" s="191">
        <v>49.2</v>
      </c>
      <c r="D66" s="179">
        <f t="shared" si="4"/>
        <v>44329.200000000004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Cryptomère du Japon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23</v>
      </c>
      <c r="B85" s="181">
        <f>'Données projet'!D88</f>
        <v>55</v>
      </c>
      <c r="C85" s="191">
        <v>12</v>
      </c>
      <c r="D85" s="179">
        <f>B85*C85</f>
        <v>660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27</v>
      </c>
      <c r="B86" s="181">
        <f>'Données projet'!D89</f>
        <v>64</v>
      </c>
      <c r="C86" s="191">
        <v>12</v>
      </c>
      <c r="D86" s="179">
        <f t="shared" ref="D86:D104" si="6">B86*C86</f>
        <v>768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31</v>
      </c>
      <c r="B87" s="181">
        <f>'Données projet'!D90</f>
        <v>57</v>
      </c>
      <c r="C87" s="191">
        <v>26.55</v>
      </c>
      <c r="D87" s="179">
        <f t="shared" si="6"/>
        <v>1513.3500000000001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35</v>
      </c>
      <c r="B88" s="181">
        <f>'Données projet'!D91</f>
        <v>64</v>
      </c>
      <c r="C88" s="191">
        <v>26.55</v>
      </c>
      <c r="D88" s="179">
        <f t="shared" si="6"/>
        <v>1699.2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39</v>
      </c>
      <c r="B89" s="181">
        <f>'Données projet'!D92</f>
        <v>50</v>
      </c>
      <c r="C89" s="191">
        <v>26.55</v>
      </c>
      <c r="D89" s="179">
        <f t="shared" si="6"/>
        <v>1327.5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44</v>
      </c>
      <c r="B90" s="181">
        <f>'Données projet'!D93</f>
        <v>57</v>
      </c>
      <c r="C90" s="191">
        <v>26.55</v>
      </c>
      <c r="D90" s="179">
        <f t="shared" si="6"/>
        <v>1513.3500000000001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50</v>
      </c>
      <c r="B91" s="181">
        <f>'Données projet'!D94</f>
        <v>67</v>
      </c>
      <c r="C91" s="191">
        <v>26.55</v>
      </c>
      <c r="D91" s="179">
        <f t="shared" si="6"/>
        <v>1778.8500000000001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53</v>
      </c>
      <c r="B92" s="181">
        <f>'Données projet'!D95</f>
        <v>697</v>
      </c>
      <c r="C92" s="191">
        <v>33.299999999999997</v>
      </c>
      <c r="D92" s="179">
        <f t="shared" si="6"/>
        <v>23210.1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Séquoia toujours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23</v>
      </c>
      <c r="B116" s="181">
        <f>'Données projet'!D114</f>
        <v>55</v>
      </c>
      <c r="C116" s="191">
        <v>12</v>
      </c>
      <c r="D116" s="179">
        <f>B116*C116</f>
        <v>660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27</v>
      </c>
      <c r="B117" s="181">
        <f>'Données projet'!D115</f>
        <v>64</v>
      </c>
      <c r="C117" s="191">
        <v>12</v>
      </c>
      <c r="D117" s="179">
        <f t="shared" ref="D117:D135" si="8">B117*C117</f>
        <v>768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31</v>
      </c>
      <c r="B118" s="181">
        <f>'Données projet'!D116</f>
        <v>57</v>
      </c>
      <c r="C118" s="191">
        <v>26.55</v>
      </c>
      <c r="D118" s="179">
        <f t="shared" si="8"/>
        <v>1513.3500000000001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35</v>
      </c>
      <c r="B119" s="181">
        <f>'Données projet'!D117</f>
        <v>64</v>
      </c>
      <c r="C119" s="191">
        <v>26.55</v>
      </c>
      <c r="D119" s="179">
        <f t="shared" si="8"/>
        <v>1699.2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39</v>
      </c>
      <c r="B120" s="181">
        <f>'Données projet'!D118</f>
        <v>50</v>
      </c>
      <c r="C120" s="191">
        <v>26.55</v>
      </c>
      <c r="D120" s="179">
        <f t="shared" si="8"/>
        <v>1327.5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44</v>
      </c>
      <c r="B121" s="181">
        <f>'Données projet'!D119</f>
        <v>57</v>
      </c>
      <c r="C121" s="191">
        <v>26.55</v>
      </c>
      <c r="D121" s="179">
        <f t="shared" si="8"/>
        <v>1513.3500000000001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50</v>
      </c>
      <c r="B122" s="181">
        <f>'Données projet'!D120</f>
        <v>67</v>
      </c>
      <c r="C122" s="191">
        <v>26.55</v>
      </c>
      <c r="D122" s="179">
        <f t="shared" si="8"/>
        <v>1778.8500000000001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53</v>
      </c>
      <c r="B123" s="181">
        <f>'Données projet'!D121</f>
        <v>697</v>
      </c>
      <c r="C123" s="191">
        <v>33.299999999999997</v>
      </c>
      <c r="D123" s="179">
        <f t="shared" si="8"/>
        <v>23210.1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4" ma:contentTypeDescription="Create a new document." ma:contentTypeScope="" ma:versionID="85b2a8abe915415f3e5ac30b3d54583c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dbd2cb27d57d4e067c958670f4aa14f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F9CAB9CC-1631-4836-8D23-0F1A6CF0E3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2C27-08BA-4F7D-9898-CD4742CC7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8BA857-2D18-43D2-A213-83E05487047F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Ellens Lucas</cp:lastModifiedBy>
  <dcterms:created xsi:type="dcterms:W3CDTF">2021-02-01T08:22:39Z</dcterms:created>
  <dcterms:modified xsi:type="dcterms:W3CDTF">2023-06-19T15:54:48Z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MediaServiceImageTags">
    <vt:lpwstr/>
  </property>
</Properties>
</file>