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érigord\ST MEDARD D'EXCIDEUIL (24) PEYRAT Adrien\Dossier final\"/>
    </mc:Choice>
  </mc:AlternateContent>
  <xr:revisionPtr revIDLastSave="0" documentId="13_ncr:1_{2B7B6E99-9668-4495-A039-8BBF1FA3E533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43" i="2" l="1" a="1"/>
  <c r="BC143" i="2" s="1"/>
  <c r="BC65" i="2" a="1"/>
  <c r="BC65" i="2" s="1"/>
  <c r="BC55" i="2" a="1"/>
  <c r="BC55" i="2" s="1"/>
  <c r="BC192" i="2" a="1"/>
  <c r="BC192" i="2" s="1"/>
  <c r="BC117" i="2" a="1"/>
  <c r="BC117" i="2" s="1"/>
  <c r="BC114" i="2" a="1"/>
  <c r="BC114" i="2" s="1"/>
  <c r="BC31" i="2" a="1"/>
  <c r="BC31" i="2" s="1"/>
  <c r="BC82" i="2" a="1"/>
  <c r="BC82" i="2" s="1"/>
  <c r="BC84" i="2" a="1"/>
  <c r="BC84" i="2" s="1"/>
  <c r="BC32" i="2" a="1"/>
  <c r="BC32" i="2" s="1"/>
  <c r="BC47" i="2" a="1"/>
  <c r="BC47" i="2" s="1"/>
  <c r="BC7" i="2" a="1"/>
  <c r="BC7" i="2" s="1"/>
  <c r="BC181" i="2" a="1"/>
  <c r="BC181" i="2" s="1"/>
  <c r="BC164" i="2" a="1"/>
  <c r="BC164" i="2" s="1"/>
  <c r="BC126" i="2" a="1"/>
  <c r="BC126" i="2" s="1"/>
  <c r="BC38" i="2" a="1"/>
  <c r="BC38" i="2" s="1"/>
  <c r="BC58" i="2" a="1"/>
  <c r="BC58" i="2" s="1"/>
  <c r="BC130" i="2" a="1"/>
  <c r="BC130" i="2" s="1"/>
  <c r="BC83" i="2" a="1"/>
  <c r="BC83" i="2" s="1"/>
  <c r="BC68" i="2" a="1"/>
  <c r="BC68" i="2" s="1"/>
  <c r="BC151" i="2" a="1"/>
  <c r="BC151" i="2" s="1"/>
  <c r="BC34" i="2" a="1"/>
  <c r="BC34" i="2" s="1"/>
  <c r="BC185" i="2" a="1"/>
  <c r="BC185" i="2" s="1"/>
  <c r="AH19" i="2" a="1"/>
  <c r="AH19" i="2" s="1"/>
  <c r="AH166" i="2" a="1"/>
  <c r="AH166" i="2" s="1"/>
  <c r="AH90" i="2" a="1"/>
  <c r="AH90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<sst xmlns="http://schemas.openxmlformats.org/spreadsheetml/2006/main" count="1172" uniqueCount="324">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</sst>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2.7937677090506927</c:v>
                </c:pt>
                <c:pt idx="2">
                  <c:v>3.494630676602434</c:v>
                </c:pt>
                <c:pt idx="3">
                  <c:v>4.3719965840625639</c:v>
                </c:pt>
                <c:pt idx="4">
                  <c:v>5.4704766677833838</c:v>
                </c:pt>
                <c:pt idx="5">
                  <c:v>6.8459958247924684</c:v>
                </c:pt>
                <c:pt idx="6">
                  <c:v>8.5686708048285141</c:v>
                </c:pt>
                <c:pt idx="7">
                  <c:v>10.726422722638716</c:v>
                </c:pt>
                <c:pt idx="8">
                  <c:v>13.429511733043208</c:v>
                </c:pt>
                <c:pt idx="9">
                  <c:v>16.81622987742189</c:v>
                </c:pt>
                <c:pt idx="10">
                  <c:v>21.060048653888444</c:v>
                </c:pt>
                <c:pt idx="11">
                  <c:v>26.378593971397137</c:v>
                </c:pt>
                <c:pt idx="12">
                  <c:v>33.044916829290678</c:v>
                </c:pt>
                <c:pt idx="13">
                  <c:v>41.401648361600742</c:v>
                </c:pt>
                <c:pt idx="14">
                  <c:v>51.87877914465313</c:v>
                </c:pt>
                <c:pt idx="15">
                  <c:v>65.015992870184718</c:v>
                </c:pt>
                <c:pt idx="16">
                  <c:v>81.490723678847203</c:v>
                </c:pt>
                <c:pt idx="17">
                  <c:v>102.15340727004774</c:v>
                </c:pt>
                <c:pt idx="18">
                  <c:v>128.07177425900235</c:v>
                </c:pt>
                <c:pt idx="19">
                  <c:v>160.58651015726517</c:v>
                </c:pt>
                <c:pt idx="20">
                  <c:v>201.38120500067484</c:v>
                </c:pt>
                <c:pt idx="21">
                  <c:v>160.8744598001081</c:v>
                </c:pt>
                <c:pt idx="22">
                  <c:v>180.96513721023075</c:v>
                </c:pt>
                <c:pt idx="23">
                  <c:v>201.00358266422018</c:v>
                </c:pt>
                <c:pt idx="24">
                  <c:v>220.99573745004466</c:v>
                </c:pt>
                <c:pt idx="25">
                  <c:v>240.94637860003544</c:v>
                </c:pt>
                <c:pt idx="26">
                  <c:v>201.38120500067475</c:v>
                </c:pt>
                <c:pt idx="27">
                  <c:v>220.24209728386404</c:v>
                </c:pt>
                <c:pt idx="28">
                  <c:v>239.06590436046736</c:v>
                </c:pt>
                <c:pt idx="29">
                  <c:v>257.85595699105767</c:v>
                </c:pt>
                <c:pt idx="30">
                  <c:v>276.61506059958816</c:v>
                </c:pt>
                <c:pt idx="31">
                  <c:v>235.6801991417741</c:v>
                </c:pt>
                <c:pt idx="32">
                  <c:v>252.97362594481319</c:v>
                </c:pt>
                <c:pt idx="33">
                  <c:v>270.24028170556272</c:v>
                </c:pt>
                <c:pt idx="34">
                  <c:v>287.48211750444796</c:v>
                </c:pt>
                <c:pt idx="35">
                  <c:v>304.70083122716056</c:v>
                </c:pt>
                <c:pt idx="36">
                  <c:v>263.86211541012477</c:v>
                </c:pt>
                <c:pt idx="37">
                  <c:v>279.23900597474034</c:v>
                </c:pt>
                <c:pt idx="38">
                  <c:v>294.59690838804539</c:v>
                </c:pt>
                <c:pt idx="39">
                  <c:v>309.93695192564923</c:v>
                </c:pt>
                <c:pt idx="40">
                  <c:v>325.26014493454295</c:v>
                </c:pt>
                <c:pt idx="41">
                  <c:v>287.107546598586</c:v>
                </c:pt>
                <c:pt idx="42">
                  <c:v>301.33369868276117</c:v>
                </c:pt>
                <c:pt idx="43">
                  <c:v>315.5449029690518</c:v>
                </c:pt>
                <c:pt idx="44">
                  <c:v>329.74192753151533</c:v>
                </c:pt>
                <c:pt idx="45">
                  <c:v>343.92546889640693</c:v>
                </c:pt>
                <c:pt idx="46">
                  <c:v>307.6931428899108</c:v>
                </c:pt>
                <c:pt idx="47">
                  <c:v>320.02967142824974</c:v>
                </c:pt>
                <c:pt idx="48">
                  <c:v>332.35567865620197</c:v>
                </c:pt>
                <c:pt idx="49">
                  <c:v>344.67160985755453</c:v>
                </c:pt>
                <c:pt idx="50">
                  <c:v>356.97787588797092</c:v>
                </c:pt>
                <c:pt idx="51">
                  <c:v>323.76591506204585</c:v>
                </c:pt>
                <c:pt idx="52">
                  <c:v>335.34226803283201</c:v>
                </c:pt>
                <c:pt idx="53">
                  <c:v>346.90982014061501</c:v>
                </c:pt>
                <c:pt idx="54">
                  <c:v>358.46890629665069</c:v>
                </c:pt>
                <c:pt idx="55">
                  <c:v>370.01983804377818</c:v>
                </c:pt>
                <c:pt idx="56">
                  <c:v>340.56739298972877</c:v>
                </c:pt>
                <c:pt idx="57">
                  <c:v>350.266541780946</c:v>
                </c:pt>
                <c:pt idx="58">
                  <c:v>359.95980096859495</c:v>
                </c:pt>
                <c:pt idx="59">
                  <c:v>369.64735159591118</c:v>
                </c:pt>
                <c:pt idx="60">
                  <c:v>379.32936443758189</c:v>
                </c:pt>
                <c:pt idx="61">
                  <c:v>352.50396372745234</c:v>
                </c:pt>
                <c:pt idx="62">
                  <c:v>361.07788328211944</c:v>
                </c:pt>
                <c:pt idx="63">
                  <c:v>369.64735159591118</c:v>
                </c:pt>
                <c:pt idx="64">
                  <c:v>378.21248648031298</c:v>
                </c:pt>
                <c:pt idx="65">
                  <c:v>386.77339997206644</c:v>
                </c:pt>
                <c:pt idx="66">
                  <c:v>362.56854195764731</c:v>
                </c:pt>
                <c:pt idx="67">
                  <c:v>370.01983804377795</c:v>
                </c:pt>
                <c:pt idx="68">
                  <c:v>377.46786129485963</c:v>
                </c:pt>
                <c:pt idx="69">
                  <c:v>384.91268544829768</c:v>
                </c:pt>
                <c:pt idx="70">
                  <c:v>392.35438115419657</c:v>
                </c:pt>
                <c:pt idx="71">
                  <c:v>371.13724833655573</c:v>
                </c:pt>
                <c:pt idx="72">
                  <c:v>377.84017788163356</c:v>
                </c:pt>
                <c:pt idx="73">
                  <c:v>384.54051911648162</c:v>
                </c:pt>
                <c:pt idx="74">
                  <c:v>391.23832354179768</c:v>
                </c:pt>
                <c:pt idx="75">
                  <c:v>397.9336407495843</c:v>
                </c:pt>
                <c:pt idx="76">
                  <c:v>379.32936443758177</c:v>
                </c:pt>
                <c:pt idx="77">
                  <c:v>384.91268544829762</c:v>
                </c:pt>
                <c:pt idx="78">
                  <c:v>390.49424676672407</c:v>
                </c:pt>
                <c:pt idx="79">
                  <c:v>396.07407711953414</c:v>
                </c:pt>
                <c:pt idx="80">
                  <c:v>401.65220435716293</c:v>
                </c:pt>
                <c:pt idx="81">
                  <c:v>386.02913755516988</c:v>
                </c:pt>
                <c:pt idx="82">
                  <c:v>390.86628899650458</c:v>
                </c:pt>
                <c:pt idx="83">
                  <c:v>395.7021417186657</c:v>
                </c:pt>
                <c:pt idx="84">
                  <c:v>400.53671385046977</c:v>
                </c:pt>
                <c:pt idx="85">
                  <c:v>405.37002304691168</c:v>
                </c:pt>
                <c:pt idx="86">
                  <c:v>391.23832354179763</c:v>
                </c:pt>
                <c:pt idx="87">
                  <c:v>395.7021417186657</c:v>
                </c:pt>
                <c:pt idx="88">
                  <c:v>400.16486874659608</c:v>
                </c:pt>
                <c:pt idx="89">
                  <c:v>404.62651852552455</c:v>
                </c:pt>
                <c:pt idx="90">
                  <c:v>409.08710462349262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B1" zoomScale="115" zoomScaleNormal="115" workbookViewId="0">
      <selection activeCell="G1" sqref="G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0" zoomScale="90" zoomScaleNormal="90" workbookViewId="0">
      <selection activeCell="G102" sqref="G10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0.66</v>
      </c>
      <c r="D9" s="36">
        <f t="shared" ref="D9:D18" si="0">C9*$C$5</f>
        <v>2.5739999999999998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0.28999999999999998</v>
      </c>
      <c r="D10" s="36">
        <f t="shared" si="0"/>
        <v>1.131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0.05</v>
      </c>
      <c r="D11" s="36">
        <f t="shared" si="0"/>
        <v>0.19500000000000001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104</v>
      </c>
      <c r="C62" s="63">
        <v>1</v>
      </c>
      <c r="D62" s="63">
        <v>32</v>
      </c>
      <c r="E62" s="54">
        <v>0</v>
      </c>
      <c r="F62" s="54"/>
      <c r="G62" s="54">
        <v>1</v>
      </c>
      <c r="H62" s="54">
        <v>0</v>
      </c>
      <c r="I62" s="56">
        <f>IFERROR(B62/A62,"")</f>
        <v>5.2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125</v>
      </c>
      <c r="C63" s="63">
        <v>2</v>
      </c>
      <c r="D63" s="63">
        <v>31</v>
      </c>
      <c r="E63" s="54">
        <v>0</v>
      </c>
      <c r="F63" s="54"/>
      <c r="G63" s="54">
        <v>0.7</v>
      </c>
      <c r="H63" s="54">
        <v>0.3</v>
      </c>
      <c r="I63" s="52">
        <f>IF(A63&lt;&gt;0,(B63-(B62-D62))/(A63-A62),"")</f>
        <v>10.6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144</v>
      </c>
      <c r="C64" s="63">
        <v>3</v>
      </c>
      <c r="D64" s="63">
        <v>31</v>
      </c>
      <c r="E64" s="54">
        <v>0</v>
      </c>
      <c r="F64" s="54"/>
      <c r="G64" s="54">
        <v>0.5</v>
      </c>
      <c r="H64" s="54">
        <v>0.5</v>
      </c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159</v>
      </c>
      <c r="C65" s="63">
        <v>4</v>
      </c>
      <c r="D65" s="63">
        <v>30</v>
      </c>
      <c r="E65" s="54">
        <v>0.2</v>
      </c>
      <c r="F65" s="54"/>
      <c r="G65" s="54">
        <v>0.2</v>
      </c>
      <c r="H65" s="54">
        <v>0.6</v>
      </c>
      <c r="I65" s="52">
        <f>IF(A65&lt;&gt;0,(B65-(B64-D64))/(A65-A64),"")</f>
        <v>9.1999999999999993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170</v>
      </c>
      <c r="C66" s="63">
        <v>5</v>
      </c>
      <c r="D66" s="63">
        <v>28</v>
      </c>
      <c r="E66" s="54">
        <v>0.3</v>
      </c>
      <c r="F66" s="54"/>
      <c r="G66" s="54">
        <v>0.1</v>
      </c>
      <c r="H66" s="54">
        <v>0.6</v>
      </c>
      <c r="I66" s="52">
        <f t="shared" ref="I66:I81" si="2">IF(A66&lt;&gt;0,(B66-(B65-D65))/(A66-A65),"")</f>
        <v>8.1999999999999993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180</v>
      </c>
      <c r="C67" s="63">
        <v>6</v>
      </c>
      <c r="D67" s="63">
        <v>26</v>
      </c>
      <c r="E67" s="54">
        <v>0.35</v>
      </c>
      <c r="F67" s="54"/>
      <c r="G67" s="54">
        <v>0</v>
      </c>
      <c r="H67" s="54">
        <v>0.65</v>
      </c>
      <c r="I67" s="52">
        <f t="shared" si="2"/>
        <v>7.6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187</v>
      </c>
      <c r="C68" s="63">
        <v>7</v>
      </c>
      <c r="D68" s="63">
        <v>24</v>
      </c>
      <c r="E68" s="54">
        <v>0.4</v>
      </c>
      <c r="F68" s="54"/>
      <c r="G68" s="54">
        <v>0</v>
      </c>
      <c r="H68" s="54">
        <v>0.6</v>
      </c>
      <c r="I68" s="52">
        <f t="shared" si="2"/>
        <v>6.6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194</v>
      </c>
      <c r="C69" s="53">
        <v>8</v>
      </c>
      <c r="D69" s="53">
        <v>21</v>
      </c>
      <c r="E69" s="54">
        <v>0.5</v>
      </c>
      <c r="F69" s="54"/>
      <c r="G69" s="54">
        <v>0</v>
      </c>
      <c r="H69" s="54">
        <v>0.5</v>
      </c>
      <c r="I69" s="52">
        <f t="shared" si="2"/>
        <v>6.2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199</v>
      </c>
      <c r="C70" s="53">
        <v>9</v>
      </c>
      <c r="D70" s="53">
        <v>19</v>
      </c>
      <c r="E70" s="54">
        <v>0.6</v>
      </c>
      <c r="F70" s="54"/>
      <c r="G70" s="54">
        <v>0</v>
      </c>
      <c r="H70" s="54">
        <v>0.4</v>
      </c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203</v>
      </c>
      <c r="C71" s="53">
        <v>10</v>
      </c>
      <c r="D71" s="53">
        <v>17</v>
      </c>
      <c r="E71" s="54">
        <v>0.65</v>
      </c>
      <c r="F71" s="54"/>
      <c r="G71" s="54">
        <v>0</v>
      </c>
      <c r="H71" s="54">
        <v>0.35</v>
      </c>
      <c r="I71" s="52">
        <f t="shared" si="2"/>
        <v>4.5999999999999996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206</v>
      </c>
      <c r="C72" s="53">
        <v>11</v>
      </c>
      <c r="D72" s="53">
        <v>15</v>
      </c>
      <c r="E72" s="54">
        <v>0.7</v>
      </c>
      <c r="F72" s="54"/>
      <c r="G72" s="54">
        <v>0</v>
      </c>
      <c r="H72" s="54">
        <v>0.3</v>
      </c>
      <c r="I72" s="52">
        <f t="shared" si="2"/>
        <v>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209</v>
      </c>
      <c r="C73" s="53">
        <v>12</v>
      </c>
      <c r="D73" s="53">
        <v>13</v>
      </c>
      <c r="E73" s="54">
        <v>0.7</v>
      </c>
      <c r="F73" s="54"/>
      <c r="G73" s="54">
        <v>0</v>
      </c>
      <c r="H73" s="54">
        <v>0.3</v>
      </c>
      <c r="I73" s="52">
        <f t="shared" si="2"/>
        <v>3.6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211</v>
      </c>
      <c r="C74" s="53">
        <v>13</v>
      </c>
      <c r="D74" s="53">
        <v>11</v>
      </c>
      <c r="E74" s="54">
        <v>0.75</v>
      </c>
      <c r="F74" s="54"/>
      <c r="G74" s="54">
        <v>0</v>
      </c>
      <c r="H74" s="54">
        <v>0.25</v>
      </c>
      <c r="I74" s="52">
        <f t="shared" si="2"/>
        <v>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213</v>
      </c>
      <c r="C75" s="53">
        <v>14</v>
      </c>
      <c r="D75" s="53">
        <v>10</v>
      </c>
      <c r="E75" s="54">
        <v>0.75</v>
      </c>
      <c r="F75" s="54"/>
      <c r="G75" s="54">
        <v>0</v>
      </c>
      <c r="H75" s="54">
        <v>0.25</v>
      </c>
      <c r="I75" s="52">
        <f t="shared" si="2"/>
        <v>2.6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215</v>
      </c>
      <c r="C76" s="53">
        <v>15</v>
      </c>
      <c r="D76" s="53">
        <v>215</v>
      </c>
      <c r="E76" s="54">
        <v>0.8</v>
      </c>
      <c r="F76" s="54"/>
      <c r="G76" s="54">
        <v>0</v>
      </c>
      <c r="H76" s="54">
        <v>0.2</v>
      </c>
      <c r="I76" s="52">
        <f t="shared" si="2"/>
        <v>2.4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158</v>
      </c>
      <c r="C88" s="63">
        <v>1</v>
      </c>
      <c r="D88" s="63">
        <v>0</v>
      </c>
      <c r="E88" s="54">
        <v>0.1</v>
      </c>
      <c r="F88" s="54">
        <v>0.9</v>
      </c>
      <c r="G88" s="54"/>
      <c r="H88" s="93"/>
      <c r="I88" s="56">
        <f>IFERROR(B88/A88,"")</f>
        <v>7.9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250</v>
      </c>
      <c r="C89" s="63">
        <v>2</v>
      </c>
      <c r="D89" s="63">
        <v>0</v>
      </c>
      <c r="E89" s="54">
        <v>0.15</v>
      </c>
      <c r="F89" s="54">
        <v>0.85</v>
      </c>
      <c r="G89" s="54"/>
      <c r="H89" s="93"/>
      <c r="I89" s="56">
        <f t="shared" ref="I89:I107" si="3">IF(A89&lt;&gt;0,(B89-(B88-D88))/(A89-A88),"")</f>
        <v>9.1999999999999993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350</v>
      </c>
      <c r="C90" s="63">
        <v>3</v>
      </c>
      <c r="D90" s="63">
        <v>88</v>
      </c>
      <c r="E90" s="93">
        <v>0.2</v>
      </c>
      <c r="F90" s="93">
        <v>0.8</v>
      </c>
      <c r="G90" s="93"/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377</v>
      </c>
      <c r="C91" s="63">
        <v>4</v>
      </c>
      <c r="D91" s="63">
        <v>0</v>
      </c>
      <c r="E91" s="93">
        <v>0.3</v>
      </c>
      <c r="F91" s="93">
        <v>0.7</v>
      </c>
      <c r="G91" s="93"/>
      <c r="H91" s="93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512</v>
      </c>
      <c r="C92" s="63">
        <v>5</v>
      </c>
      <c r="D92" s="63">
        <v>102</v>
      </c>
      <c r="E92" s="93">
        <v>0.4</v>
      </c>
      <c r="F92" s="93">
        <v>0.6</v>
      </c>
      <c r="G92" s="93"/>
      <c r="H92" s="93"/>
      <c r="I92" s="56">
        <f t="shared" si="3"/>
        <v>13.5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565</v>
      </c>
      <c r="C93" s="63">
        <v>6</v>
      </c>
      <c r="D93" s="63">
        <v>113</v>
      </c>
      <c r="E93" s="93">
        <v>0.5</v>
      </c>
      <c r="F93" s="93">
        <v>0.5</v>
      </c>
      <c r="G93" s="93"/>
      <c r="H93" s="93"/>
      <c r="I93" s="56">
        <f t="shared" si="3"/>
        <v>15.5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622</v>
      </c>
      <c r="C94" s="63">
        <v>7</v>
      </c>
      <c r="D94" s="63">
        <v>124</v>
      </c>
      <c r="E94" s="93">
        <v>0.6</v>
      </c>
      <c r="F94" s="93">
        <v>0.4</v>
      </c>
      <c r="G94" s="93"/>
      <c r="H94" s="93"/>
      <c r="I94" s="56">
        <f t="shared" si="3"/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90</v>
      </c>
      <c r="B95" s="63">
        <v>673</v>
      </c>
      <c r="C95" s="63">
        <v>8</v>
      </c>
      <c r="D95" s="63">
        <v>135</v>
      </c>
      <c r="E95" s="93">
        <v>0.8</v>
      </c>
      <c r="F95" s="93">
        <v>0.2</v>
      </c>
      <c r="G95" s="93"/>
      <c r="H95" s="93"/>
      <c r="I95" s="56">
        <f t="shared" si="3"/>
        <v>17.5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100</v>
      </c>
      <c r="B96" s="63">
        <v>723</v>
      </c>
      <c r="C96" s="63">
        <v>9</v>
      </c>
      <c r="D96" s="63">
        <v>723</v>
      </c>
      <c r="E96" s="93">
        <v>1</v>
      </c>
      <c r="F96" s="93">
        <v>0</v>
      </c>
      <c r="G96" s="93"/>
      <c r="H96" s="93"/>
      <c r="I96" s="56">
        <f t="shared" si="3"/>
        <v>18.5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159.45415548295978</v>
      </c>
      <c r="T3" s="62">
        <f>IF('Données projet'!E9&gt;30,$R$33-$H$33,LOOKUP('Données projet'!$E$9,$A$3:$A$203,R3:R203)-LOOKUP('Données projet'!$E$9,$A$3:$A$203,$H$3:$H$203))</f>
        <v>268.09398033989754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211.73952357671845</v>
      </c>
      <c r="AO3" s="62">
        <f>IF('Données projet'!E10&gt;30,$AM$33-$H$33,LOOKUP('Données projet'!$E$10,$A$3:$A$203,AM3:AM203)-LOOKUP('Données projet'!$E$10,$A$3:$A$203,$H$3:$H$203))</f>
        <v>238.591781509447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0</v>
      </c>
      <c r="BJ3" s="62">
        <f>IF('Données projet'!E11&gt;30,$BH$33-$H$33,LOOKUP('Données projet'!$E$11,$A$3:$A$203,BH3:BH203)-LOOKUP('Données projet'!$E$11,$A$3:$A$203,$H$3:$H$203))</f>
        <v>0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159.45415548295978</v>
      </c>
      <c r="T4" s="62">
        <f>$T$3</f>
        <v>268.09398033989754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5.2</v>
      </c>
      <c r="AI4" s="14">
        <f>IF('Données projet'!$A$62&gt;35,AI3+AH4-AQ3,IF(A4&lt;'Données projet'!$A$62,$AF$205^A4,IF(A4='Données projet'!$A$62,'Données projet'!$B$62,AI3+AH4-AQ3)))</f>
        <v>1.2613966317002558</v>
      </c>
      <c r="AJ4" s="14">
        <f>AI4*VLOOKUP('Données projet'!$B$10,Paramètres!$A$1:$I$89,3,0)*VLOOKUP('Données projet'!$B$10,Paramètres!$A$1:$I$89,5,0)</f>
        <v>1.1019560974533436</v>
      </c>
      <c r="AK4" s="14">
        <f>EXP(-1.0587+0.8836*LN(AJ4)+0.284)</f>
        <v>0.5021210560685857</v>
      </c>
      <c r="AL4" s="22">
        <f t="shared" ref="AL4:AL67" si="4">(AJ4+AK4)*0.475*44/12</f>
        <v>2.7937677090506927</v>
      </c>
      <c r="AM4" s="62">
        <f t="shared" ref="AM4:AM67" si="5">AL4+(AD4+AE4)*44/12</f>
        <v>296.12710104238403</v>
      </c>
      <c r="AN4" s="62">
        <f ca="1">AVERAGE(OFFSET($AM$3,0,0,'Données projet'!$E$10+1,1))-AVERAGE(OFFSET($H$3,0,0,'Données projet'!$E$10+1,1))</f>
        <v>211.73952357671845</v>
      </c>
      <c r="AO4" s="62">
        <f>$AO$3</f>
        <v>238.591781509447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7.9</v>
      </c>
      <c r="BD4" s="13">
        <f>IF('Données projet'!$A$88&gt;35,BD3+BC4-BL3,IF(A4&lt;'Données projet'!$A$88,$BA$205^A4,IF(A4='Données projet'!$A$88,'Données projet'!$B$88,BD3+BC4-BL3)))</f>
        <v>1.2880503926580862</v>
      </c>
      <c r="BE4" s="14">
        <f>BD4*VLOOKUP('Données projet'!$B$11,Paramètres!$A$1:$I$89,3,0)*VLOOKUP('Données projet'!$B$11,Paramètres!$A$1:$I$89,5,0)</f>
        <v>0.60280758376398436</v>
      </c>
      <c r="BF4" s="14">
        <f>EXP(-1.0587+0.8836*LN(BE4)+0.284)</f>
        <v>0.29465781953181042</v>
      </c>
      <c r="BG4" s="22">
        <f t="shared" ref="BG4:BG67" si="7">(BE4+BF4)*0.475*44/12</f>
        <v>1.5630855774068424</v>
      </c>
      <c r="BH4" s="62">
        <f t="shared" ref="BH4:BH67" si="8">BG4+(AY4+AZ4)*44/12</f>
        <v>294.89641891074018</v>
      </c>
      <c r="BI4" s="62">
        <f ca="1">AVERAGE(OFFSET($BH$3,0,0,'Données projet'!$E$11+1,1))-AVERAGE(OFFSET($H$3,0,0,'Données projet'!$E$11+1,1))</f>
        <v>0</v>
      </c>
      <c r="BJ4" s="62">
        <f>$BJ$3</f>
        <v>0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159.45415548295978</v>
      </c>
      <c r="T5" s="62">
        <f t="shared" ref="T5:T68" si="34">$T$3</f>
        <v>268.09398033989754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5.2</v>
      </c>
      <c r="AI5" s="14">
        <f>IF('Données projet'!$A$62&gt;35,AI4+AH5-AQ4,IF(A5&lt;'Données projet'!$A$62,$AF$205^A5,IF(A5='Données projet'!$A$62,'Données projet'!$B$62,AI4+AH5-AQ4)))</f>
        <v>1.5911214624647509</v>
      </c>
      <c r="AJ5" s="14">
        <f>AI5*VLOOKUP('Données projet'!$B$10,Paramètres!$A$1:$I$89,3,0)*VLOOKUP('Données projet'!$B$10,Paramètres!$A$1:$I$89,5,0)</f>
        <v>1.3900037096092066</v>
      </c>
      <c r="AK5" s="14">
        <f t="shared" ref="AK5:AK68" si="35">EXP(-1.0587+0.8836*LN(AJ5)+0.284)</f>
        <v>0.61648280327257376</v>
      </c>
      <c r="AL5" s="22">
        <f t="shared" si="4"/>
        <v>3.494630676602434</v>
      </c>
      <c r="AM5" s="62">
        <f t="shared" si="5"/>
        <v>296.82796400993573</v>
      </c>
      <c r="AN5" s="62">
        <f ca="1">AVERAGE(OFFSET($AM$3,0,0,'Données projet'!$E$10+1,1))-AVERAGE(OFFSET($H$3,0,0,'Données projet'!$E$10+1,1))</f>
        <v>211.73952357671845</v>
      </c>
      <c r="AO5" s="62">
        <f t="shared" ref="AO5:AO68" si="36">$AO$3</f>
        <v>238.591781509447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7.9</v>
      </c>
      <c r="BD5" s="13">
        <f>IF('Données projet'!$A$88&gt;35,BD4+BC5-BL4,IF(A5&lt;'Données projet'!$A$88,$BA$205^A5,IF(A5='Données projet'!$A$88,'Données projet'!$B$88,BD4+BC5-BL4)))</f>
        <v>1.6590738140266501</v>
      </c>
      <c r="BE5" s="14">
        <f>BD5*VLOOKUP('Données projet'!$B$11,Paramètres!$A$1:$I$89,3,0)*VLOOKUP('Données projet'!$B$11,Paramètres!$A$1:$I$89,5,0)</f>
        <v>0.77644654496447219</v>
      </c>
      <c r="BF5" s="14">
        <f t="shared" ref="BF5:BF68" si="37">EXP(-1.0587+0.8836*LN(BE5)+0.284)</f>
        <v>0.36851455096495994</v>
      </c>
      <c r="BG5" s="22">
        <f t="shared" si="7"/>
        <v>1.9941405754104276</v>
      </c>
      <c r="BH5" s="62">
        <f t="shared" si="8"/>
        <v>295.32747390874374</v>
      </c>
      <c r="BI5" s="62">
        <f ca="1">AVERAGE(OFFSET($BH$3,0,0,'Données projet'!$E$11+1,1))-AVERAGE(OFFSET($H$3,0,0,'Données projet'!$E$11+1,1))</f>
        <v>0</v>
      </c>
      <c r="BJ5" s="62">
        <f t="shared" ref="BJ5:BJ68" si="38">$BJ$3</f>
        <v>0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159.45415548295978</v>
      </c>
      <c r="T6" s="62">
        <f t="shared" si="34"/>
        <v>268.09398033989754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5.2</v>
      </c>
      <c r="AI6" s="14">
        <f>IF('Données projet'!$A$62&gt;35,AI5+AH6-AQ5,IF(A6&lt;'Données projet'!$A$62,$AF$205^A6,IF(A6='Données projet'!$A$62,'Données projet'!$B$62,AI5+AH6-AQ5)))</f>
        <v>2.0070352533790219</v>
      </c>
      <c r="AJ6" s="14">
        <f>AI6*VLOOKUP('Données projet'!$B$10,Paramètres!$A$1:$I$89,3,0)*VLOOKUP('Données projet'!$B$10,Paramètres!$A$1:$I$89,5,0)</f>
        <v>1.7533459973519137</v>
      </c>
      <c r="AK6" s="14">
        <f t="shared" si="35"/>
        <v>0.75689127579405635</v>
      </c>
      <c r="AL6" s="22">
        <f t="shared" si="4"/>
        <v>4.3719965840625639</v>
      </c>
      <c r="AM6" s="62">
        <f t="shared" si="5"/>
        <v>297.70532991739589</v>
      </c>
      <c r="AN6" s="62">
        <f ca="1">AVERAGE(OFFSET($AM$3,0,0,'Données projet'!$E$10+1,1))-AVERAGE(OFFSET($H$3,0,0,'Données projet'!$E$10+1,1))</f>
        <v>211.73952357671845</v>
      </c>
      <c r="AO6" s="62">
        <f t="shared" si="36"/>
        <v>238.591781509447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7.9</v>
      </c>
      <c r="BD6" s="13">
        <f>IF('Données projet'!$A$88&gt;35,BD5+BC6-BL5,IF(A6&lt;'Données projet'!$A$88,$BA$205^A6,IF(A6='Données projet'!$A$88,'Données projet'!$B$88,BD5+BC6-BL5)))</f>
        <v>2.1369706776057753</v>
      </c>
      <c r="BE6" s="14">
        <f>BD6*VLOOKUP('Données projet'!$B$11,Paramètres!$A$1:$I$89,3,0)*VLOOKUP('Données projet'!$B$11,Paramètres!$A$1:$I$89,5,0)</f>
        <v>1.0001022771195029</v>
      </c>
      <c r="BF6" s="14">
        <f t="shared" si="37"/>
        <v>0.46088365986243646</v>
      </c>
      <c r="BG6" s="22">
        <f t="shared" si="7"/>
        <v>2.5445505069102112</v>
      </c>
      <c r="BH6" s="62">
        <f t="shared" si="8"/>
        <v>295.8778838402435</v>
      </c>
      <c r="BI6" s="62">
        <f ca="1">AVERAGE(OFFSET($BH$3,0,0,'Données projet'!$E$11+1,1))-AVERAGE(OFFSET($H$3,0,0,'Données projet'!$E$11+1,1))</f>
        <v>0</v>
      </c>
      <c r="BJ6" s="62">
        <f t="shared" si="38"/>
        <v>0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159.45415548295978</v>
      </c>
      <c r="T7" s="62">
        <f t="shared" si="34"/>
        <v>268.09398033989754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5.2</v>
      </c>
      <c r="AI7" s="14">
        <f>IF('Données projet'!$A$62&gt;35,AI6+AH7-AQ6,IF(A7&lt;'Données projet'!$A$62,$AF$205^A7,IF(A7='Données projet'!$A$62,'Données projet'!$B$62,AI6+AH7-AQ6)))</f>
        <v>2.5316675083159677</v>
      </c>
      <c r="AJ7" s="14">
        <f>AI7*VLOOKUP('Données projet'!$B$10,Paramètres!$A$1:$I$89,3,0)*VLOOKUP('Données projet'!$B$10,Paramètres!$A$1:$I$89,5,0)</f>
        <v>2.2116647352648298</v>
      </c>
      <c r="AK7" s="14">
        <f t="shared" si="35"/>
        <v>0.92927880604620439</v>
      </c>
      <c r="AL7" s="22">
        <f t="shared" si="4"/>
        <v>5.4704766677833838</v>
      </c>
      <c r="AM7" s="62">
        <f t="shared" si="5"/>
        <v>298.80381000111669</v>
      </c>
      <c r="AN7" s="62">
        <f ca="1">AVERAGE(OFFSET($AM$3,0,0,'Données projet'!$E$10+1,1))-AVERAGE(OFFSET($H$3,0,0,'Données projet'!$E$10+1,1))</f>
        <v>211.73952357671845</v>
      </c>
      <c r="AO7" s="62">
        <f t="shared" si="36"/>
        <v>238.591781509447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7.9</v>
      </c>
      <c r="BD7" s="13">
        <f>IF('Données projet'!$A$88&gt;35,BD6+BC7-BL6,IF(A7&lt;'Données projet'!$A$88,$BA$205^A7,IF(A7='Données projet'!$A$88,'Données projet'!$B$88,BD6+BC7-BL6)))</f>
        <v>2.7525259203889356</v>
      </c>
      <c r="BE7" s="14">
        <f>BD7*VLOOKUP('Données projet'!$B$11,Paramètres!$A$1:$I$89,3,0)*VLOOKUP('Données projet'!$B$11,Paramètres!$A$1:$I$89,5,0)</f>
        <v>1.2881821307420218</v>
      </c>
      <c r="BF7" s="14">
        <f t="shared" si="37"/>
        <v>0.57640532069082717</v>
      </c>
      <c r="BG7" s="22">
        <f t="shared" si="7"/>
        <v>3.2474898112455457</v>
      </c>
      <c r="BH7" s="62">
        <f t="shared" si="8"/>
        <v>296.58082314457886</v>
      </c>
      <c r="BI7" s="62">
        <f ca="1">AVERAGE(OFFSET($BH$3,0,0,'Données projet'!$E$11+1,1))-AVERAGE(OFFSET($H$3,0,0,'Données projet'!$E$11+1,1))</f>
        <v>0</v>
      </c>
      <c r="BJ7" s="62">
        <f t="shared" si="38"/>
        <v>0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159.45415548295978</v>
      </c>
      <c r="T8" s="62">
        <f t="shared" si="34"/>
        <v>268.09398033989754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5.2</v>
      </c>
      <c r="AI8" s="14">
        <f>IF('Données projet'!$A$62&gt;35,AI7+AH8-AQ7,IF(A8&lt;'Données projet'!$A$62,$AF$205^A8,IF(A8='Données projet'!$A$62,'Données projet'!$B$62,AI7+AH8-AQ7)))</f>
        <v>3.1934368675747411</v>
      </c>
      <c r="AJ8" s="14">
        <f>AI8*VLOOKUP('Données projet'!$B$10,Paramètres!$A$1:$I$89,3,0)*VLOOKUP('Données projet'!$B$10,Paramètres!$A$1:$I$89,5,0)</f>
        <v>2.7897864475132943</v>
      </c>
      <c r="AK8" s="14">
        <f t="shared" si="35"/>
        <v>1.1409288585876447</v>
      </c>
      <c r="AL8" s="22">
        <f t="shared" si="4"/>
        <v>6.8459958247924684</v>
      </c>
      <c r="AM8" s="62">
        <f t="shared" si="5"/>
        <v>300.17932915812577</v>
      </c>
      <c r="AN8" s="62">
        <f ca="1">AVERAGE(OFFSET($AM$3,0,0,'Données projet'!$E$10+1,1))-AVERAGE(OFFSET($H$3,0,0,'Données projet'!$E$10+1,1))</f>
        <v>211.73952357671845</v>
      </c>
      <c r="AO8" s="62">
        <f t="shared" si="36"/>
        <v>238.591781509447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7.9</v>
      </c>
      <c r="BD8" s="13">
        <f>IF('Données projet'!$A$88&gt;35,BD7+BC8-BL7,IF(A8&lt;'Données projet'!$A$88,$BA$205^A8,IF(A8='Données projet'!$A$88,'Données projet'!$B$88,BD7+BC8-BL7)))</f>
        <v>3.5453920925585285</v>
      </c>
      <c r="BE8" s="14">
        <f>BD8*VLOOKUP('Données projet'!$B$11,Paramètres!$A$1:$I$89,3,0)*VLOOKUP('Données projet'!$B$11,Paramètres!$A$1:$I$89,5,0)</f>
        <v>1.6592434993173915</v>
      </c>
      <c r="BF8" s="14">
        <f t="shared" si="37"/>
        <v>0.72088277944126433</v>
      </c>
      <c r="BG8" s="22">
        <f t="shared" si="7"/>
        <v>4.1453866021713255</v>
      </c>
      <c r="BH8" s="62">
        <f t="shared" si="8"/>
        <v>297.47871993550461</v>
      </c>
      <c r="BI8" s="62">
        <f ca="1">AVERAGE(OFFSET($BH$3,0,0,'Données projet'!$E$11+1,1))-AVERAGE(OFFSET($H$3,0,0,'Données projet'!$E$11+1,1))</f>
        <v>0</v>
      </c>
      <c r="BJ8" s="62">
        <f t="shared" si="38"/>
        <v>0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159.45415548295978</v>
      </c>
      <c r="T9" s="62">
        <f t="shared" si="34"/>
        <v>268.09398033989754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5.2</v>
      </c>
      <c r="AI9" s="14">
        <f>IF('Données projet'!$A$62&gt;35,AI8+AH9-AQ8,IF(A9&lt;'Données projet'!$A$62,$AF$205^A9,IF(A9='Données projet'!$A$62,'Données projet'!$B$62,AI8+AH9-AQ8)))</f>
        <v>4.0281905083061949</v>
      </c>
      <c r="AJ9" s="14">
        <f>AI9*VLOOKUP('Données projet'!$B$10,Paramètres!$A$1:$I$89,3,0)*VLOOKUP('Données projet'!$B$10,Paramètres!$A$1:$I$89,5,0)</f>
        <v>3.5190272280562924</v>
      </c>
      <c r="AK9" s="14">
        <f t="shared" si="35"/>
        <v>1.4007837603619935</v>
      </c>
      <c r="AL9" s="22">
        <f t="shared" si="4"/>
        <v>8.5686708048285141</v>
      </c>
      <c r="AM9" s="62">
        <f t="shared" si="5"/>
        <v>301.90200413816183</v>
      </c>
      <c r="AN9" s="62">
        <f ca="1">AVERAGE(OFFSET($AM$3,0,0,'Données projet'!$E$10+1,1))-AVERAGE(OFFSET($H$3,0,0,'Données projet'!$E$10+1,1))</f>
        <v>211.73952357671845</v>
      </c>
      <c r="AO9" s="62">
        <f t="shared" si="36"/>
        <v>238.591781509447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7.9</v>
      </c>
      <c r="BD9" s="13">
        <f>IF('Données projet'!$A$88&gt;35,BD8+BC9-BL8,IF(A9&lt;'Données projet'!$A$88,$BA$205^A9,IF(A9='Données projet'!$A$88,'Données projet'!$B$88,BD8+BC9-BL8)))</f>
        <v>4.566643676946887</v>
      </c>
      <c r="BE9" s="14">
        <f>BD9*VLOOKUP('Données projet'!$B$11,Paramètres!$A$1:$I$89,3,0)*VLOOKUP('Données projet'!$B$11,Paramètres!$A$1:$I$89,5,0)</f>
        <v>2.1371892408111433</v>
      </c>
      <c r="BF9" s="14">
        <f t="shared" si="37"/>
        <v>0.9015738804633705</v>
      </c>
      <c r="BG9" s="22">
        <f t="shared" si="7"/>
        <v>5.292512436219778</v>
      </c>
      <c r="BH9" s="62">
        <f t="shared" si="8"/>
        <v>298.62584576955311</v>
      </c>
      <c r="BI9" s="62">
        <f ca="1">AVERAGE(OFFSET($BH$3,0,0,'Données projet'!$E$11+1,1))-AVERAGE(OFFSET($H$3,0,0,'Données projet'!$E$11+1,1))</f>
        <v>0</v>
      </c>
      <c r="BJ9" s="62">
        <f t="shared" si="38"/>
        <v>0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159.45415548295978</v>
      </c>
      <c r="T10" s="62">
        <f t="shared" si="34"/>
        <v>268.09398033989754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5.2</v>
      </c>
      <c r="AI10" s="14">
        <f>IF('Données projet'!$A$62&gt;35,AI9+AH10-AQ9,IF(A10&lt;'Données projet'!$A$62,$AF$205^A10,IF(A10='Données projet'!$A$62,'Données projet'!$B$62,AI9+AH10-AQ9)))</f>
        <v>5.0811459390243749</v>
      </c>
      <c r="AJ10" s="14">
        <f>AI10*VLOOKUP('Données projet'!$B$10,Paramètres!$A$1:$I$89,3,0)*VLOOKUP('Données projet'!$B$10,Paramètres!$A$1:$I$89,5,0)</f>
        <v>4.4388890923316948</v>
      </c>
      <c r="AK10" s="14">
        <f t="shared" si="35"/>
        <v>1.7198225187527358</v>
      </c>
      <c r="AL10" s="22">
        <f t="shared" si="4"/>
        <v>10.726422722638716</v>
      </c>
      <c r="AM10" s="62">
        <f t="shared" si="5"/>
        <v>304.059756055972</v>
      </c>
      <c r="AN10" s="62">
        <f ca="1">AVERAGE(OFFSET($AM$3,0,0,'Données projet'!$E$10+1,1))-AVERAGE(OFFSET($H$3,0,0,'Données projet'!$E$10+1,1))</f>
        <v>211.73952357671845</v>
      </c>
      <c r="AO10" s="62">
        <f t="shared" si="36"/>
        <v>238.591781509447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7.9</v>
      </c>
      <c r="BD10" s="13">
        <f>IF('Données projet'!$A$88&gt;35,BD9+BC10-BL9,IF(A10&lt;'Données projet'!$A$88,$BA$205^A10,IF(A10='Données projet'!$A$88,'Données projet'!$B$88,BD9+BC10-BL9)))</f>
        <v>5.8820671812210037</v>
      </c>
      <c r="BE10" s="14">
        <f>BD10*VLOOKUP('Données projet'!$B$11,Paramètres!$A$1:$I$89,3,0)*VLOOKUP('Données projet'!$B$11,Paramètres!$A$1:$I$89,5,0)</f>
        <v>2.7528074408114294</v>
      </c>
      <c r="BF10" s="14">
        <f t="shared" si="37"/>
        <v>1.1275556652411438</v>
      </c>
      <c r="BG10" s="22">
        <f t="shared" si="7"/>
        <v>6.7582990763748976</v>
      </c>
      <c r="BH10" s="62">
        <f t="shared" si="8"/>
        <v>300.09163240970821</v>
      </c>
      <c r="BI10" s="62">
        <f ca="1">AVERAGE(OFFSET($BH$3,0,0,'Données projet'!$E$11+1,1))-AVERAGE(OFFSET($H$3,0,0,'Données projet'!$E$11+1,1))</f>
        <v>0</v>
      </c>
      <c r="BJ10" s="62">
        <f t="shared" si="38"/>
        <v>0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159.45415548295978</v>
      </c>
      <c r="T11" s="62">
        <f t="shared" si="34"/>
        <v>268.09398033989754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5.2</v>
      </c>
      <c r="AI11" s="14">
        <f>IF('Données projet'!$A$62&gt;35,AI10+AH11-AQ10,IF(A11&lt;'Données projet'!$A$62,$AF$205^A11,IF(A11='Données projet'!$A$62,'Données projet'!$B$62,AI10+AH11-AQ10)))</f>
        <v>6.40934037266278</v>
      </c>
      <c r="AJ11" s="14">
        <f>AI11*VLOOKUP('Données projet'!$B$10,Paramètres!$A$1:$I$89,3,0)*VLOOKUP('Données projet'!$B$10,Paramètres!$A$1:$I$89,5,0)</f>
        <v>5.5991997495582053</v>
      </c>
      <c r="AK11" s="14">
        <f t="shared" si="35"/>
        <v>2.1115246904666036</v>
      </c>
      <c r="AL11" s="22">
        <f t="shared" si="4"/>
        <v>13.429511733043208</v>
      </c>
      <c r="AM11" s="62">
        <f t="shared" si="5"/>
        <v>306.76284506637654</v>
      </c>
      <c r="AN11" s="62">
        <f ca="1">AVERAGE(OFFSET($AM$3,0,0,'Données projet'!$E$10+1,1))-AVERAGE(OFFSET($H$3,0,0,'Données projet'!$E$10+1,1))</f>
        <v>211.73952357671845</v>
      </c>
      <c r="AO11" s="62">
        <f t="shared" si="36"/>
        <v>238.591781509447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7.9</v>
      </c>
      <c r="BD11" s="13">
        <f>IF('Données projet'!$A$88&gt;35,BD10+BC11-BL10,IF(A11&lt;'Données projet'!$A$88,$BA$205^A11,IF(A11='Données projet'!$A$88,'Données projet'!$B$88,BD10+BC11-BL10)))</f>
        <v>7.5763989424129567</v>
      </c>
      <c r="BE11" s="14">
        <f>BD11*VLOOKUP('Données projet'!$B$11,Paramètres!$A$1:$I$89,3,0)*VLOOKUP('Données projet'!$B$11,Paramètres!$A$1:$I$89,5,0)</f>
        <v>3.5457547050492639</v>
      </c>
      <c r="BF11" s="14">
        <f t="shared" si="37"/>
        <v>1.4101803587787649</v>
      </c>
      <c r="BG11" s="22">
        <f t="shared" si="7"/>
        <v>8.631586902833817</v>
      </c>
      <c r="BH11" s="62">
        <f t="shared" si="8"/>
        <v>301.96492023616713</v>
      </c>
      <c r="BI11" s="62">
        <f ca="1">AVERAGE(OFFSET($BH$3,0,0,'Données projet'!$E$11+1,1))-AVERAGE(OFFSET($H$3,0,0,'Données projet'!$E$11+1,1))</f>
        <v>0</v>
      </c>
      <c r="BJ11" s="62">
        <f t="shared" si="38"/>
        <v>0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159.45415548295978</v>
      </c>
      <c r="T12" s="62">
        <f t="shared" si="34"/>
        <v>268.09398033989754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5.2</v>
      </c>
      <c r="AI12" s="14">
        <f>IF('Données projet'!$A$62&gt;35,AI11+AH12-AQ11,IF(A12&lt;'Données projet'!$A$62,$AF$205^A12,IF(A12='Données projet'!$A$62,'Données projet'!$B$62,AI11+AH12-AQ11)))</f>
        <v>8.084720357497293</v>
      </c>
      <c r="AJ12" s="14">
        <f>AI12*VLOOKUP('Données projet'!$B$10,Paramètres!$A$1:$I$89,3,0)*VLOOKUP('Données projet'!$B$10,Paramètres!$A$1:$I$89,5,0)</f>
        <v>7.0628117043096363</v>
      </c>
      <c r="AK12" s="14">
        <f t="shared" si="35"/>
        <v>2.5924398999517377</v>
      </c>
      <c r="AL12" s="22">
        <f t="shared" si="4"/>
        <v>16.81622987742189</v>
      </c>
      <c r="AM12" s="62">
        <f t="shared" si="5"/>
        <v>310.14956321075522</v>
      </c>
      <c r="AN12" s="62">
        <f ca="1">AVERAGE(OFFSET($AM$3,0,0,'Données projet'!$E$10+1,1))-AVERAGE(OFFSET($H$3,0,0,'Données projet'!$E$10+1,1))</f>
        <v>211.73952357671845</v>
      </c>
      <c r="AO12" s="62">
        <f t="shared" si="36"/>
        <v>238.591781509447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7.9</v>
      </c>
      <c r="BD12" s="13">
        <f>IF('Données projet'!$A$88&gt;35,BD11+BC12-BL11,IF(A12&lt;'Données projet'!$A$88,$BA$205^A12,IF(A12='Données projet'!$A$88,'Données projet'!$B$88,BD11+BC12-BL11)))</f>
        <v>9.7587836327093171</v>
      </c>
      <c r="BE12" s="14">
        <f>BD12*VLOOKUP('Données projet'!$B$11,Paramètres!$A$1:$I$89,3,0)*VLOOKUP('Données projet'!$B$11,Paramètres!$A$1:$I$89,5,0)</f>
        <v>4.5671107401079603</v>
      </c>
      <c r="BF12" s="14">
        <f t="shared" si="37"/>
        <v>1.763645650133036</v>
      </c>
      <c r="BG12" s="22">
        <f t="shared" si="7"/>
        <v>11.026067379669733</v>
      </c>
      <c r="BH12" s="62">
        <f t="shared" si="8"/>
        <v>304.35940071300303</v>
      </c>
      <c r="BI12" s="62">
        <f ca="1">AVERAGE(OFFSET($BH$3,0,0,'Données projet'!$E$11+1,1))-AVERAGE(OFFSET($H$3,0,0,'Données projet'!$E$11+1,1))</f>
        <v>0</v>
      </c>
      <c r="BJ12" s="62">
        <f t="shared" si="38"/>
        <v>0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159.45415548295978</v>
      </c>
      <c r="T13" s="62">
        <f t="shared" si="34"/>
        <v>268.09398033989754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5.2</v>
      </c>
      <c r="AI13" s="14">
        <f>IF('Données projet'!$A$62&gt;35,AI12+AH13-AQ12,IF(A13&lt;'Données projet'!$A$62,$AF$205^A13,IF(A13='Données projet'!$A$62,'Données projet'!$B$62,AI12+AH13-AQ12)))</f>
        <v>10.198039027185574</v>
      </c>
      <c r="AJ13" s="14">
        <f>AI13*VLOOKUP('Données projet'!$B$10,Paramètres!$A$1:$I$89,3,0)*VLOOKUP('Données projet'!$B$10,Paramètres!$A$1:$I$89,5,0)</f>
        <v>8.9090068941493197</v>
      </c>
      <c r="AK13" s="14">
        <f t="shared" si="35"/>
        <v>3.1828870698057665</v>
      </c>
      <c r="AL13" s="22">
        <f t="shared" si="4"/>
        <v>21.060048653888444</v>
      </c>
      <c r="AM13" s="62">
        <f t="shared" si="5"/>
        <v>314.39338198722174</v>
      </c>
      <c r="AN13" s="62">
        <f ca="1">AVERAGE(OFFSET($AM$3,0,0,'Données projet'!$E$10+1,1))-AVERAGE(OFFSET($H$3,0,0,'Données projet'!$E$10+1,1))</f>
        <v>211.73952357671845</v>
      </c>
      <c r="AO13" s="62">
        <f t="shared" si="36"/>
        <v>238.591781509447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7.9</v>
      </c>
      <c r="BD13" s="13">
        <f>IF('Données projet'!$A$88&gt;35,BD12+BC13-BL12,IF(A13&lt;'Données projet'!$A$88,$BA$205^A13,IF(A13='Données projet'!$A$88,'Données projet'!$B$88,BD12+BC13-BL12)))</f>
        <v>12.569805089976542</v>
      </c>
      <c r="BE13" s="14">
        <f>BD13*VLOOKUP('Données projet'!$B$11,Paramètres!$A$1:$I$89,3,0)*VLOOKUP('Données projet'!$B$11,Paramètres!$A$1:$I$89,5,0)</f>
        <v>5.8826687821090227</v>
      </c>
      <c r="BF13" s="14">
        <f t="shared" si="37"/>
        <v>2.2057079152108381</v>
      </c>
      <c r="BG13" s="22">
        <f t="shared" si="7"/>
        <v>14.087256081165423</v>
      </c>
      <c r="BH13" s="62">
        <f t="shared" si="8"/>
        <v>307.42058941449875</v>
      </c>
      <c r="BI13" s="62">
        <f ca="1">AVERAGE(OFFSET($BH$3,0,0,'Données projet'!$E$11+1,1))-AVERAGE(OFFSET($H$3,0,0,'Données projet'!$E$11+1,1))</f>
        <v>0</v>
      </c>
      <c r="BJ13" s="62">
        <f t="shared" si="38"/>
        <v>0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159.45415548295978</v>
      </c>
      <c r="T14" s="62">
        <f t="shared" si="34"/>
        <v>268.09398033989754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5.2</v>
      </c>
      <c r="AI14" s="14">
        <f>IF('Données projet'!$A$62&gt;35,AI13+AH14-AQ13,IF(A14&lt;'Données projet'!$A$62,$AF$205^A14,IF(A14='Données projet'!$A$62,'Données projet'!$B$62,AI13+AH14-AQ13)))</f>
        <v>12.863772078839638</v>
      </c>
      <c r="AJ14" s="14">
        <f>AI14*VLOOKUP('Données projet'!$B$10,Paramètres!$A$1:$I$89,3,0)*VLOOKUP('Données projet'!$B$10,Paramètres!$A$1:$I$89,5,0)</f>
        <v>11.237791288074309</v>
      </c>
      <c r="AK14" s="14">
        <f t="shared" si="35"/>
        <v>3.907812906029311</v>
      </c>
      <c r="AL14" s="22">
        <f t="shared" si="4"/>
        <v>26.378593971397137</v>
      </c>
      <c r="AM14" s="62">
        <f t="shared" si="5"/>
        <v>319.71192730473047</v>
      </c>
      <c r="AN14" s="62">
        <f ca="1">AVERAGE(OFFSET($AM$3,0,0,'Données projet'!$E$10+1,1))-AVERAGE(OFFSET($H$3,0,0,'Données projet'!$E$10+1,1))</f>
        <v>211.73952357671845</v>
      </c>
      <c r="AO14" s="62">
        <f t="shared" si="36"/>
        <v>238.591781509447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7.9</v>
      </c>
      <c r="BD14" s="13">
        <f>IF('Données projet'!$A$88&gt;35,BD13+BC14-BL13,IF(A14&lt;'Données projet'!$A$88,$BA$205^A14,IF(A14='Données projet'!$A$88,'Données projet'!$B$88,BD13+BC14-BL13)))</f>
        <v>16.190542381779895</v>
      </c>
      <c r="BE14" s="14">
        <f>BD14*VLOOKUP('Données projet'!$B$11,Paramètres!$A$1:$I$89,3,0)*VLOOKUP('Données projet'!$B$11,Paramètres!$A$1:$I$89,5,0)</f>
        <v>7.5771738346729904</v>
      </c>
      <c r="BF14" s="14">
        <f t="shared" si="37"/>
        <v>2.7585742106736397</v>
      </c>
      <c r="BG14" s="22">
        <f t="shared" si="7"/>
        <v>18.001427845645381</v>
      </c>
      <c r="BH14" s="62">
        <f t="shared" si="8"/>
        <v>311.33476117897868</v>
      </c>
      <c r="BI14" s="62">
        <f ca="1">AVERAGE(OFFSET($BH$3,0,0,'Données projet'!$E$11+1,1))-AVERAGE(OFFSET($H$3,0,0,'Données projet'!$E$11+1,1))</f>
        <v>0</v>
      </c>
      <c r="BJ14" s="62">
        <f t="shared" si="38"/>
        <v>0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159.45415548295978</v>
      </c>
      <c r="T15" s="62">
        <f t="shared" si="34"/>
        <v>268.09398033989754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5.2</v>
      </c>
      <c r="AI15" s="14">
        <f>IF('Données projet'!$A$62&gt;35,AI14+AH15-AQ14,IF(A15&lt;'Données projet'!$A$62,$AF$205^A15,IF(A15='Données projet'!$A$62,'Données projet'!$B$62,AI14+AH15-AQ14)))</f>
        <v>16.226318771208117</v>
      </c>
      <c r="AJ15" s="14">
        <f>AI15*VLOOKUP('Données projet'!$B$10,Paramètres!$A$1:$I$89,3,0)*VLOOKUP('Données projet'!$B$10,Paramètres!$A$1:$I$89,5,0)</f>
        <v>14.175312078527414</v>
      </c>
      <c r="AK15" s="14">
        <f t="shared" si="35"/>
        <v>4.7978459095820662</v>
      </c>
      <c r="AL15" s="22">
        <f t="shared" si="4"/>
        <v>33.044916829290678</v>
      </c>
      <c r="AM15" s="62">
        <f t="shared" si="5"/>
        <v>326.378250162624</v>
      </c>
      <c r="AN15" s="62">
        <f ca="1">AVERAGE(OFFSET($AM$3,0,0,'Données projet'!$E$10+1,1))-AVERAGE(OFFSET($H$3,0,0,'Données projet'!$E$10+1,1))</f>
        <v>211.73952357671845</v>
      </c>
      <c r="AO15" s="62">
        <f t="shared" si="36"/>
        <v>238.591781509447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7.9</v>
      </c>
      <c r="BD15" s="13">
        <f>IF('Données projet'!$A$88&gt;35,BD14+BC15-BL14,IF(A15&lt;'Données projet'!$A$88,$BA$205^A15,IF(A15='Données projet'!$A$88,'Données projet'!$B$88,BD14+BC15-BL14)))</f>
        <v>20.854234472198982</v>
      </c>
      <c r="BE15" s="14">
        <f>BD15*VLOOKUP('Données projet'!$B$11,Paramètres!$A$1:$I$89,3,0)*VLOOKUP('Données projet'!$B$11,Paramètres!$A$1:$I$89,5,0)</f>
        <v>9.7597817329891239</v>
      </c>
      <c r="BF15" s="14">
        <f t="shared" si="37"/>
        <v>3.4500178483814818</v>
      </c>
      <c r="BG15" s="22">
        <f t="shared" si="7"/>
        <v>23.00706760422047</v>
      </c>
      <c r="BH15" s="62">
        <f t="shared" si="8"/>
        <v>316.3404009375538</v>
      </c>
      <c r="BI15" s="62">
        <f ca="1">AVERAGE(OFFSET($BH$3,0,0,'Données projet'!$E$11+1,1))-AVERAGE(OFFSET($H$3,0,0,'Données projet'!$E$11+1,1))</f>
        <v>0</v>
      </c>
      <c r="BJ15" s="62">
        <f t="shared" si="38"/>
        <v>0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159.45415548295978</v>
      </c>
      <c r="T16" s="62">
        <f t="shared" si="34"/>
        <v>268.09398033989754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5.2</v>
      </c>
      <c r="AI16" s="14">
        <f>IF('Données projet'!$A$62&gt;35,AI15+AH16-AQ15,IF(A16&lt;'Données projet'!$A$62,$AF$205^A16,IF(A16='Données projet'!$A$62,'Données projet'!$B$62,AI15+AH16-AQ15)))</f>
        <v>20.467823842896554</v>
      </c>
      <c r="AJ16" s="14">
        <f>AI16*VLOOKUP('Données projet'!$B$10,Paramètres!$A$1:$I$89,3,0)*VLOOKUP('Données projet'!$B$10,Paramètres!$A$1:$I$89,5,0)</f>
        <v>17.880690909154431</v>
      </c>
      <c r="AK16" s="14">
        <f t="shared" si="35"/>
        <v>5.890590446788579</v>
      </c>
      <c r="AL16" s="22">
        <f t="shared" si="4"/>
        <v>41.401648361600742</v>
      </c>
      <c r="AM16" s="62">
        <f t="shared" si="5"/>
        <v>334.73498169493405</v>
      </c>
      <c r="AN16" s="62">
        <f ca="1">AVERAGE(OFFSET($AM$3,0,0,'Données projet'!$E$10+1,1))-AVERAGE(OFFSET($H$3,0,0,'Données projet'!$E$10+1,1))</f>
        <v>211.73952357671845</v>
      </c>
      <c r="AO16" s="62">
        <f t="shared" si="36"/>
        <v>238.591781509447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7.9</v>
      </c>
      <c r="BD16" s="13">
        <f>IF('Données projet'!$A$88&gt;35,BD15+BC16-BL15,IF(A16&lt;'Données projet'!$A$88,$BA$205^A16,IF(A16='Données projet'!$A$88,'Données projet'!$B$88,BD15+BC16-BL15)))</f>
        <v>26.861304900499697</v>
      </c>
      <c r="BE16" s="14">
        <f>BD16*VLOOKUP('Données projet'!$B$11,Paramètres!$A$1:$I$89,3,0)*VLOOKUP('Données projet'!$B$11,Paramètres!$A$1:$I$89,5,0)</f>
        <v>12.571090693433858</v>
      </c>
      <c r="BF16" s="14">
        <f t="shared" si="37"/>
        <v>4.3147735914069099</v>
      </c>
      <c r="BG16" s="22">
        <f t="shared" si="7"/>
        <v>29.409546962764335</v>
      </c>
      <c r="BH16" s="62">
        <f t="shared" si="8"/>
        <v>322.74288029609767</v>
      </c>
      <c r="BI16" s="62">
        <f ca="1">AVERAGE(OFFSET($BH$3,0,0,'Données projet'!$E$11+1,1))-AVERAGE(OFFSET($H$3,0,0,'Données projet'!$E$11+1,1))</f>
        <v>0</v>
      </c>
      <c r="BJ16" s="62">
        <f t="shared" si="38"/>
        <v>0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159.45415548295978</v>
      </c>
      <c r="T17" s="62">
        <f t="shared" si="34"/>
        <v>268.09398033989754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5.2</v>
      </c>
      <c r="AI17" s="14">
        <f>IF('Données projet'!$A$62&gt;35,AI16+AH17-AQ16,IF(A17&lt;'Données projet'!$A$62,$AF$205^A17,IF(A17='Données projet'!$A$62,'Données projet'!$B$62,AI16+AH17-AQ16)))</f>
        <v>25.8180440536639</v>
      </c>
      <c r="AJ17" s="14">
        <f>AI17*VLOOKUP('Données projet'!$B$10,Paramètres!$A$1:$I$89,3,0)*VLOOKUP('Données projet'!$B$10,Paramètres!$A$1:$I$89,5,0)</f>
        <v>22.554643285280786</v>
      </c>
      <c r="AK17" s="14">
        <f t="shared" si="35"/>
        <v>7.2322155537545054</v>
      </c>
      <c r="AL17" s="22">
        <f t="shared" si="4"/>
        <v>51.87877914465313</v>
      </c>
      <c r="AM17" s="62">
        <f t="shared" si="5"/>
        <v>345.21211247798647</v>
      </c>
      <c r="AN17" s="62">
        <f ca="1">AVERAGE(OFFSET($AM$3,0,0,'Données projet'!$E$10+1,1))-AVERAGE(OFFSET($H$3,0,0,'Données projet'!$E$10+1,1))</f>
        <v>211.73952357671845</v>
      </c>
      <c r="AO17" s="62">
        <f t="shared" si="36"/>
        <v>238.591781509447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7.9</v>
      </c>
      <c r="BD17" s="13">
        <f>IF('Données projet'!$A$88&gt;35,BD16+BC17-BL16,IF(A17&lt;'Données projet'!$A$88,$BA$205^A17,IF(A17='Données projet'!$A$88,'Données projet'!$B$88,BD16+BC17-BL16)))</f>
        <v>34.598714324397214</v>
      </c>
      <c r="BE17" s="14">
        <f>BD17*VLOOKUP('Données projet'!$B$11,Paramètres!$A$1:$I$89,3,0)*VLOOKUP('Données projet'!$B$11,Paramètres!$A$1:$I$89,5,0)</f>
        <v>16.192198303817896</v>
      </c>
      <c r="BF17" s="14">
        <f t="shared" si="37"/>
        <v>5.3962825594761723</v>
      </c>
      <c r="BG17" s="22">
        <f t="shared" si="7"/>
        <v>37.599937503570509</v>
      </c>
      <c r="BH17" s="62">
        <f t="shared" si="8"/>
        <v>330.93327083690383</v>
      </c>
      <c r="BI17" s="62">
        <f ca="1">AVERAGE(OFFSET($BH$3,0,0,'Données projet'!$E$11+1,1))-AVERAGE(OFFSET($H$3,0,0,'Données projet'!$E$11+1,1))</f>
        <v>0</v>
      </c>
      <c r="BJ17" s="62">
        <f t="shared" si="38"/>
        <v>0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159.45415548295978</v>
      </c>
      <c r="T18" s="62">
        <f t="shared" si="34"/>
        <v>268.09398033989754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5.2</v>
      </c>
      <c r="AI18" s="14">
        <f>IF('Données projet'!$A$62&gt;35,AI17+AH18-AQ17,IF(A18&lt;'Données projet'!$A$62,$AF$205^A18,IF(A18='Données projet'!$A$62,'Données projet'!$B$62,AI17+AH18-AQ17)))</f>
        <v>32.56679380638046</v>
      </c>
      <c r="AJ18" s="14">
        <f>AI18*VLOOKUP('Données projet'!$B$10,Paramètres!$A$1:$I$89,3,0)*VLOOKUP('Données projet'!$B$10,Paramètres!$A$1:$I$89,5,0)</f>
        <v>28.450351069253973</v>
      </c>
      <c r="AK18" s="14">
        <f t="shared" si="35"/>
        <v>8.8794056026224197</v>
      </c>
      <c r="AL18" s="22">
        <f t="shared" si="4"/>
        <v>65.015992870184718</v>
      </c>
      <c r="AM18" s="62">
        <f t="shared" si="5"/>
        <v>358.34932620351805</v>
      </c>
      <c r="AN18" s="62">
        <f ca="1">AVERAGE(OFFSET($AM$3,0,0,'Données projet'!$E$10+1,1))-AVERAGE(OFFSET($H$3,0,0,'Données projet'!$E$10+1,1))</f>
        <v>211.73952357671845</v>
      </c>
      <c r="AO18" s="62">
        <f t="shared" si="36"/>
        <v>238.591781509447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7.9</v>
      </c>
      <c r="BD18" s="13">
        <f>IF('Données projet'!$A$88&gt;35,BD17+BC18-BL17,IF(A18&lt;'Données projet'!$A$88,$BA$205^A18,IF(A18='Données projet'!$A$88,'Données projet'!$B$88,BD17+BC18-BL17)))</f>
        <v>44.564887571004775</v>
      </c>
      <c r="BE18" s="14">
        <f>BD18*VLOOKUP('Données projet'!$B$11,Paramètres!$A$1:$I$89,3,0)*VLOOKUP('Données projet'!$B$11,Paramètres!$A$1:$I$89,5,0)</f>
        <v>20.856367383230236</v>
      </c>
      <c r="BF18" s="14">
        <f t="shared" si="37"/>
        <v>6.7488744993944465</v>
      </c>
      <c r="BG18" s="22">
        <f t="shared" si="7"/>
        <v>48.079129612237985</v>
      </c>
      <c r="BH18" s="62">
        <f t="shared" si="8"/>
        <v>341.41246294557129</v>
      </c>
      <c r="BI18" s="62">
        <f ca="1">AVERAGE(OFFSET($BH$3,0,0,'Données projet'!$E$11+1,1))-AVERAGE(OFFSET($H$3,0,0,'Données projet'!$E$11+1,1))</f>
        <v>0</v>
      </c>
      <c r="BJ18" s="62">
        <f t="shared" si="38"/>
        <v>0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159.45415548295978</v>
      </c>
      <c r="T19" s="62">
        <f t="shared" si="34"/>
        <v>268.09398033989754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5.2</v>
      </c>
      <c r="AI19" s="14">
        <f>IF('Données projet'!$A$62&gt;35,AI18+AH19-AQ18,IF(A19&lt;'Données projet'!$A$62,$AF$205^A19,IF(A19='Données projet'!$A$62,'Données projet'!$B$62,AI18+AH19-AQ18)))</f>
        <v>41.079644012645062</v>
      </c>
      <c r="AJ19" s="14">
        <f>AI19*VLOOKUP('Données projet'!$B$10,Paramètres!$A$1:$I$89,3,0)*VLOOKUP('Données projet'!$B$10,Paramètres!$A$1:$I$89,5,0)</f>
        <v>35.887177009446731</v>
      </c>
      <c r="AK19" s="14">
        <f t="shared" si="35"/>
        <v>10.90175524635071</v>
      </c>
      <c r="AL19" s="22">
        <f t="shared" si="4"/>
        <v>81.490723678847203</v>
      </c>
      <c r="AM19" s="62">
        <f t="shared" si="5"/>
        <v>374.8240570121805</v>
      </c>
      <c r="AN19" s="62">
        <f ca="1">AVERAGE(OFFSET($AM$3,0,0,'Données projet'!$E$10+1,1))-AVERAGE(OFFSET($H$3,0,0,'Données projet'!$E$10+1,1))</f>
        <v>211.73952357671845</v>
      </c>
      <c r="AO19" s="62">
        <f t="shared" si="36"/>
        <v>238.591781509447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7.9</v>
      </c>
      <c r="BD19" s="13">
        <f>IF('Données projet'!$A$88&gt;35,BD18+BC19-BL18,IF(A19&lt;'Données projet'!$A$88,$BA$205^A19,IF(A19='Données projet'!$A$88,'Données projet'!$B$88,BD18+BC19-BL18)))</f>
        <v>57.401820934596167</v>
      </c>
      <c r="BE19" s="14">
        <f>BD19*VLOOKUP('Données projet'!$B$11,Paramètres!$A$1:$I$89,3,0)*VLOOKUP('Données projet'!$B$11,Paramètres!$A$1:$I$89,5,0)</f>
        <v>26.864052197391008</v>
      </c>
      <c r="BF19" s="14">
        <f t="shared" si="37"/>
        <v>8.4404970471001413</v>
      </c>
      <c r="BG19" s="22">
        <f t="shared" si="7"/>
        <v>61.488756600822086</v>
      </c>
      <c r="BH19" s="62">
        <f t="shared" si="8"/>
        <v>354.82208993415543</v>
      </c>
      <c r="BI19" s="62">
        <f ca="1">AVERAGE(OFFSET($BH$3,0,0,'Données projet'!$E$11+1,1))-AVERAGE(OFFSET($H$3,0,0,'Données projet'!$E$11+1,1))</f>
        <v>0</v>
      </c>
      <c r="BJ19" s="62">
        <f t="shared" si="38"/>
        <v>0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159.45415548295978</v>
      </c>
      <c r="T20" s="62">
        <f t="shared" si="34"/>
        <v>268.09398033989754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5.2</v>
      </c>
      <c r="AI20" s="14">
        <f>IF('Données projet'!$A$62&gt;35,AI19+AH20-AQ19,IF(A20&lt;'Données projet'!$A$62,$AF$205^A20,IF(A20='Données projet'!$A$62,'Données projet'!$B$62,AI19+AH20-AQ19)))</f>
        <v>51.817724588996064</v>
      </c>
      <c r="AJ20" s="14">
        <f>AI20*VLOOKUP('Données projet'!$B$10,Paramètres!$A$1:$I$89,3,0)*VLOOKUP('Données projet'!$B$10,Paramètres!$A$1:$I$89,5,0)</f>
        <v>45.26796420094697</v>
      </c>
      <c r="AK20" s="14">
        <f t="shared" si="35"/>
        <v>13.384709829702446</v>
      </c>
      <c r="AL20" s="22">
        <f t="shared" si="4"/>
        <v>102.15340727004774</v>
      </c>
      <c r="AM20" s="62">
        <f t="shared" si="5"/>
        <v>395.48674060338107</v>
      </c>
      <c r="AN20" s="62">
        <f ca="1">AVERAGE(OFFSET($AM$3,0,0,'Données projet'!$E$10+1,1))-AVERAGE(OFFSET($H$3,0,0,'Données projet'!$E$10+1,1))</f>
        <v>211.73952357671845</v>
      </c>
      <c r="AO20" s="62">
        <f t="shared" si="36"/>
        <v>238.591781509447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7.9</v>
      </c>
      <c r="BD20" s="13">
        <f>IF('Données projet'!$A$88&gt;35,BD19+BC20-BL19,IF(A20&lt;'Données projet'!$A$88,$BA$205^A20,IF(A20='Données projet'!$A$88,'Données projet'!$B$88,BD19+BC20-BL19)))</f>
        <v>73.936437994095741</v>
      </c>
      <c r="BE20" s="14">
        <f>BD20*VLOOKUP('Données projet'!$B$11,Paramètres!$A$1:$I$89,3,0)*VLOOKUP('Données projet'!$B$11,Paramètres!$A$1:$I$89,5,0)</f>
        <v>34.602252981236802</v>
      </c>
      <c r="BF20" s="14">
        <f t="shared" si="37"/>
        <v>10.556129086190376</v>
      </c>
      <c r="BG20" s="22">
        <f t="shared" si="7"/>
        <v>78.650848767435647</v>
      </c>
      <c r="BH20" s="62">
        <f t="shared" si="8"/>
        <v>371.98418210076898</v>
      </c>
      <c r="BI20" s="62">
        <f ca="1">AVERAGE(OFFSET($BH$3,0,0,'Données projet'!$E$11+1,1))-AVERAGE(OFFSET($H$3,0,0,'Données projet'!$E$11+1,1))</f>
        <v>0</v>
      </c>
      <c r="BJ20" s="62">
        <f t="shared" si="38"/>
        <v>0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159.45415548295978</v>
      </c>
      <c r="T21" s="62">
        <f t="shared" si="34"/>
        <v>268.09398033989754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5.2</v>
      </c>
      <c r="AI21" s="14">
        <f>IF('Données projet'!$A$62&gt;35,AI20+AH21-AQ20,IF(A21&lt;'Données projet'!$A$62,$AF$205^A21,IF(A21='Données projet'!$A$62,'Données projet'!$B$62,AI20+AH21-AQ20)))</f>
        <v>65.362703258931163</v>
      </c>
      <c r="AJ21" s="14">
        <f>AI21*VLOOKUP('Données projet'!$B$10,Paramètres!$A$1:$I$89,3,0)*VLOOKUP('Données projet'!$B$10,Paramètres!$A$1:$I$89,5,0)</f>
        <v>57.100857567002279</v>
      </c>
      <c r="AK21" s="14">
        <f t="shared" si="35"/>
        <v>16.433175500367497</v>
      </c>
      <c r="AL21" s="22">
        <f t="shared" si="4"/>
        <v>128.07177425900235</v>
      </c>
      <c r="AM21" s="62">
        <f t="shared" si="5"/>
        <v>421.40510759233564</v>
      </c>
      <c r="AN21" s="62">
        <f ca="1">AVERAGE(OFFSET($AM$3,0,0,'Données projet'!$E$10+1,1))-AVERAGE(OFFSET($H$3,0,0,'Données projet'!$E$10+1,1))</f>
        <v>211.73952357671845</v>
      </c>
      <c r="AO21" s="62">
        <f t="shared" si="36"/>
        <v>238.591781509447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7.9</v>
      </c>
      <c r="BD21" s="13">
        <f>IF('Données projet'!$A$88&gt;35,BD20+BC21-BL20,IF(A21&lt;'Données projet'!$A$88,$BA$205^A21,IF(A21='Données projet'!$A$88,'Données projet'!$B$88,BD20+BC21-BL20)))</f>
        <v>95.233857990035276</v>
      </c>
      <c r="BE21" s="14">
        <f>BD21*VLOOKUP('Données projet'!$B$11,Paramètres!$A$1:$I$89,3,0)*VLOOKUP('Données projet'!$B$11,Paramètres!$A$1:$I$89,5,0)</f>
        <v>44.569445539336513</v>
      </c>
      <c r="BF21" s="14">
        <f t="shared" si="37"/>
        <v>13.202049673437019</v>
      </c>
      <c r="BG21" s="22">
        <f t="shared" si="7"/>
        <v>100.61868749558056</v>
      </c>
      <c r="BH21" s="62">
        <f t="shared" si="8"/>
        <v>393.95202082891387</v>
      </c>
      <c r="BI21" s="62">
        <f ca="1">AVERAGE(OFFSET($BH$3,0,0,'Données projet'!$E$11+1,1))-AVERAGE(OFFSET($H$3,0,0,'Données projet'!$E$11+1,1))</f>
        <v>0</v>
      </c>
      <c r="BJ21" s="62">
        <f t="shared" si="38"/>
        <v>0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159.45415548295978</v>
      </c>
      <c r="T22" s="62">
        <f t="shared" si="34"/>
        <v>268.09398033989754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5.2</v>
      </c>
      <c r="AI22" s="14">
        <f>IF('Données projet'!$A$62&gt;35,AI21+AH22-AQ21,IF(A22&lt;'Données projet'!$A$62,$AF$205^A22,IF(A22='Données projet'!$A$62,'Données projet'!$B$62,AI21+AH22-AQ21)))</f>
        <v>82.448293729639104</v>
      </c>
      <c r="AJ22" s="14">
        <f>AI22*VLOOKUP('Données projet'!$B$10,Paramètres!$A$1:$I$89,3,0)*VLOOKUP('Données projet'!$B$10,Paramètres!$A$1:$I$89,5,0)</f>
        <v>72.026829402212726</v>
      </c>
      <c r="AK22" s="14">
        <f t="shared" si="35"/>
        <v>20.175951549327085</v>
      </c>
      <c r="AL22" s="22">
        <f t="shared" si="4"/>
        <v>160.58651015726517</v>
      </c>
      <c r="AM22" s="62">
        <f t="shared" si="5"/>
        <v>453.91984349059851</v>
      </c>
      <c r="AN22" s="62">
        <f ca="1">AVERAGE(OFFSET($AM$3,0,0,'Données projet'!$E$10+1,1))-AVERAGE(OFFSET($H$3,0,0,'Données projet'!$E$10+1,1))</f>
        <v>211.73952357671845</v>
      </c>
      <c r="AO22" s="62">
        <f t="shared" si="36"/>
        <v>238.591781509447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7.9</v>
      </c>
      <c r="BD22" s="13">
        <f>IF('Données projet'!$A$88&gt;35,BD21+BC22-BL21,IF(A22&lt;'Données projet'!$A$88,$BA$205^A22,IF(A22='Données projet'!$A$88,'Données projet'!$B$88,BD21+BC22-BL21)))</f>
        <v>122.66600817840934</v>
      </c>
      <c r="BE22" s="14">
        <f>BD22*VLOOKUP('Données projet'!$B$11,Paramètres!$A$1:$I$89,3,0)*VLOOKUP('Données projet'!$B$11,Paramètres!$A$1:$I$89,5,0)</f>
        <v>57.407691827495569</v>
      </c>
      <c r="BF22" s="14">
        <f t="shared" si="37"/>
        <v>16.511176981334152</v>
      </c>
      <c r="BG22" s="22">
        <f t="shared" si="7"/>
        <v>128.7420298420451</v>
      </c>
      <c r="BH22" s="62">
        <f t="shared" si="8"/>
        <v>422.07536317537841</v>
      </c>
      <c r="BI22" s="62">
        <f ca="1">AVERAGE(OFFSET($BH$3,0,0,'Données projet'!$E$11+1,1))-AVERAGE(OFFSET($H$3,0,0,'Données projet'!$E$11+1,1))</f>
        <v>0</v>
      </c>
      <c r="BJ22" s="62">
        <f t="shared" si="38"/>
        <v>0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159.45415548295978</v>
      </c>
      <c r="T23" s="62">
        <f t="shared" si="34"/>
        <v>268.09398033989754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104</v>
      </c>
      <c r="AG23" s="13">
        <f>VLOOKUP(A23,'Données projet'!$A$61:$I$81,9,0)</f>
        <v>5.2</v>
      </c>
      <c r="AH23" s="13">
        <f t="array" ref="AH23">INDEX(AG:AG,MIN(IF(ISNUMBER(AG23:AG219),ROW(AG23:AG219),"")))</f>
        <v>5.2</v>
      </c>
      <c r="AI23" s="14">
        <f>IF('Données projet'!$A$62&gt;35,AI22+AH23-AQ22,IF(A23&lt;'Données projet'!$A$62,$AF$205^A23,IF(A23='Données projet'!$A$62,'Données projet'!$B$62,AI22+AH23-AQ22)))</f>
        <v>104</v>
      </c>
      <c r="AJ23" s="14">
        <f>AI23*VLOOKUP('Données projet'!$B$10,Paramètres!$A$1:$I$89,3,0)*VLOOKUP('Données projet'!$B$10,Paramètres!$A$1:$I$89,5,0)</f>
        <v>90.854400000000012</v>
      </c>
      <c r="AK23" s="14">
        <f t="shared" si="35"/>
        <v>24.771172249191284</v>
      </c>
      <c r="AL23" s="22">
        <f t="shared" si="4"/>
        <v>201.38120500067484</v>
      </c>
      <c r="AM23" s="62">
        <f t="shared" si="5"/>
        <v>494.71453833400813</v>
      </c>
      <c r="AN23" s="62">
        <f ca="1">AVERAGE(OFFSET($AM$3,0,0,'Données projet'!$E$10+1,1))-AVERAGE(OFFSET($H$3,0,0,'Données projet'!$E$10+1,1))</f>
        <v>211.73952357671845</v>
      </c>
      <c r="AO23" s="62">
        <f t="shared" si="36"/>
        <v>238.591781509447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32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26.376483603176553</v>
      </c>
      <c r="AX23" s="23">
        <f t="shared" si="6"/>
        <v>26.376483603176553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158</v>
      </c>
      <c r="BB23" s="13">
        <f>VLOOKUP(A23,'Données projet'!$A$87:$I$107,9,0)</f>
        <v>7.9</v>
      </c>
      <c r="BC23" s="13">
        <f t="array" ref="BC23">INDEX(BB:BB,MIN(IF(ISNUMBER(BB23:BB219),ROW(BB23:BB219),"")))</f>
        <v>7.9</v>
      </c>
      <c r="BD23" s="13">
        <f>IF('Données projet'!$A$88&gt;35,BD22+BC23-BL22,IF(A23&lt;'Données projet'!$A$88,$BA$205^A23,IF(A23='Données projet'!$A$88,'Données projet'!$B$88,BD22+BC23-BL22)))</f>
        <v>158</v>
      </c>
      <c r="BE23" s="14">
        <f>BD23*VLOOKUP('Données projet'!$B$11,Paramètres!$A$1:$I$89,3,0)*VLOOKUP('Données projet'!$B$11,Paramètres!$A$1:$I$89,5,0)</f>
        <v>73.944000000000003</v>
      </c>
      <c r="BF23" s="14">
        <f t="shared" si="37"/>
        <v>20.649745460165708</v>
      </c>
      <c r="BG23" s="22">
        <f t="shared" si="7"/>
        <v>164.75077334312192</v>
      </c>
      <c r="BH23" s="62">
        <f t="shared" si="8"/>
        <v>458.08410667645524</v>
      </c>
      <c r="BI23" s="62">
        <f ca="1">AVERAGE(OFFSET($BH$3,0,0,'Données projet'!$E$11+1,1))-AVERAGE(OFFSET($H$3,0,0,'Données projet'!$E$11+1,1))</f>
        <v>0</v>
      </c>
      <c r="BJ23" s="62">
        <f t="shared" si="38"/>
        <v>0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5.5000000000000007E-2</v>
      </c>
      <c r="BN23" s="17">
        <f>IF(ISNA(VLOOKUP(A23,'Données projet'!$A$87:$I$107,6,0)),0%,VLOOKUP(A23,'Données projet'!$A$87:$I$107,6,0)*VLOOKUP('Données projet'!$B$11,Paramètres!$A$1:$I$89,7,0))</f>
        <v>0.49500000000000005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159.45415548295978</v>
      </c>
      <c r="T24" s="62">
        <f t="shared" si="34"/>
        <v>268.09398033989754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82.6</v>
      </c>
      <c r="AJ24" s="14">
        <f>AI24*VLOOKUP('Données projet'!$B$10,Paramètres!$A$1:$I$89,3,0)*VLOOKUP('Données projet'!$B$10,Paramètres!$A$1:$I$89,5,0)</f>
        <v>72.159360000000007</v>
      </c>
      <c r="AK24" s="14">
        <f t="shared" si="35"/>
        <v>20.208750890014226</v>
      </c>
      <c r="AL24" s="22">
        <f t="shared" si="4"/>
        <v>160.8744598001081</v>
      </c>
      <c r="AM24" s="62">
        <f t="shared" si="5"/>
        <v>454.20779313344144</v>
      </c>
      <c r="AN24" s="62">
        <f ca="1">AVERAGE(OFFSET($AM$3,0,0,'Données projet'!$E$10+1,1))-AVERAGE(OFFSET($H$3,0,0,'Données projet'!$E$10+1,1))</f>
        <v>211.73952357671845</v>
      </c>
      <c r="AO24" s="62">
        <f t="shared" si="36"/>
        <v>238.591781509447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18.650990419661923</v>
      </c>
      <c r="AX24" s="23">
        <f t="shared" si="6"/>
        <v>18.650990419661923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9.1999999999999993</v>
      </c>
      <c r="BD24" s="13">
        <f>IF('Données projet'!$A$88&gt;35,BD23+BC24-BL23,IF(A24&lt;'Données projet'!$A$88,$BA$205^A24,IF(A24='Données projet'!$A$88,'Données projet'!$B$88,BD23+BC24-BL23)))</f>
        <v>167.2</v>
      </c>
      <c r="BE24" s="14">
        <f>BD24*VLOOKUP('Données projet'!$B$11,Paramètres!$A$1:$I$89,3,0)*VLOOKUP('Données projet'!$B$11,Paramètres!$A$1:$I$89,5,0)</f>
        <v>78.249599999999987</v>
      </c>
      <c r="BF24" s="14">
        <f t="shared" si="37"/>
        <v>21.708652740239781</v>
      </c>
      <c r="BG24" s="22">
        <f t="shared" si="7"/>
        <v>174.09395685591758</v>
      </c>
      <c r="BH24" s="62">
        <f t="shared" si="8"/>
        <v>467.42729018925093</v>
      </c>
      <c r="BI24" s="62">
        <f ca="1">AVERAGE(OFFSET($BH$3,0,0,'Données projet'!$E$11+1,1))-AVERAGE(OFFSET($H$3,0,0,'Données projet'!$E$11+1,1))</f>
        <v>0</v>
      </c>
      <c r="BJ24" s="62">
        <f t="shared" si="38"/>
        <v>0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159.45415548295978</v>
      </c>
      <c r="T25" s="62">
        <f t="shared" si="34"/>
        <v>268.09398033989754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93.199999999999989</v>
      </c>
      <c r="AJ25" s="14">
        <f>AI25*VLOOKUP('Données projet'!$B$10,Paramètres!$A$1:$I$89,3,0)*VLOOKUP('Données projet'!$B$10,Paramètres!$A$1:$I$89,5,0)</f>
        <v>81.419520000000006</v>
      </c>
      <c r="AK25" s="14">
        <f t="shared" si="35"/>
        <v>22.483908063290368</v>
      </c>
      <c r="AL25" s="22">
        <f t="shared" si="4"/>
        <v>180.96513721023075</v>
      </c>
      <c r="AM25" s="62">
        <f t="shared" si="5"/>
        <v>474.29847054356406</v>
      </c>
      <c r="AN25" s="62">
        <f ca="1">AVERAGE(OFFSET($AM$3,0,0,'Données projet'!$E$10+1,1))-AVERAGE(OFFSET($H$3,0,0,'Données projet'!$E$10+1,1))</f>
        <v>211.73952357671845</v>
      </c>
      <c r="AO25" s="62">
        <f t="shared" si="36"/>
        <v>238.591781509447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13.188241801588278</v>
      </c>
      <c r="AX25" s="23">
        <f t="shared" si="6"/>
        <v>13.188241801588278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9.1999999999999993</v>
      </c>
      <c r="BD25" s="13">
        <f>IF('Données projet'!$A$88&gt;35,BD24+BC25-BL24,IF(A25&lt;'Données projet'!$A$88,$BA$205^A25,IF(A25='Données projet'!$A$88,'Données projet'!$B$88,BD24+BC25-BL24)))</f>
        <v>176.39999999999998</v>
      </c>
      <c r="BE25" s="14">
        <f>BD25*VLOOKUP('Données projet'!$B$11,Paramètres!$A$1:$I$89,3,0)*VLOOKUP('Données projet'!$B$11,Paramètres!$A$1:$I$89,5,0)</f>
        <v>82.555199999999985</v>
      </c>
      <c r="BF25" s="14">
        <f t="shared" si="37"/>
        <v>22.760796016854769</v>
      </c>
      <c r="BG25" s="22">
        <f t="shared" si="7"/>
        <v>183.42535972935536</v>
      </c>
      <c r="BH25" s="62">
        <f t="shared" si="8"/>
        <v>476.75869306268868</v>
      </c>
      <c r="BI25" s="62">
        <f ca="1">AVERAGE(OFFSET($BH$3,0,0,'Données projet'!$E$11+1,1))-AVERAGE(OFFSET($H$3,0,0,'Données projet'!$E$11+1,1))</f>
        <v>0</v>
      </c>
      <c r="BJ25" s="62">
        <f t="shared" si="38"/>
        <v>0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159.45415548295978</v>
      </c>
      <c r="T26" s="62">
        <f t="shared" si="34"/>
        <v>268.09398033989754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103.79999999999998</v>
      </c>
      <c r="AJ26" s="14">
        <f>AI26*VLOOKUP('Données projet'!$B$10,Paramètres!$A$1:$I$89,3,0)*VLOOKUP('Données projet'!$B$10,Paramètres!$A$1:$I$89,5,0)</f>
        <v>90.679679999999991</v>
      </c>
      <c r="AK26" s="14">
        <f t="shared" si="35"/>
        <v>24.729075596681458</v>
      </c>
      <c r="AL26" s="22">
        <f t="shared" si="4"/>
        <v>201.00358266422018</v>
      </c>
      <c r="AM26" s="62">
        <f t="shared" si="5"/>
        <v>494.33691599755349</v>
      </c>
      <c r="AN26" s="62">
        <f ca="1">AVERAGE(OFFSET($AM$3,0,0,'Données projet'!$E$10+1,1))-AVERAGE(OFFSET($H$3,0,0,'Données projet'!$E$10+1,1))</f>
        <v>211.73952357671845</v>
      </c>
      <c r="AO26" s="62">
        <f t="shared" si="36"/>
        <v>238.591781509447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9.3254952098309634</v>
      </c>
      <c r="AX26" s="23">
        <f t="shared" si="6"/>
        <v>9.3254952098309634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9.1999999999999993</v>
      </c>
      <c r="BD26" s="13">
        <f>IF('Données projet'!$A$88&gt;35,BD25+BC26-BL25,IF(A26&lt;'Données projet'!$A$88,$BA$205^A26,IF(A26='Données projet'!$A$88,'Données projet'!$B$88,BD25+BC26-BL25)))</f>
        <v>185.59999999999997</v>
      </c>
      <c r="BE26" s="14">
        <f>BD26*VLOOKUP('Données projet'!$B$11,Paramètres!$A$1:$I$89,3,0)*VLOOKUP('Données projet'!$B$11,Paramètres!$A$1:$I$89,5,0)</f>
        <v>86.860799999999983</v>
      </c>
      <c r="BF26" s="14">
        <f t="shared" si="37"/>
        <v>23.806568296036275</v>
      </c>
      <c r="BG26" s="22">
        <f t="shared" si="7"/>
        <v>192.7456664489298</v>
      </c>
      <c r="BH26" s="62">
        <f t="shared" si="8"/>
        <v>486.07899978226311</v>
      </c>
      <c r="BI26" s="62">
        <f ca="1">AVERAGE(OFFSET($BH$3,0,0,'Données projet'!$E$11+1,1))-AVERAGE(OFFSET($H$3,0,0,'Données projet'!$E$11+1,1))</f>
        <v>0</v>
      </c>
      <c r="BJ26" s="62">
        <f t="shared" si="38"/>
        <v>0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159.45415548295978</v>
      </c>
      <c r="T27" s="62">
        <f t="shared" si="34"/>
        <v>268.09398033989754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114.39999999999998</v>
      </c>
      <c r="AJ27" s="14">
        <f>AI27*VLOOKUP('Données projet'!$B$10,Paramètres!$A$1:$I$89,3,0)*VLOOKUP('Données projet'!$B$10,Paramètres!$A$1:$I$89,5,0)</f>
        <v>99.93983999999999</v>
      </c>
      <c r="AK27" s="14">
        <f t="shared" si="35"/>
        <v>26.947664756006528</v>
      </c>
      <c r="AL27" s="22">
        <f t="shared" si="4"/>
        <v>220.99573745004466</v>
      </c>
      <c r="AM27" s="62">
        <f t="shared" si="5"/>
        <v>514.32907078337803</v>
      </c>
      <c r="AN27" s="62">
        <f ca="1">AVERAGE(OFFSET($AM$3,0,0,'Données projet'!$E$10+1,1))-AVERAGE(OFFSET($H$3,0,0,'Données projet'!$E$10+1,1))</f>
        <v>211.73952357671845</v>
      </c>
      <c r="AO27" s="62">
        <f t="shared" si="36"/>
        <v>238.591781509447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6.5941209007941408</v>
      </c>
      <c r="AX27" s="23">
        <f t="shared" si="6"/>
        <v>6.5941209007941408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9.1999999999999993</v>
      </c>
      <c r="BD27" s="13">
        <f>IF('Données projet'!$A$88&gt;35,BD26+BC27-BL26,IF(A27&lt;'Données projet'!$A$88,$BA$205^A27,IF(A27='Données projet'!$A$88,'Données projet'!$B$88,BD26+BC27-BL26)))</f>
        <v>194.79999999999995</v>
      </c>
      <c r="BE27" s="14">
        <f>BD27*VLOOKUP('Données projet'!$B$11,Paramètres!$A$1:$I$89,3,0)*VLOOKUP('Données projet'!$B$11,Paramètres!$A$1:$I$89,5,0)</f>
        <v>91.166399999999982</v>
      </c>
      <c r="BF27" s="14">
        <f t="shared" si="37"/>
        <v>24.846321420979159</v>
      </c>
      <c r="BG27" s="22">
        <f t="shared" si="7"/>
        <v>202.05548980820535</v>
      </c>
      <c r="BH27" s="62">
        <f t="shared" si="8"/>
        <v>495.38882314153864</v>
      </c>
      <c r="BI27" s="62">
        <f ca="1">AVERAGE(OFFSET($BH$3,0,0,'Données projet'!$E$11+1,1))-AVERAGE(OFFSET($H$3,0,0,'Données projet'!$E$11+1,1))</f>
        <v>0</v>
      </c>
      <c r="BJ27" s="62">
        <f t="shared" si="38"/>
        <v>0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159.45415548295978</v>
      </c>
      <c r="T28" s="62">
        <f t="shared" si="34"/>
        <v>268.09398033989754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125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124.99999999999997</v>
      </c>
      <c r="AJ28" s="14">
        <f>AI28*VLOOKUP('Données projet'!$B$10,Paramètres!$A$1:$I$89,3,0)*VLOOKUP('Données projet'!$B$10,Paramètres!$A$1:$I$89,5,0)</f>
        <v>109.19999999999999</v>
      </c>
      <c r="AK28" s="14">
        <f t="shared" si="35"/>
        <v>29.142418334948612</v>
      </c>
      <c r="AL28" s="22">
        <f t="shared" si="4"/>
        <v>240.94637860003544</v>
      </c>
      <c r="AM28" s="62">
        <f t="shared" si="5"/>
        <v>534.27971193336873</v>
      </c>
      <c r="AN28" s="62">
        <f ca="1">AVERAGE(OFFSET($AM$3,0,0,'Données projet'!$E$10+1,1))-AVERAGE(OFFSET($H$3,0,0,'Données projet'!$E$10+1,1))</f>
        <v>211.73952357671845</v>
      </c>
      <c r="AO28" s="62">
        <f t="shared" si="36"/>
        <v>238.591781509447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0.7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22.549300548319579</v>
      </c>
      <c r="AX28" s="23">
        <f t="shared" si="6"/>
        <v>22.549300548319579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9.1999999999999993</v>
      </c>
      <c r="BD28" s="13">
        <f>IF('Données projet'!$A$88&gt;35,BD27+BC28-BL27,IF(A28&lt;'Données projet'!$A$88,$BA$205^A28,IF(A28='Données projet'!$A$88,'Données projet'!$B$88,BD27+BC28-BL27)))</f>
        <v>203.99999999999994</v>
      </c>
      <c r="BE28" s="14">
        <f>BD28*VLOOKUP('Données projet'!$B$11,Paramètres!$A$1:$I$89,3,0)*VLOOKUP('Données projet'!$B$11,Paramètres!$A$1:$I$89,5,0)</f>
        <v>95.47199999999998</v>
      </c>
      <c r="BF28" s="14">
        <f t="shared" si="37"/>
        <v>25.880372123231144</v>
      </c>
      <c r="BG28" s="22">
        <f t="shared" si="7"/>
        <v>211.35538144796087</v>
      </c>
      <c r="BH28" s="62">
        <f t="shared" si="8"/>
        <v>504.68871478129415</v>
      </c>
      <c r="BI28" s="62">
        <f ca="1">AVERAGE(OFFSET($BH$3,0,0,'Données projet'!$E$11+1,1))-AVERAGE(OFFSET($H$3,0,0,'Données projet'!$E$11+1,1))</f>
        <v>0</v>
      </c>
      <c r="BJ28" s="62">
        <f t="shared" si="38"/>
        <v>0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159.45415548295978</v>
      </c>
      <c r="T29" s="62">
        <f t="shared" si="34"/>
        <v>268.09398033989754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</v>
      </c>
      <c r="AI29" s="14">
        <f>IF('Données projet'!$A$62&gt;35,AI28+AH29-AQ28,IF(A29&lt;'Données projet'!$A$62,$AF$205^A29,IF(A29='Données projet'!$A$62,'Données projet'!$B$62,AI28+AH29-AQ28)))</f>
        <v>103.99999999999997</v>
      </c>
      <c r="AJ29" s="14">
        <f>AI29*VLOOKUP('Données projet'!$B$10,Paramètres!$A$1:$I$89,3,0)*VLOOKUP('Données projet'!$B$10,Paramètres!$A$1:$I$89,5,0)</f>
        <v>90.854399999999984</v>
      </c>
      <c r="AK29" s="14">
        <f t="shared" si="35"/>
        <v>24.771172249191263</v>
      </c>
      <c r="AL29" s="22">
        <f t="shared" si="4"/>
        <v>201.38120500067475</v>
      </c>
      <c r="AM29" s="62">
        <f t="shared" si="5"/>
        <v>494.71453833400807</v>
      </c>
      <c r="AN29" s="62">
        <f ca="1">AVERAGE(OFFSET($AM$3,0,0,'Données projet'!$E$10+1,1))-AVERAGE(OFFSET($H$3,0,0,'Données projet'!$E$10+1,1))</f>
        <v>211.73952357671845</v>
      </c>
      <c r="AO29" s="62">
        <f t="shared" si="36"/>
        <v>238.591781509447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15.944763328730309</v>
      </c>
      <c r="AX29" s="23">
        <f t="shared" si="6"/>
        <v>15.944763328730309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213.19999999999993</v>
      </c>
      <c r="BE29" s="14">
        <f>BD29*VLOOKUP('Données projet'!$B$11,Paramètres!$A$1:$I$89,3,0)*VLOOKUP('Données projet'!$B$11,Paramètres!$A$1:$I$89,5,0)</f>
        <v>99.777599999999964</v>
      </c>
      <c r="BF29" s="14">
        <f t="shared" si="37"/>
        <v>26.909006951444532</v>
      </c>
      <c r="BG29" s="22">
        <f t="shared" si="7"/>
        <v>220.64584044043249</v>
      </c>
      <c r="BH29" s="62">
        <f t="shared" si="8"/>
        <v>513.97917377376575</v>
      </c>
      <c r="BI29" s="62">
        <f ca="1">AVERAGE(OFFSET($BH$3,0,0,'Données projet'!$E$11+1,1))-AVERAGE(OFFSET($H$3,0,0,'Données projet'!$E$11+1,1))</f>
        <v>0</v>
      </c>
      <c r="BJ29" s="62">
        <f t="shared" si="38"/>
        <v>0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159.45415548295978</v>
      </c>
      <c r="T30" s="62">
        <f t="shared" si="34"/>
        <v>268.09398033989754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10</v>
      </c>
      <c r="AI30" s="14">
        <f>IF('Données projet'!$A$62&gt;35,AI29+AH30-AQ29,IF(A30&lt;'Données projet'!$A$62,$AF$205^A30,IF(A30='Données projet'!$A$62,'Données projet'!$B$62,AI29+AH30-AQ29)))</f>
        <v>113.99999999999997</v>
      </c>
      <c r="AJ30" s="14">
        <f>AI30*VLOOKUP('Données projet'!$B$10,Paramètres!$A$1:$I$89,3,0)*VLOOKUP('Données projet'!$B$10,Paramètres!$A$1:$I$89,5,0)</f>
        <v>99.590399999999988</v>
      </c>
      <c r="AK30" s="14">
        <f t="shared" si="35"/>
        <v>26.864392698869324</v>
      </c>
      <c r="AL30" s="22">
        <f t="shared" si="4"/>
        <v>220.24209728386404</v>
      </c>
      <c r="AM30" s="62">
        <f t="shared" si="5"/>
        <v>513.5754306171973</v>
      </c>
      <c r="AN30" s="62">
        <f ca="1">AVERAGE(OFFSET($AM$3,0,0,'Données projet'!$E$10+1,1))-AVERAGE(OFFSET($H$3,0,0,'Données projet'!$E$10+1,1))</f>
        <v>211.73952357671845</v>
      </c>
      <c r="AO30" s="62">
        <f t="shared" si="36"/>
        <v>238.591781509447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11.274650274159791</v>
      </c>
      <c r="AX30" s="23">
        <f t="shared" si="6"/>
        <v>11.274650274159791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222.39999999999992</v>
      </c>
      <c r="BE30" s="14">
        <f>BD30*VLOOKUP('Données projet'!$B$11,Paramètres!$A$1:$I$89,3,0)*VLOOKUP('Données projet'!$B$11,Paramètres!$A$1:$I$89,5,0)</f>
        <v>104.08319999999996</v>
      </c>
      <c r="BF30" s="14">
        <f t="shared" si="37"/>
        <v>27.932486325387405</v>
      </c>
      <c r="BG30" s="22">
        <f t="shared" si="7"/>
        <v>229.92732035004965</v>
      </c>
      <c r="BH30" s="62">
        <f t="shared" si="8"/>
        <v>523.260653683383</v>
      </c>
      <c r="BI30" s="62">
        <f ca="1">AVERAGE(OFFSET($BH$3,0,0,'Données projet'!$E$11+1,1))-AVERAGE(OFFSET($H$3,0,0,'Données projet'!$E$11+1,1))</f>
        <v>0</v>
      </c>
      <c r="BJ30" s="62">
        <f t="shared" si="38"/>
        <v>0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159.45415548295978</v>
      </c>
      <c r="T31" s="62">
        <f t="shared" si="34"/>
        <v>268.09398033989754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10</v>
      </c>
      <c r="AI31" s="14">
        <f>IF('Données projet'!$A$62&gt;35,AI30+AH31-AQ30,IF(A31&lt;'Données projet'!$A$62,$AF$205^A31,IF(A31='Données projet'!$A$62,'Données projet'!$B$62,AI30+AH31-AQ30)))</f>
        <v>123.99999999999997</v>
      </c>
      <c r="AJ31" s="14">
        <f>AI31*VLOOKUP('Données projet'!$B$10,Paramètres!$A$1:$I$89,3,0)*VLOOKUP('Données projet'!$B$10,Paramètres!$A$1:$I$89,5,0)</f>
        <v>108.32640000000001</v>
      </c>
      <c r="AK31" s="14">
        <f t="shared" si="35"/>
        <v>28.936320206966883</v>
      </c>
      <c r="AL31" s="22">
        <f t="shared" si="4"/>
        <v>239.06590436046736</v>
      </c>
      <c r="AM31" s="62">
        <f t="shared" si="5"/>
        <v>532.39923769380061</v>
      </c>
      <c r="AN31" s="62">
        <f ca="1">AVERAGE(OFFSET($AM$3,0,0,'Données projet'!$E$10+1,1))-AVERAGE(OFFSET($H$3,0,0,'Données projet'!$E$10+1,1))</f>
        <v>211.73952357671845</v>
      </c>
      <c r="AO31" s="62">
        <f t="shared" si="36"/>
        <v>238.591781509447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7.9723816643651562</v>
      </c>
      <c r="AX31" s="23">
        <f t="shared" si="6"/>
        <v>7.9723816643651562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231.59999999999991</v>
      </c>
      <c r="BE31" s="14">
        <f>BD31*VLOOKUP('Données projet'!$B$11,Paramètres!$A$1:$I$89,3,0)*VLOOKUP('Données projet'!$B$11,Paramètres!$A$1:$I$89,5,0)</f>
        <v>108.38879999999996</v>
      </c>
      <c r="BF31" s="14">
        <f t="shared" si="37"/>
        <v>28.95104790024919</v>
      </c>
      <c r="BG31" s="22">
        <f t="shared" si="7"/>
        <v>239.20023509293392</v>
      </c>
      <c r="BH31" s="62">
        <f t="shared" si="8"/>
        <v>532.53356842626727</v>
      </c>
      <c r="BI31" s="62">
        <f ca="1">AVERAGE(OFFSET($BH$3,0,0,'Données projet'!$E$11+1,1))-AVERAGE(OFFSET($H$3,0,0,'Données projet'!$E$11+1,1))</f>
        <v>0</v>
      </c>
      <c r="BJ31" s="62">
        <f t="shared" si="38"/>
        <v>0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159.45415548295978</v>
      </c>
      <c r="T32" s="62">
        <f t="shared" si="34"/>
        <v>268.09398033989754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10</v>
      </c>
      <c r="AI32" s="14">
        <f>IF('Données projet'!$A$62&gt;35,AI31+AH32-AQ31,IF(A32&lt;'Données projet'!$A$62,$AF$205^A32,IF(A32='Données projet'!$A$62,'Données projet'!$B$62,AI31+AH32-AQ31)))</f>
        <v>133.99999999999997</v>
      </c>
      <c r="AJ32" s="14">
        <f>AI32*VLOOKUP('Données projet'!$B$10,Paramètres!$A$1:$I$89,3,0)*VLOOKUP('Données projet'!$B$10,Paramètres!$A$1:$I$89,5,0)</f>
        <v>117.0624</v>
      </c>
      <c r="AK32" s="14">
        <f t="shared" si="35"/>
        <v>30.988867171899152</v>
      </c>
      <c r="AL32" s="22">
        <f t="shared" si="4"/>
        <v>257.85595699105767</v>
      </c>
      <c r="AM32" s="62">
        <f t="shared" si="5"/>
        <v>551.18929032439098</v>
      </c>
      <c r="AN32" s="62">
        <f ca="1">AVERAGE(OFFSET($AM$3,0,0,'Données projet'!$E$10+1,1))-AVERAGE(OFFSET($H$3,0,0,'Données projet'!$E$10+1,1))</f>
        <v>211.73952357671845</v>
      </c>
      <c r="AO32" s="62">
        <f t="shared" si="36"/>
        <v>238.591781509447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5.6373251370798965</v>
      </c>
      <c r="AX32" s="23">
        <f t="shared" si="6"/>
        <v>5.6373251370798965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240.7999999999999</v>
      </c>
      <c r="BE32" s="14">
        <f>BD32*VLOOKUP('Données projet'!$B$11,Paramètres!$A$1:$I$89,3,0)*VLOOKUP('Données projet'!$B$11,Paramètres!$A$1:$I$89,5,0)</f>
        <v>112.69439999999994</v>
      </c>
      <c r="BF32" s="14">
        <f t="shared" si="37"/>
        <v>29.964909381330607</v>
      </c>
      <c r="BG32" s="22">
        <f t="shared" si="7"/>
        <v>248.46496383915073</v>
      </c>
      <c r="BH32" s="62">
        <f t="shared" si="8"/>
        <v>541.79829717248401</v>
      </c>
      <c r="BI32" s="62">
        <f ca="1">AVERAGE(OFFSET($BH$3,0,0,'Données projet'!$E$11+1,1))-AVERAGE(OFFSET($H$3,0,0,'Données projet'!$E$11+1,1))</f>
        <v>0</v>
      </c>
      <c r="BJ32" s="62">
        <f t="shared" si="38"/>
        <v>0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159.45415548295978</v>
      </c>
      <c r="T33" s="62">
        <f t="shared" si="34"/>
        <v>268.09398033989754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144</v>
      </c>
      <c r="AG33" s="13">
        <f>VLOOKUP(A33,'Données projet'!$A$61:$I$81,9,0)</f>
        <v>10</v>
      </c>
      <c r="AH33" s="13">
        <f t="array" ref="AH33">INDEX(AG:AG,MIN(IF(ISNUMBER(AG33:AG229),ROW(AG33:AG229),"")))</f>
        <v>10</v>
      </c>
      <c r="AI33" s="14">
        <f>IF('Données projet'!$A$62&gt;35,AI32+AH33-AQ32,IF(A33&lt;'Données projet'!$A$62,$AF$205^A33,IF(A33='Données projet'!$A$62,'Données projet'!$B$62,AI32+AH33-AQ32)))</f>
        <v>143.99999999999997</v>
      </c>
      <c r="AJ33" s="14">
        <f>AI33*VLOOKUP('Données projet'!$B$10,Paramètres!$A$1:$I$89,3,0)*VLOOKUP('Données projet'!$B$10,Paramètres!$A$1:$I$89,5,0)</f>
        <v>125.79839999999999</v>
      </c>
      <c r="AK33" s="14">
        <f t="shared" si="35"/>
        <v>33.023644363399924</v>
      </c>
      <c r="AL33" s="22">
        <f t="shared" si="4"/>
        <v>276.61506059958816</v>
      </c>
      <c r="AM33" s="62">
        <f t="shared" si="5"/>
        <v>569.94839393292148</v>
      </c>
      <c r="AN33" s="62">
        <f ca="1">AVERAGE(OFFSET($AM$3,0,0,'Données projet'!$E$10+1,1))-AVERAGE(OFFSET($H$3,0,0,'Données projet'!$E$10+1,1))</f>
        <v>211.73952357671845</v>
      </c>
      <c r="AO33" s="62">
        <f t="shared" si="36"/>
        <v>238.591781509447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16.76230007747122</v>
      </c>
      <c r="AX33" s="23">
        <f t="shared" si="6"/>
        <v>16.76230007747122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250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249.99999999999989</v>
      </c>
      <c r="BE33" s="14">
        <f>BD33*VLOOKUP('Données projet'!$B$11,Paramètres!$A$1:$I$89,3,0)*VLOOKUP('Données projet'!$B$11,Paramètres!$A$1:$I$89,5,0)</f>
        <v>116.99999999999994</v>
      </c>
      <c r="BF33" s="14">
        <f t="shared" si="37"/>
        <v>30.974270896484118</v>
      </c>
      <c r="BG33" s="22">
        <f t="shared" si="7"/>
        <v>257.72185514470976</v>
      </c>
      <c r="BH33" s="62">
        <f t="shared" si="8"/>
        <v>551.05518847804308</v>
      </c>
      <c r="BI33" s="62">
        <f ca="1">AVERAGE(OFFSET($BH$3,0,0,'Données projet'!$E$11+1,1))-AVERAGE(OFFSET($H$3,0,0,'Données projet'!$E$11+1,1))</f>
        <v>0</v>
      </c>
      <c r="BJ33" s="62">
        <f t="shared" si="38"/>
        <v>0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8.2500000000000004E-2</v>
      </c>
      <c r="BN33" s="17">
        <f>IF(ISNA(VLOOKUP(A33,'Données projet'!$A$87:$I$107,6,0)),0%,VLOOKUP(A33,'Données projet'!$A$87:$I$107,6,0)*VLOOKUP('Données projet'!$B$11,Paramètres!$A$1:$I$89,7,0))</f>
        <v>0.46750000000000003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159.45415548295978</v>
      </c>
      <c r="T34" s="62">
        <f t="shared" si="34"/>
        <v>268.09398033989754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9.1999999999999993</v>
      </c>
      <c r="AI34" s="14">
        <f>IF('Données projet'!$A$62&gt;35,AI33+AH34-AQ33,IF(A34&lt;'Données projet'!$A$62,$AF$205^A34,IF(A34='Données projet'!$A$62,'Données projet'!$B$62,AI33+AH34-AQ33)))</f>
        <v>122.19999999999996</v>
      </c>
      <c r="AJ34" s="14">
        <f>AI34*VLOOKUP('Données projet'!$B$10,Paramètres!$A$1:$I$89,3,0)*VLOOKUP('Données projet'!$B$10,Paramètres!$A$1:$I$89,5,0)</f>
        <v>106.75391999999998</v>
      </c>
      <c r="AK34" s="14">
        <f t="shared" si="35"/>
        <v>28.564854626855976</v>
      </c>
      <c r="AL34" s="22">
        <f t="shared" si="4"/>
        <v>235.6801991417741</v>
      </c>
      <c r="AM34" s="62">
        <f t="shared" si="5"/>
        <v>529.01353247510747</v>
      </c>
      <c r="AN34" s="62">
        <f ca="1">AVERAGE(OFFSET($AM$3,0,0,'Données projet'!$E$10+1,1))-AVERAGE(OFFSET($H$3,0,0,'Données projet'!$E$10+1,1))</f>
        <v>211.73952357671845</v>
      </c>
      <c r="AO34" s="62">
        <f t="shared" si="36"/>
        <v>238.591781509447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11.852736053063692</v>
      </c>
      <c r="AX34" s="23">
        <f t="shared" si="6"/>
        <v>11.852736053063692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259.99999999999989</v>
      </c>
      <c r="BE34" s="14">
        <f>BD34*VLOOKUP('Données projet'!$B$11,Paramètres!$A$1:$I$89,3,0)*VLOOKUP('Données projet'!$B$11,Paramètres!$A$1:$I$89,5,0)</f>
        <v>121.67999999999994</v>
      </c>
      <c r="BF34" s="14">
        <f t="shared" si="37"/>
        <v>32.066514091456256</v>
      </c>
      <c r="BG34" s="22">
        <f t="shared" si="7"/>
        <v>267.77517870928619</v>
      </c>
      <c r="BH34" s="62">
        <f t="shared" si="8"/>
        <v>561.10851204261951</v>
      </c>
      <c r="BI34" s="62">
        <f ca="1">AVERAGE(OFFSET($BH$3,0,0,'Données projet'!$E$11+1,1))-AVERAGE(OFFSET($H$3,0,0,'Données projet'!$E$11+1,1))</f>
        <v>0</v>
      </c>
      <c r="BJ34" s="62">
        <f t="shared" si="38"/>
        <v>0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159.45415548295978</v>
      </c>
      <c r="T35" s="62">
        <f t="shared" si="34"/>
        <v>268.09398033989754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9.1999999999999993</v>
      </c>
      <c r="AI35" s="14">
        <f>IF('Données projet'!$A$62&gt;35,AI34+AH35-AQ34,IF(A35&lt;'Données projet'!$A$62,$AF$205^A35,IF(A35='Données projet'!$A$62,'Données projet'!$B$62,AI34+AH35-AQ34)))</f>
        <v>131.39999999999995</v>
      </c>
      <c r="AJ35" s="14">
        <f>AI35*VLOOKUP('Données projet'!$B$10,Paramètres!$A$1:$I$89,3,0)*VLOOKUP('Données projet'!$B$10,Paramètres!$A$1:$I$89,5,0)</f>
        <v>114.79103999999997</v>
      </c>
      <c r="AK35" s="14">
        <f t="shared" si="35"/>
        <v>30.456974896543485</v>
      </c>
      <c r="AL35" s="22">
        <f t="shared" si="4"/>
        <v>252.97362594481319</v>
      </c>
      <c r="AM35" s="62">
        <f t="shared" si="5"/>
        <v>546.30695927814645</v>
      </c>
      <c r="AN35" s="62">
        <f ca="1">AVERAGE(OFFSET($AM$3,0,0,'Données projet'!$E$10+1,1))-AVERAGE(OFFSET($H$3,0,0,'Données projet'!$E$10+1,1))</f>
        <v>211.73952357671845</v>
      </c>
      <c r="AO35" s="62">
        <f t="shared" si="36"/>
        <v>238.591781509447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8.3811500387356119</v>
      </c>
      <c r="AX35" s="23">
        <f t="shared" si="6"/>
        <v>8.3811500387356119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269.99999999999989</v>
      </c>
      <c r="BE35" s="14">
        <f>BD35*VLOOKUP('Données projet'!$B$11,Paramètres!$A$1:$I$89,3,0)*VLOOKUP('Données projet'!$B$11,Paramètres!$A$1:$I$89,5,0)</f>
        <v>126.35999999999996</v>
      </c>
      <c r="BF35" s="14">
        <f t="shared" si="37"/>
        <v>33.153877056327453</v>
      </c>
      <c r="BG35" s="22">
        <f t="shared" si="7"/>
        <v>277.82000253977026</v>
      </c>
      <c r="BH35" s="62">
        <f t="shared" si="8"/>
        <v>571.15333587310352</v>
      </c>
      <c r="BI35" s="62">
        <f ca="1">AVERAGE(OFFSET($BH$3,0,0,'Données projet'!$E$11+1,1))-AVERAGE(OFFSET($H$3,0,0,'Données projet'!$E$11+1,1))</f>
        <v>0</v>
      </c>
      <c r="BJ35" s="62">
        <f t="shared" si="38"/>
        <v>0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159.45415548295978</v>
      </c>
      <c r="T36" s="62">
        <f t="shared" si="34"/>
        <v>268.09398033989754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9.1999999999999993</v>
      </c>
      <c r="AI36" s="14">
        <f>IF('Données projet'!$A$62&gt;35,AI35+AH36-AQ35,IF(A36&lt;'Données projet'!$A$62,$AF$205^A36,IF(A36='Données projet'!$A$62,'Données projet'!$B$62,AI35+AH36-AQ35)))</f>
        <v>140.59999999999994</v>
      </c>
      <c r="AJ36" s="14">
        <f>AI36*VLOOKUP('Données projet'!$B$10,Paramètres!$A$1:$I$89,3,0)*VLOOKUP('Données projet'!$B$10,Paramètres!$A$1:$I$89,5,0)</f>
        <v>122.82815999999997</v>
      </c>
      <c r="AK36" s="14">
        <f t="shared" si="35"/>
        <v>32.333724232859019</v>
      </c>
      <c r="AL36" s="22">
        <f t="shared" si="4"/>
        <v>270.24028170556272</v>
      </c>
      <c r="AM36" s="62">
        <f t="shared" si="5"/>
        <v>563.57361503889604</v>
      </c>
      <c r="AN36" s="62">
        <f ca="1">AVERAGE(OFFSET($AM$3,0,0,'Données projet'!$E$10+1,1))-AVERAGE(OFFSET($H$3,0,0,'Données projet'!$E$10+1,1))</f>
        <v>211.73952357671845</v>
      </c>
      <c r="AO36" s="62">
        <f t="shared" si="36"/>
        <v>238.591781509447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5.926368026531847</v>
      </c>
      <c r="AX36" s="23">
        <f t="shared" si="6"/>
        <v>5.926368026531847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279.99999999999989</v>
      </c>
      <c r="BE36" s="14">
        <f>BD36*VLOOKUP('Données projet'!$B$11,Paramètres!$A$1:$I$89,3,0)*VLOOKUP('Données projet'!$B$11,Paramètres!$A$1:$I$89,5,0)</f>
        <v>131.03999999999994</v>
      </c>
      <c r="BF36" s="14">
        <f t="shared" si="37"/>
        <v>34.236561238949889</v>
      </c>
      <c r="BG36" s="22">
        <f t="shared" si="7"/>
        <v>287.85667749117096</v>
      </c>
      <c r="BH36" s="62">
        <f t="shared" si="8"/>
        <v>581.19001082450427</v>
      </c>
      <c r="BI36" s="62">
        <f ca="1">AVERAGE(OFFSET($BH$3,0,0,'Données projet'!$E$11+1,1))-AVERAGE(OFFSET($H$3,0,0,'Données projet'!$E$11+1,1))</f>
        <v>0</v>
      </c>
      <c r="BJ36" s="62">
        <f t="shared" si="38"/>
        <v>0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159.45415548295978</v>
      </c>
      <c r="T37" s="62">
        <f t="shared" si="34"/>
        <v>268.09398033989754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9.1999999999999993</v>
      </c>
      <c r="AI37" s="14">
        <f>IF('Données projet'!$A$62&gt;35,AI36+AH37-AQ36,IF(A37&lt;'Données projet'!$A$62,$AF$205^A37,IF(A37='Données projet'!$A$62,'Données projet'!$B$62,AI36+AH37-AQ36)))</f>
        <v>149.79999999999993</v>
      </c>
      <c r="AJ37" s="14">
        <f>AI37*VLOOKUP('Données projet'!$B$10,Paramètres!$A$1:$I$89,3,0)*VLOOKUP('Données projet'!$B$10,Paramètres!$A$1:$I$89,5,0)</f>
        <v>130.86527999999996</v>
      </c>
      <c r="AK37" s="14">
        <f t="shared" si="35"/>
        <v>34.19622287336729</v>
      </c>
      <c r="AL37" s="22">
        <f t="shared" si="4"/>
        <v>287.48211750444796</v>
      </c>
      <c r="AM37" s="62">
        <f t="shared" si="5"/>
        <v>580.81545083778133</v>
      </c>
      <c r="AN37" s="62">
        <f ca="1">AVERAGE(OFFSET($AM$3,0,0,'Données projet'!$E$10+1,1))-AVERAGE(OFFSET($H$3,0,0,'Données projet'!$E$10+1,1))</f>
        <v>211.73952357671845</v>
      </c>
      <c r="AO37" s="62">
        <f t="shared" si="36"/>
        <v>238.591781509447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4.1905750193678069</v>
      </c>
      <c r="AX37" s="23">
        <f t="shared" si="6"/>
        <v>4.1905750193678069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289.99999999999989</v>
      </c>
      <c r="BE37" s="14">
        <f>BD37*VLOOKUP('Données projet'!$B$11,Paramètres!$A$1:$I$89,3,0)*VLOOKUP('Données projet'!$B$11,Paramètres!$A$1:$I$89,5,0)</f>
        <v>135.71999999999994</v>
      </c>
      <c r="BF37" s="14">
        <f t="shared" si="37"/>
        <v>35.314752882348131</v>
      </c>
      <c r="BG37" s="22">
        <f t="shared" si="7"/>
        <v>297.8855279367562</v>
      </c>
      <c r="BH37" s="62">
        <f t="shared" si="8"/>
        <v>591.21886127008952</v>
      </c>
      <c r="BI37" s="62">
        <f ca="1">AVERAGE(OFFSET($BH$3,0,0,'Données projet'!$E$11+1,1))-AVERAGE(OFFSET($H$3,0,0,'Données projet'!$E$11+1,1))</f>
        <v>0</v>
      </c>
      <c r="BJ37" s="62">
        <f t="shared" si="38"/>
        <v>0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159.45415548295978</v>
      </c>
      <c r="T38" s="62">
        <f t="shared" si="34"/>
        <v>268.09398033989754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159</v>
      </c>
      <c r="AG38" s="13">
        <f>VLOOKUP(A38,'Données projet'!$A$61:$I$81,9,0)</f>
        <v>9.1999999999999993</v>
      </c>
      <c r="AH38" s="13">
        <f t="array" ref="AH38">INDEX(AG:AG,MIN(IF(ISNUMBER(AG38:AG234),ROW(AG38:AG234),"")))</f>
        <v>9.1999999999999993</v>
      </c>
      <c r="AI38" s="14">
        <f>IF('Données projet'!$A$62&gt;35,AI37+AH38-AQ37,IF(A38&lt;'Données projet'!$A$62,$AF$205^A38,IF(A38='Données projet'!$A$62,'Données projet'!$B$62,AI37+AH38-AQ37)))</f>
        <v>158.99999999999991</v>
      </c>
      <c r="AJ38" s="14">
        <f>AI38*VLOOKUP('Données projet'!$B$10,Paramètres!$A$1:$I$89,3,0)*VLOOKUP('Données projet'!$B$10,Paramètres!$A$1:$I$89,5,0)</f>
        <v>138.90239999999994</v>
      </c>
      <c r="AK38" s="14">
        <f t="shared" si="35"/>
        <v>36.045445680666425</v>
      </c>
      <c r="AL38" s="22">
        <f t="shared" si="4"/>
        <v>304.70083122716056</v>
      </c>
      <c r="AM38" s="62">
        <f t="shared" si="5"/>
        <v>598.03416456049388</v>
      </c>
      <c r="AN38" s="62">
        <f ca="1">AVERAGE(OFFSET($AM$3,0,0,'Données projet'!$E$10+1,1))-AVERAGE(OFFSET($H$3,0,0,'Données projet'!$E$10+1,1))</f>
        <v>211.73952357671845</v>
      </c>
      <c r="AO38" s="62">
        <f t="shared" si="36"/>
        <v>238.591781509447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30</v>
      </c>
      <c r="AR38" s="17">
        <f>IF(ISNA(VLOOKUP(A38,'Données projet'!$A$61:$I$81,5,0)),0%,VLOOKUP(A38,'Données projet'!$A$61:$I$81,5,0)*VLOOKUP('Données projet'!$B$10,Paramètres!$A$1:$I$89,7,0))</f>
        <v>8.6000000000000007E-2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0.2</v>
      </c>
      <c r="AU38" s="23">
        <f>EXP(-LN(2)/35)*AU37+(1-EXP(-LN(2)/35))/(LN(2)/35)*AQ38*AR38*VLOOKUP('Données projet'!$B$10,Paramètres!$A$1:$I$89,3,0)*0.475*44/12</f>
        <v>2.4916064227847623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7.9087746888615289</v>
      </c>
      <c r="AX38" s="23">
        <f t="shared" si="6"/>
        <v>10.400381111646292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299.99999999999989</v>
      </c>
      <c r="BE38" s="14">
        <f>BD38*VLOOKUP('Données projet'!$B$11,Paramètres!$A$1:$I$89,3,0)*VLOOKUP('Données projet'!$B$11,Paramètres!$A$1:$I$89,5,0)</f>
        <v>140.39999999999995</v>
      </c>
      <c r="BF38" s="14">
        <f t="shared" si="37"/>
        <v>36.388624656711166</v>
      </c>
      <c r="BG38" s="22">
        <f t="shared" si="7"/>
        <v>307.90685461043853</v>
      </c>
      <c r="BH38" s="62">
        <f t="shared" si="8"/>
        <v>601.24018794377184</v>
      </c>
      <c r="BI38" s="62">
        <f ca="1">AVERAGE(OFFSET($BH$3,0,0,'Données projet'!$E$11+1,1))-AVERAGE(OFFSET($H$3,0,0,'Données projet'!$E$11+1,1))</f>
        <v>0</v>
      </c>
      <c r="BJ38" s="62">
        <f t="shared" si="38"/>
        <v>0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159.45415548295978</v>
      </c>
      <c r="T39" s="62">
        <f t="shared" si="34"/>
        <v>268.09398033989754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8.1999999999999993</v>
      </c>
      <c r="AI39" s="14">
        <f>IF('Données projet'!$A$62&gt;35,AI38+AH39-AQ38,IF(A39&lt;'Données projet'!$A$62,$AF$205^A39,IF(A39='Données projet'!$A$62,'Données projet'!$B$62,AI38+AH39-AQ38)))</f>
        <v>137.1999999999999</v>
      </c>
      <c r="AJ39" s="14">
        <f>AI39*VLOOKUP('Données projet'!$B$10,Paramètres!$A$1:$I$89,3,0)*VLOOKUP('Données projet'!$B$10,Paramètres!$A$1:$I$89,5,0)</f>
        <v>119.85791999999992</v>
      </c>
      <c r="AK39" s="14">
        <f t="shared" si="35"/>
        <v>31.641859182846865</v>
      </c>
      <c r="AL39" s="22">
        <f t="shared" si="4"/>
        <v>263.86211541012477</v>
      </c>
      <c r="AM39" s="62">
        <f t="shared" si="5"/>
        <v>557.19544874345809</v>
      </c>
      <c r="AN39" s="62">
        <f ca="1">AVERAGE(OFFSET($AM$3,0,0,'Données projet'!$E$10+1,1))-AVERAGE(OFFSET($H$3,0,0,'Données projet'!$E$10+1,1))</f>
        <v>211.73952357671845</v>
      </c>
      <c r="AO39" s="62">
        <f t="shared" si="36"/>
        <v>238.591781509447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2.4427475405638099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5.5923482133705154</v>
      </c>
      <c r="AX39" s="23">
        <f t="shared" si="6"/>
        <v>8.0350957539343248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</v>
      </c>
      <c r="BD39" s="13">
        <f>IF('Données projet'!$A$88&gt;35,BD38+BC39-BL38,IF(A39&lt;'Données projet'!$A$88,$BA$205^A39,IF(A39='Données projet'!$A$88,'Données projet'!$B$88,BD38+BC39-BL38)))</f>
        <v>309.99999999999989</v>
      </c>
      <c r="BE39" s="14">
        <f>BD39*VLOOKUP('Données projet'!$B$11,Paramètres!$A$1:$I$89,3,0)*VLOOKUP('Données projet'!$B$11,Paramètres!$A$1:$I$89,5,0)</f>
        <v>145.07999999999996</v>
      </c>
      <c r="BF39" s="14">
        <f t="shared" si="37"/>
        <v>37.458337067672986</v>
      </c>
      <c r="BG39" s="22">
        <f t="shared" si="7"/>
        <v>317.92093705953039</v>
      </c>
      <c r="BH39" s="62">
        <f t="shared" si="8"/>
        <v>611.25427039286365</v>
      </c>
      <c r="BI39" s="62">
        <f ca="1">AVERAGE(OFFSET($BH$3,0,0,'Données projet'!$E$11+1,1))-AVERAGE(OFFSET($H$3,0,0,'Données projet'!$E$11+1,1))</f>
        <v>0</v>
      </c>
      <c r="BJ39" s="62">
        <f t="shared" si="38"/>
        <v>0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159.45415548295978</v>
      </c>
      <c r="T40" s="62">
        <f t="shared" si="34"/>
        <v>268.09398033989754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8.1999999999999993</v>
      </c>
      <c r="AI40" s="14">
        <f>IF('Données projet'!$A$62&gt;35,AI39+AH40-AQ39,IF(A40&lt;'Données projet'!$A$62,$AF$205^A40,IF(A40='Données projet'!$A$62,'Données projet'!$B$62,AI39+AH40-AQ39)))</f>
        <v>145.39999999999989</v>
      </c>
      <c r="AJ40" s="14">
        <f>AI40*VLOOKUP('Données projet'!$B$10,Paramètres!$A$1:$I$89,3,0)*VLOOKUP('Données projet'!$B$10,Paramètres!$A$1:$I$89,5,0)</f>
        <v>127.02143999999993</v>
      </c>
      <c r="AK40" s="14">
        <f t="shared" si="35"/>
        <v>33.307175870664402</v>
      </c>
      <c r="AL40" s="22">
        <f t="shared" si="4"/>
        <v>279.23900597474034</v>
      </c>
      <c r="AM40" s="62">
        <f t="shared" si="5"/>
        <v>572.57233930807365</v>
      </c>
      <c r="AN40" s="62">
        <f ca="1">AVERAGE(OFFSET($AM$3,0,0,'Données projet'!$E$10+1,1))-AVERAGE(OFFSET($H$3,0,0,'Données projet'!$E$10+1,1))</f>
        <v>211.73952357671845</v>
      </c>
      <c r="AO40" s="62">
        <f t="shared" si="36"/>
        <v>238.591781509447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2.3948467512222349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3.9543873444307653</v>
      </c>
      <c r="AX40" s="23">
        <f t="shared" si="6"/>
        <v>6.3492340956530002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</v>
      </c>
      <c r="BD40" s="13">
        <f>IF('Données projet'!$A$88&gt;35,BD39+BC40-BL39,IF(A40&lt;'Données projet'!$A$88,$BA$205^A40,IF(A40='Données projet'!$A$88,'Données projet'!$B$88,BD39+BC40-BL39)))</f>
        <v>319.99999999999989</v>
      </c>
      <c r="BE40" s="14">
        <f>BD40*VLOOKUP('Données projet'!$B$11,Paramètres!$A$1:$I$89,3,0)*VLOOKUP('Données projet'!$B$11,Paramètres!$A$1:$I$89,5,0)</f>
        <v>149.75999999999996</v>
      </c>
      <c r="BF40" s="14">
        <f t="shared" si="37"/>
        <v>38.524039677774766</v>
      </c>
      <c r="BG40" s="22">
        <f t="shared" si="7"/>
        <v>327.9280357721243</v>
      </c>
      <c r="BH40" s="62">
        <f t="shared" si="8"/>
        <v>621.26136910545756</v>
      </c>
      <c r="BI40" s="62">
        <f ca="1">AVERAGE(OFFSET($BH$3,0,0,'Données projet'!$E$11+1,1))-AVERAGE(OFFSET($H$3,0,0,'Données projet'!$E$11+1,1))</f>
        <v>0</v>
      </c>
      <c r="BJ40" s="62">
        <f t="shared" si="38"/>
        <v>0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159.45415548295978</v>
      </c>
      <c r="T41" s="62">
        <f t="shared" si="34"/>
        <v>268.09398033989754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8.1999999999999993</v>
      </c>
      <c r="AI41" s="14">
        <f>IF('Données projet'!$A$62&gt;35,AI40+AH41-AQ40,IF(A41&lt;'Données projet'!$A$62,$AF$205^A41,IF(A41='Données projet'!$A$62,'Données projet'!$B$62,AI40+AH41-AQ40)))</f>
        <v>153.59999999999988</v>
      </c>
      <c r="AJ41" s="14">
        <f>AI41*VLOOKUP('Données projet'!$B$10,Paramètres!$A$1:$I$89,3,0)*VLOOKUP('Données projet'!$B$10,Paramètres!$A$1:$I$89,5,0)</f>
        <v>134.1849599999999</v>
      </c>
      <c r="AK41" s="14">
        <f t="shared" si="35"/>
        <v>34.96159027064818</v>
      </c>
      <c r="AL41" s="22">
        <f t="shared" si="4"/>
        <v>294.59690838804539</v>
      </c>
      <c r="AM41" s="62">
        <f t="shared" si="5"/>
        <v>587.93024172137871</v>
      </c>
      <c r="AN41" s="62">
        <f ca="1">AVERAGE(OFFSET($AM$3,0,0,'Données projet'!$E$10+1,1))-AVERAGE(OFFSET($H$3,0,0,'Données projet'!$E$10+1,1))</f>
        <v>211.73952357671845</v>
      </c>
      <c r="AO41" s="62">
        <f t="shared" si="36"/>
        <v>238.591781509447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2.3478852671430519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2.7961741066852581</v>
      </c>
      <c r="AX41" s="23">
        <f t="shared" si="6"/>
        <v>5.14405937382831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</v>
      </c>
      <c r="BD41" s="13">
        <f>IF('Données projet'!$A$88&gt;35,BD40+BC41-BL40,IF(A41&lt;'Données projet'!$A$88,$BA$205^A41,IF(A41='Données projet'!$A$88,'Données projet'!$B$88,BD40+BC41-BL40)))</f>
        <v>329.99999999999989</v>
      </c>
      <c r="BE41" s="14">
        <f>BD41*VLOOKUP('Données projet'!$B$11,Paramètres!$A$1:$I$89,3,0)*VLOOKUP('Données projet'!$B$11,Paramètres!$A$1:$I$89,5,0)</f>
        <v>154.43999999999994</v>
      </c>
      <c r="BF41" s="14">
        <f t="shared" si="37"/>
        <v>39.585872170955454</v>
      </c>
      <c r="BG41" s="22">
        <f t="shared" si="7"/>
        <v>337.92839403108059</v>
      </c>
      <c r="BH41" s="62">
        <f t="shared" si="8"/>
        <v>631.2617273644139</v>
      </c>
      <c r="BI41" s="62">
        <f ca="1">AVERAGE(OFFSET($BH$3,0,0,'Données projet'!$E$11+1,1))-AVERAGE(OFFSET($H$3,0,0,'Données projet'!$E$11+1,1))</f>
        <v>0</v>
      </c>
      <c r="BJ41" s="62">
        <f t="shared" si="38"/>
        <v>0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159.45415548295978</v>
      </c>
      <c r="T42" s="62">
        <f t="shared" si="34"/>
        <v>268.09398033989754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8.1999999999999993</v>
      </c>
      <c r="AI42" s="14">
        <f>IF('Données projet'!$A$62&gt;35,AI41+AH42-AQ41,IF(A42&lt;'Données projet'!$A$62,$AF$205^A42,IF(A42='Données projet'!$A$62,'Données projet'!$B$62,AI41+AH42-AQ41)))</f>
        <v>161.79999999999987</v>
      </c>
      <c r="AJ42" s="14">
        <f>AI42*VLOOKUP('Données projet'!$B$10,Paramètres!$A$1:$I$89,3,0)*VLOOKUP('Données projet'!$B$10,Paramètres!$A$1:$I$89,5,0)</f>
        <v>141.34847999999991</v>
      </c>
      <c r="AK42" s="14">
        <f t="shared" si="35"/>
        <v>36.605750770707772</v>
      </c>
      <c r="AL42" s="22">
        <f t="shared" si="4"/>
        <v>309.93695192564923</v>
      </c>
      <c r="AM42" s="62">
        <f t="shared" si="5"/>
        <v>603.27028525898254</v>
      </c>
      <c r="AN42" s="62">
        <f ca="1">AVERAGE(OFFSET($AM$3,0,0,'Données projet'!$E$10+1,1))-AVERAGE(OFFSET($H$3,0,0,'Données projet'!$E$10+1,1))</f>
        <v>211.73952357671845</v>
      </c>
      <c r="AO42" s="62">
        <f t="shared" si="36"/>
        <v>238.591781509447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2.3018446691229846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1.9771936722153829</v>
      </c>
      <c r="AX42" s="23">
        <f t="shared" si="6"/>
        <v>4.2790383413383672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</v>
      </c>
      <c r="BD42" s="13">
        <f>IF('Données projet'!$A$88&gt;35,BD41+BC42-BL41,IF(A42&lt;'Données projet'!$A$88,$BA$205^A42,IF(A42='Données projet'!$A$88,'Données projet'!$B$88,BD41+BC42-BL41)))</f>
        <v>339.99999999999989</v>
      </c>
      <c r="BE42" s="14">
        <f>BD42*VLOOKUP('Données projet'!$B$11,Paramètres!$A$1:$I$89,3,0)*VLOOKUP('Données projet'!$B$11,Paramètres!$A$1:$I$89,5,0)</f>
        <v>159.11999999999995</v>
      </c>
      <c r="BF42" s="14">
        <f t="shared" si="37"/>
        <v>40.643965284387697</v>
      </c>
      <c r="BG42" s="22">
        <f t="shared" si="7"/>
        <v>347.92223953697516</v>
      </c>
      <c r="BH42" s="62">
        <f t="shared" si="8"/>
        <v>641.25557287030847</v>
      </c>
      <c r="BI42" s="62">
        <f ca="1">AVERAGE(OFFSET($BH$3,0,0,'Données projet'!$E$11+1,1))-AVERAGE(OFFSET($H$3,0,0,'Données projet'!$E$11+1,1))</f>
        <v>0</v>
      </c>
      <c r="BJ42" s="62">
        <f t="shared" si="38"/>
        <v>0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159.45415548295978</v>
      </c>
      <c r="T43" s="62">
        <f t="shared" si="34"/>
        <v>268.09398033989754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170</v>
      </c>
      <c r="AG43" s="13">
        <f>VLOOKUP(A43,'Données projet'!$A$61:$I$81,9,0)</f>
        <v>8.1999999999999993</v>
      </c>
      <c r="AH43" s="13">
        <f t="array" ref="AH43">INDEX(AG:AG,MIN(IF(ISNUMBER(AG43:AG239),ROW(AG43:AG239),"")))</f>
        <v>8.1999999999999993</v>
      </c>
      <c r="AI43" s="14">
        <f>IF('Données projet'!$A$62&gt;35,AI42+AH43-AQ42,IF(A43&lt;'Données projet'!$A$62,$AF$205^A43,IF(A43='Données projet'!$A$62,'Données projet'!$B$62,AI42+AH43-AQ42)))</f>
        <v>169.99999999999986</v>
      </c>
      <c r="AJ43" s="14">
        <f>AI43*VLOOKUP('Données projet'!$B$10,Paramètres!$A$1:$I$89,3,0)*VLOOKUP('Données projet'!$B$10,Paramètres!$A$1:$I$89,5,0)</f>
        <v>148.51199999999989</v>
      </c>
      <c r="AK43" s="14">
        <f t="shared" si="35"/>
        <v>38.240236326053477</v>
      </c>
      <c r="AL43" s="22">
        <f t="shared" si="4"/>
        <v>325.26014493454295</v>
      </c>
      <c r="AM43" s="62">
        <f t="shared" si="5"/>
        <v>618.59347826787621</v>
      </c>
      <c r="AN43" s="62">
        <f ca="1">AVERAGE(OFFSET($AM$3,0,0,'Données projet'!$E$10+1,1))-AVERAGE(OFFSET($H$3,0,0,'Données projet'!$E$10+1,1))</f>
        <v>211.73952357671845</v>
      </c>
      <c r="AO43" s="62">
        <f t="shared" si="36"/>
        <v>238.591781509447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0.129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0.1</v>
      </c>
      <c r="AU43" s="23">
        <f>EXP(-LN(2)/35)*AU42+(1-EXP(-LN(2)/35))/(LN(2)/35)*AQ43*AR43*VLOOKUP('Données projet'!$B$10,Paramètres!$A$1:$I$89,3,0)*0.475*44/12</f>
        <v>5.7449558910467662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3.7060293686205772</v>
      </c>
      <c r="AX43" s="23">
        <f t="shared" si="6"/>
        <v>9.4509852596673429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350</v>
      </c>
      <c r="BB43" s="13">
        <f>VLOOKUP(A43,'Données projet'!$A$87:$I$107,9,0)</f>
        <v>10</v>
      </c>
      <c r="BC43" s="13">
        <f t="array" ref="BC43">INDEX(BB:BB,MIN(IF(ISNUMBER(BB43:BB239),ROW(BB43:BB239),"")))</f>
        <v>10</v>
      </c>
      <c r="BD43" s="13">
        <f>IF('Données projet'!$A$88&gt;35,BD42+BC43-BL42,IF(A43&lt;'Données projet'!$A$88,$BA$205^A43,IF(A43='Données projet'!$A$88,'Données projet'!$B$88,BD42+BC43-BL42)))</f>
        <v>349.99999999999989</v>
      </c>
      <c r="BE43" s="14">
        <f>BD43*VLOOKUP('Données projet'!$B$11,Paramètres!$A$1:$I$89,3,0)*VLOOKUP('Données projet'!$B$11,Paramètres!$A$1:$I$89,5,0)</f>
        <v>163.79999999999995</v>
      </c>
      <c r="BF43" s="14">
        <f t="shared" si="37"/>
        <v>41.698441627605291</v>
      </c>
      <c r="BG43" s="22">
        <f t="shared" si="7"/>
        <v>357.90978583474572</v>
      </c>
      <c r="BH43" s="62">
        <f t="shared" si="8"/>
        <v>651.24311916807903</v>
      </c>
      <c r="BI43" s="62">
        <f ca="1">AVERAGE(OFFSET($BH$3,0,0,'Données projet'!$E$11+1,1))-AVERAGE(OFFSET($H$3,0,0,'Données projet'!$E$11+1,1))</f>
        <v>0</v>
      </c>
      <c r="BJ43" s="62">
        <f t="shared" si="38"/>
        <v>0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88</v>
      </c>
      <c r="BM43" s="17">
        <f>IF(ISNA(VLOOKUP(A43,'Données projet'!$A$87:$I$107,5,0)),0%,VLOOKUP(A43,'Données projet'!$A$87:$I$107,5,0)*VLOOKUP('Données projet'!$B$11,Paramètres!$A$1:$I$89,7,0))</f>
        <v>0.11000000000000001</v>
      </c>
      <c r="BN43" s="17">
        <f>IF(ISNA(VLOOKUP(A43,'Données projet'!$A$87:$I$107,6,0)),0%,VLOOKUP(A43,'Données projet'!$A$87:$I$107,6,0)*VLOOKUP('Données projet'!$B$11,Paramètres!$A$1:$I$89,7,0))</f>
        <v>0.44000000000000006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6.0096553586104235</v>
      </c>
      <c r="BQ43" s="23">
        <f>EXP(-LN(2)/25)*BQ42+(1-EXP(-LN(2)/25))/(LN(2)/25)*Calculateur!BL43*Calculateur!BN43*VLOOKUP('Données projet'!$B$11,Paramètres!$A$1:$I$89,3,0)*0.475*44/12</f>
        <v>23.94397222242144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29.953627581031864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159.45415548295978</v>
      </c>
      <c r="T44" s="62">
        <f t="shared" si="34"/>
        <v>268.09398033989754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7.6</v>
      </c>
      <c r="AI44" s="14">
        <f>IF('Données projet'!$A$62&gt;35,AI43+AH44-AQ43,IF(A44&lt;'Données projet'!$A$62,$AF$205^A44,IF(A44='Données projet'!$A$62,'Données projet'!$B$62,AI43+AH44-AQ43)))</f>
        <v>149.59999999999985</v>
      </c>
      <c r="AJ44" s="14">
        <f>AI44*VLOOKUP('Données projet'!$B$10,Paramètres!$A$1:$I$89,3,0)*VLOOKUP('Données projet'!$B$10,Paramètres!$A$1:$I$89,5,0)</f>
        <v>130.69055999999989</v>
      </c>
      <c r="AK44" s="14">
        <f t="shared" si="35"/>
        <v>34.155878238422694</v>
      </c>
      <c r="AL44" s="22">
        <f t="shared" si="4"/>
        <v>287.107546598586</v>
      </c>
      <c r="AM44" s="62">
        <f t="shared" si="5"/>
        <v>580.44087993191931</v>
      </c>
      <c r="AN44" s="62">
        <f ca="1">AVERAGE(OFFSET($AM$3,0,0,'Données projet'!$E$10+1,1))-AVERAGE(OFFSET($H$3,0,0,'Données projet'!$E$10+1,1))</f>
        <v>211.73952357671845</v>
      </c>
      <c r="AO44" s="62">
        <f t="shared" si="36"/>
        <v>238.591781509447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5.6323008101004337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2.6205584978281093</v>
      </c>
      <c r="AX44" s="23">
        <f t="shared" si="6"/>
        <v>8.2528593079285422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11.5</v>
      </c>
      <c r="BD44" s="13">
        <f>IF('Données projet'!$A$88&gt;35,BD43+BC44-BL43,IF(A44&lt;'Données projet'!$A$88,$BA$205^A44,IF(A44='Données projet'!$A$88,'Données projet'!$B$88,BD43+BC44-BL43)))</f>
        <v>273.49999999999989</v>
      </c>
      <c r="BE44" s="14">
        <f>BD44*VLOOKUP('Données projet'!$B$11,Paramètres!$A$1:$I$89,3,0)*VLOOKUP('Données projet'!$B$11,Paramètres!$A$1:$I$89,5,0)</f>
        <v>127.99799999999995</v>
      </c>
      <c r="BF44" s="14">
        <f t="shared" si="37"/>
        <v>33.533338894635314</v>
      </c>
      <c r="BG44" s="22">
        <f t="shared" si="7"/>
        <v>281.33374857482306</v>
      </c>
      <c r="BH44" s="62">
        <f t="shared" si="8"/>
        <v>574.66708190815643</v>
      </c>
      <c r="BI44" s="62">
        <f ca="1">AVERAGE(OFFSET($BH$3,0,0,'Données projet'!$E$11+1,1))-AVERAGE(OFFSET($H$3,0,0,'Données projet'!$E$11+1,1))</f>
        <v>0</v>
      </c>
      <c r="BJ44" s="62">
        <f t="shared" si="38"/>
        <v>0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5.891809682555901</v>
      </c>
      <c r="BQ44" s="23">
        <f>EXP(-LN(2)/25)*BQ43+(1-EXP(-LN(2)/25))/(LN(2)/25)*Calculateur!BL44*Calculateur!BN44*VLOOKUP('Données projet'!$B$11,Paramètres!$A$1:$I$89,3,0)*0.475*44/12</f>
        <v>23.28922304284055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29.181032725396452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159.45415548295978</v>
      </c>
      <c r="T45" s="62">
        <f t="shared" si="34"/>
        <v>268.09398033989754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7.6</v>
      </c>
      <c r="AI45" s="14">
        <f>IF('Données projet'!$A$62&gt;35,AI44+AH45-AQ44,IF(A45&lt;'Données projet'!$A$62,$AF$205^A45,IF(A45='Données projet'!$A$62,'Données projet'!$B$62,AI44+AH45-AQ44)))</f>
        <v>157.19999999999985</v>
      </c>
      <c r="AJ45" s="14">
        <f>AI45*VLOOKUP('Données projet'!$B$10,Paramètres!$A$1:$I$89,3,0)*VLOOKUP('Données projet'!$B$10,Paramètres!$A$1:$I$89,5,0)</f>
        <v>137.3299199999999</v>
      </c>
      <c r="AK45" s="14">
        <f t="shared" si="35"/>
        <v>35.684643836992151</v>
      </c>
      <c r="AL45" s="22">
        <f t="shared" si="4"/>
        <v>301.33369868276117</v>
      </c>
      <c r="AM45" s="62">
        <f t="shared" si="5"/>
        <v>594.66703201609448</v>
      </c>
      <c r="AN45" s="62">
        <f ca="1">AVERAGE(OFFSET($AM$3,0,0,'Données projet'!$E$10+1,1))-AVERAGE(OFFSET($H$3,0,0,'Données projet'!$E$10+1,1))</f>
        <v>211.73952357671845</v>
      </c>
      <c r="AO45" s="62">
        <f t="shared" si="36"/>
        <v>238.591781509447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5.521854826578644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1.8530146843102888</v>
      </c>
      <c r="AX45" s="23">
        <f t="shared" si="6"/>
        <v>7.3748695108889333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11.5</v>
      </c>
      <c r="BD45" s="13">
        <f>IF('Données projet'!$A$88&gt;35,BD44+BC45-BL44,IF(A45&lt;'Données projet'!$A$88,$BA$205^A45,IF(A45='Données projet'!$A$88,'Données projet'!$B$88,BD44+BC45-BL44)))</f>
        <v>284.99999999999989</v>
      </c>
      <c r="BE45" s="14">
        <f>BD45*VLOOKUP('Données projet'!$B$11,Paramètres!$A$1:$I$89,3,0)*VLOOKUP('Données projet'!$B$11,Paramètres!$A$1:$I$89,5,0)</f>
        <v>133.37999999999994</v>
      </c>
      <c r="BF45" s="14">
        <f t="shared" si="37"/>
        <v>34.776207535548991</v>
      </c>
      <c r="BG45" s="22">
        <f t="shared" si="7"/>
        <v>292.87206145774769</v>
      </c>
      <c r="BH45" s="62">
        <f t="shared" si="8"/>
        <v>586.20539479108106</v>
      </c>
      <c r="BI45" s="62">
        <f ca="1">AVERAGE(OFFSET($BH$3,0,0,'Données projet'!$E$11+1,1))-AVERAGE(OFFSET($H$3,0,0,'Données projet'!$E$11+1,1))</f>
        <v>0</v>
      </c>
      <c r="BJ45" s="62">
        <f t="shared" si="38"/>
        <v>0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5.7762748883300423</v>
      </c>
      <c r="BQ45" s="23">
        <f>EXP(-LN(2)/25)*BQ44+(1-EXP(-LN(2)/25))/(LN(2)/25)*Calculateur!BL45*Calculateur!BN45*VLOOKUP('Données projet'!$B$11,Paramètres!$A$1:$I$89,3,0)*0.475*44/12</f>
        <v>22.652378014007063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28.428652902337106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159.45415548295978</v>
      </c>
      <c r="T46" s="62">
        <f t="shared" si="34"/>
        <v>268.09398033989754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7.6</v>
      </c>
      <c r="AI46" s="14">
        <f>IF('Données projet'!$A$62&gt;35,AI45+AH46-AQ45,IF(A46&lt;'Données projet'!$A$62,$AF$205^A46,IF(A46='Données projet'!$A$62,'Données projet'!$B$62,AI45+AH46-AQ45)))</f>
        <v>164.79999999999984</v>
      </c>
      <c r="AJ46" s="14">
        <f>AI46*VLOOKUP('Données projet'!$B$10,Paramètres!$A$1:$I$89,3,0)*VLOOKUP('Données projet'!$B$10,Paramètres!$A$1:$I$89,5,0)</f>
        <v>143.96927999999988</v>
      </c>
      <c r="AK46" s="14">
        <f t="shared" si="35"/>
        <v>37.204826967876741</v>
      </c>
      <c r="AL46" s="22">
        <f t="shared" si="4"/>
        <v>315.5449029690518</v>
      </c>
      <c r="AM46" s="62">
        <f t="shared" si="5"/>
        <v>608.87823630238518</v>
      </c>
      <c r="AN46" s="62">
        <f ca="1">AVERAGE(OFFSET($AM$3,0,0,'Données projet'!$E$10+1,1))-AVERAGE(OFFSET($H$3,0,0,'Données projet'!$E$10+1,1))</f>
        <v>211.73952357671845</v>
      </c>
      <c r="AO46" s="62">
        <f t="shared" si="36"/>
        <v>238.591781509447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5.4135746214283191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1.3102792489140549</v>
      </c>
      <c r="AX46" s="23">
        <f t="shared" si="6"/>
        <v>6.7238538703423743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11.5</v>
      </c>
      <c r="BD46" s="13">
        <f>IF('Données projet'!$A$88&gt;35,BD45+BC46-BL45,IF(A46&lt;'Données projet'!$A$88,$BA$205^A46,IF(A46='Données projet'!$A$88,'Données projet'!$B$88,BD45+BC46-BL45)))</f>
        <v>296.49999999999989</v>
      </c>
      <c r="BE46" s="14">
        <f>BD46*VLOOKUP('Données projet'!$B$11,Paramètres!$A$1:$I$89,3,0)*VLOOKUP('Données projet'!$B$11,Paramètres!$A$1:$I$89,5,0)</f>
        <v>138.76199999999994</v>
      </c>
      <c r="BF46" s="14">
        <f t="shared" si="37"/>
        <v>36.01325063671441</v>
      </c>
      <c r="BG46" s="22">
        <f t="shared" si="7"/>
        <v>304.4002281922775</v>
      </c>
      <c r="BH46" s="62">
        <f t="shared" si="8"/>
        <v>597.73356152561087</v>
      </c>
      <c r="BI46" s="62">
        <f ca="1">AVERAGE(OFFSET($BH$3,0,0,'Données projet'!$E$11+1,1))-AVERAGE(OFFSET($H$3,0,0,'Données projet'!$E$11+1,1))</f>
        <v>0</v>
      </c>
      <c r="BJ46" s="62">
        <f t="shared" si="38"/>
        <v>0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5.663005660949687</v>
      </c>
      <c r="BQ46" s="23">
        <f>EXP(-LN(2)/25)*BQ45+(1-EXP(-LN(2)/25))/(LN(2)/25)*Calculateur!BL46*Calculateur!BN46*VLOOKUP('Données projet'!$B$11,Paramètres!$A$1:$I$89,3,0)*0.475*44/12</f>
        <v>22.032947545977251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27.695953206926937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159.45415548295978</v>
      </c>
      <c r="T47" s="62">
        <f t="shared" si="34"/>
        <v>268.09398033989754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7.6</v>
      </c>
      <c r="AI47" s="14">
        <f>IF('Données projet'!$A$62&gt;35,AI46+AH47-AQ46,IF(A47&lt;'Données projet'!$A$62,$AF$205^A47,IF(A47='Données projet'!$A$62,'Données projet'!$B$62,AI46+AH47-AQ46)))</f>
        <v>172.39999999999984</v>
      </c>
      <c r="AJ47" s="14">
        <f>AI47*VLOOKUP('Données projet'!$B$10,Paramètres!$A$1:$I$89,3,0)*VLOOKUP('Données projet'!$B$10,Paramètres!$A$1:$I$89,5,0)</f>
        <v>150.60863999999987</v>
      </c>
      <c r="AK47" s="14">
        <f t="shared" si="35"/>
        <v>38.716868630535259</v>
      </c>
      <c r="AL47" s="22">
        <f t="shared" si="4"/>
        <v>329.74192753151533</v>
      </c>
      <c r="AM47" s="62">
        <f t="shared" si="5"/>
        <v>623.07526086484859</v>
      </c>
      <c r="AN47" s="62">
        <f ca="1">AVERAGE(OFFSET($AM$3,0,0,'Données projet'!$E$10+1,1))-AVERAGE(OFFSET($H$3,0,0,'Données projet'!$E$10+1,1))</f>
        <v>211.73952357671845</v>
      </c>
      <c r="AO47" s="62">
        <f t="shared" si="36"/>
        <v>238.591781509447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5.3074177250565882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0.92650734215514452</v>
      </c>
      <c r="AX47" s="23">
        <f t="shared" si="6"/>
        <v>6.2339250672117323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11.5</v>
      </c>
      <c r="BD47" s="13">
        <f>IF('Données projet'!$A$88&gt;35,BD46+BC47-BL46,IF(A47&lt;'Données projet'!$A$88,$BA$205^A47,IF(A47='Données projet'!$A$88,'Données projet'!$B$88,BD46+BC47-BL46)))</f>
        <v>307.99999999999989</v>
      </c>
      <c r="BE47" s="14">
        <f>BD47*VLOOKUP('Données projet'!$B$11,Paramètres!$A$1:$I$89,3,0)*VLOOKUP('Données projet'!$B$11,Paramètres!$A$1:$I$89,5,0)</f>
        <v>144.14399999999995</v>
      </c>
      <c r="BF47" s="14">
        <f t="shared" si="37"/>
        <v>37.244720006976216</v>
      </c>
      <c r="BG47" s="22">
        <f t="shared" si="7"/>
        <v>315.91868734548348</v>
      </c>
      <c r="BH47" s="62">
        <f t="shared" si="8"/>
        <v>609.25202067881673</v>
      </c>
      <c r="BI47" s="62">
        <f ca="1">AVERAGE(OFFSET($BH$3,0,0,'Données projet'!$E$11+1,1))-AVERAGE(OFFSET($H$3,0,0,'Données projet'!$E$11+1,1))</f>
        <v>0</v>
      </c>
      <c r="BJ47" s="62">
        <f t="shared" si="38"/>
        <v>0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5.5519575740308538</v>
      </c>
      <c r="BQ47" s="23">
        <f>EXP(-LN(2)/25)*BQ46+(1-EXP(-LN(2)/25))/(LN(2)/25)*Calculateur!BL47*Calculateur!BN47*VLOOKUP('Données projet'!$B$11,Paramètres!$A$1:$I$89,3,0)*0.475*44/12</f>
        <v>21.430455436670147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26.982413010701002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159.45415548295978</v>
      </c>
      <c r="T48" s="62">
        <f t="shared" si="34"/>
        <v>268.09398033989754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180</v>
      </c>
      <c r="AG48" s="13">
        <f>VLOOKUP(A48,'Données projet'!$A$61:$I$81,9,0)</f>
        <v>7.6</v>
      </c>
      <c r="AH48" s="13">
        <f t="array" ref="AH48">INDEX(AG:AG,MIN(IF(ISNUMBER(AG48:AG244),ROW(AG48:AG244),"")))</f>
        <v>7.6</v>
      </c>
      <c r="AI48" s="14">
        <f>IF('Données projet'!$A$62&gt;35,AI47+AH48-AQ47,IF(A48&lt;'Données projet'!$A$62,$AF$205^A48,IF(A48='Données projet'!$A$62,'Données projet'!$B$62,AI47+AH48-AQ47)))</f>
        <v>179.99999999999983</v>
      </c>
      <c r="AJ48" s="14">
        <f>AI48*VLOOKUP('Données projet'!$B$10,Paramètres!$A$1:$I$89,3,0)*VLOOKUP('Données projet'!$B$10,Paramètres!$A$1:$I$89,5,0)</f>
        <v>157.24799999999988</v>
      </c>
      <c r="AK48" s="14">
        <f t="shared" si="35"/>
        <v>40.22116874434861</v>
      </c>
      <c r="AL48" s="22">
        <f t="shared" si="4"/>
        <v>343.92546889640693</v>
      </c>
      <c r="AM48" s="62">
        <f t="shared" si="5"/>
        <v>637.25880222974024</v>
      </c>
      <c r="AN48" s="62">
        <f ca="1">AVERAGE(OFFSET($AM$3,0,0,'Données projet'!$E$10+1,1))-AVERAGE(OFFSET($H$3,0,0,'Données projet'!$E$10+1,1))</f>
        <v>211.73952357671845</v>
      </c>
      <c r="AO48" s="62">
        <f t="shared" si="36"/>
        <v>238.591781509447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26</v>
      </c>
      <c r="AR48" s="17">
        <f>IF(ISNA(VLOOKUP(A48,'Données projet'!$A$61:$I$81,5,0)),0%,VLOOKUP(A48,'Données projet'!$A$61:$I$81,5,0)*VLOOKUP('Données projet'!$B$10,Paramètres!$A$1:$I$89,7,0))</f>
        <v>0.15049999999999999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8.9822789085636163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0.65513962445702756</v>
      </c>
      <c r="AX48" s="23">
        <f t="shared" si="6"/>
        <v>9.637418533020643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11.5</v>
      </c>
      <c r="BD48" s="13">
        <f>IF('Données projet'!$A$88&gt;35,BD47+BC48-BL47,IF(A48&lt;'Données projet'!$A$88,$BA$205^A48,IF(A48='Données projet'!$A$88,'Données projet'!$B$88,BD47+BC48-BL47)))</f>
        <v>319.49999999999989</v>
      </c>
      <c r="BE48" s="14">
        <f>BD48*VLOOKUP('Données projet'!$B$11,Paramètres!$A$1:$I$89,3,0)*VLOOKUP('Données projet'!$B$11,Paramètres!$A$1:$I$89,5,0)</f>
        <v>149.52599999999995</v>
      </c>
      <c r="BF48" s="14">
        <f t="shared" si="37"/>
        <v>38.470847585964201</v>
      </c>
      <c r="BG48" s="22">
        <f t="shared" si="7"/>
        <v>327.42784287888759</v>
      </c>
      <c r="BH48" s="62">
        <f t="shared" si="8"/>
        <v>620.7611762122209</v>
      </c>
      <c r="BI48" s="62">
        <f ca="1">AVERAGE(OFFSET($BH$3,0,0,'Données projet'!$E$11+1,1))-AVERAGE(OFFSET($H$3,0,0,'Données projet'!$E$11+1,1))</f>
        <v>0</v>
      </c>
      <c r="BJ48" s="62">
        <f t="shared" si="38"/>
        <v>0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5.4430870723638538</v>
      </c>
      <c r="BQ48" s="23">
        <f>EXP(-LN(2)/25)*BQ47+(1-EXP(-LN(2)/25))/(LN(2)/25)*Calculateur!BL48*Calculateur!BN48*VLOOKUP('Données projet'!$B$11,Paramètres!$A$1:$I$89,3,0)*0.475*44/12</f>
        <v>20.844438505775731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26.287525578139586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159.45415548295978</v>
      </c>
      <c r="T49" s="62">
        <f t="shared" si="34"/>
        <v>268.09398033989754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6.6</v>
      </c>
      <c r="AI49" s="14">
        <f>IF('Données projet'!$A$62&gt;35,AI48+AH49-AQ48,IF(A49&lt;'Données projet'!$A$62,$AF$205^A49,IF(A49='Données projet'!$A$62,'Données projet'!$B$62,AI48+AH49-AQ48)))</f>
        <v>160.59999999999982</v>
      </c>
      <c r="AJ49" s="14">
        <f>AI49*VLOOKUP('Données projet'!$B$10,Paramètres!$A$1:$I$89,3,0)*VLOOKUP('Données projet'!$B$10,Paramètres!$A$1:$I$89,5,0)</f>
        <v>140.30015999999986</v>
      </c>
      <c r="AK49" s="14">
        <f t="shared" si="35"/>
        <v>36.36575936262836</v>
      </c>
      <c r="AL49" s="22">
        <f t="shared" si="4"/>
        <v>307.6931428899108</v>
      </c>
      <c r="AM49" s="62">
        <f t="shared" si="5"/>
        <v>601.02647622324412</v>
      </c>
      <c r="AN49" s="62">
        <f ca="1">AVERAGE(OFFSET($AM$3,0,0,'Données projet'!$E$10+1,1))-AVERAGE(OFFSET($H$3,0,0,'Données projet'!$E$10+1,1))</f>
        <v>211.73952357671845</v>
      </c>
      <c r="AO49" s="62">
        <f t="shared" si="36"/>
        <v>238.591781509447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8.8061418978158468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0.46325367107757232</v>
      </c>
      <c r="AX49" s="23">
        <f t="shared" si="6"/>
        <v>9.2693955688934189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11.5</v>
      </c>
      <c r="BD49" s="13">
        <f>IF('Données projet'!$A$88&gt;35,BD48+BC49-BL48,IF(A49&lt;'Données projet'!$A$88,$BA$205^A49,IF(A49='Données projet'!$A$88,'Données projet'!$B$88,BD48+BC49-BL48)))</f>
        <v>330.99999999999989</v>
      </c>
      <c r="BE49" s="14">
        <f>BD49*VLOOKUP('Données projet'!$B$11,Paramètres!$A$1:$I$89,3,0)*VLOOKUP('Données projet'!$B$11,Paramètres!$A$1:$I$89,5,0)</f>
        <v>154.90799999999996</v>
      </c>
      <c r="BF49" s="14">
        <f t="shared" si="37"/>
        <v>39.691847670151873</v>
      </c>
      <c r="BG49" s="22">
        <f t="shared" si="7"/>
        <v>338.92806802551439</v>
      </c>
      <c r="BH49" s="62">
        <f t="shared" si="8"/>
        <v>632.26140135884771</v>
      </c>
      <c r="BI49" s="62">
        <f ca="1">AVERAGE(OFFSET($BH$3,0,0,'Données projet'!$E$11+1,1))-AVERAGE(OFFSET($H$3,0,0,'Données projet'!$E$11+1,1))</f>
        <v>0</v>
      </c>
      <c r="BJ49" s="62">
        <f t="shared" si="38"/>
        <v>0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5.3363514548300941</v>
      </c>
      <c r="BQ49" s="23">
        <f>EXP(-LN(2)/25)*BQ48+(1-EXP(-LN(2)/25))/(LN(2)/25)*Calculateur!BL49*Calculateur!BN49*VLOOKUP('Données projet'!$B$11,Paramètres!$A$1:$I$89,3,0)*0.475*44/12</f>
        <v>20.274446238673914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25.610797693504008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159.45415548295978</v>
      </c>
      <c r="T50" s="62">
        <f t="shared" si="34"/>
        <v>268.09398033989754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6.6</v>
      </c>
      <c r="AI50" s="14">
        <f>IF('Données projet'!$A$62&gt;35,AI49+AH50-AQ49,IF(A50&lt;'Données projet'!$A$62,$AF$205^A50,IF(A50='Données projet'!$A$62,'Données projet'!$B$62,AI49+AH50-AQ49)))</f>
        <v>167.19999999999982</v>
      </c>
      <c r="AJ50" s="14">
        <f>AI50*VLOOKUP('Données projet'!$B$10,Paramètres!$A$1:$I$89,3,0)*VLOOKUP('Données projet'!$B$10,Paramètres!$A$1:$I$89,5,0)</f>
        <v>146.06591999999986</v>
      </c>
      <c r="AK50" s="14">
        <f t="shared" si="35"/>
        <v>37.683173643014364</v>
      </c>
      <c r="AL50" s="22">
        <f t="shared" si="4"/>
        <v>320.02967142824974</v>
      </c>
      <c r="AM50" s="62">
        <f t="shared" si="5"/>
        <v>613.36300476158306</v>
      </c>
      <c r="AN50" s="62">
        <f ca="1">AVERAGE(OFFSET($AM$3,0,0,'Données projet'!$E$10+1,1))-AVERAGE(OFFSET($H$3,0,0,'Données projet'!$E$10+1,1))</f>
        <v>211.73952357671845</v>
      </c>
      <c r="AO50" s="62">
        <f t="shared" si="36"/>
        <v>238.591781509447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8.6334588264158718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0.32756981222851383</v>
      </c>
      <c r="AX50" s="23">
        <f t="shared" si="6"/>
        <v>8.961028638644386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11.5</v>
      </c>
      <c r="BD50" s="13">
        <f>IF('Données projet'!$A$88&gt;35,BD49+BC50-BL49,IF(A50&lt;'Données projet'!$A$88,$BA$205^A50,IF(A50='Données projet'!$A$88,'Données projet'!$B$88,BD49+BC50-BL49)))</f>
        <v>342.49999999999989</v>
      </c>
      <c r="BE50" s="14">
        <f>BD50*VLOOKUP('Données projet'!$B$11,Paramètres!$A$1:$I$89,3,0)*VLOOKUP('Données projet'!$B$11,Paramètres!$A$1:$I$89,5,0)</f>
        <v>160.28999999999994</v>
      </c>
      <c r="BF50" s="14">
        <f t="shared" si="37"/>
        <v>40.907918820862015</v>
      </c>
      <c r="BG50" s="22">
        <f t="shared" si="7"/>
        <v>350.41970861300121</v>
      </c>
      <c r="BH50" s="62">
        <f t="shared" si="8"/>
        <v>643.75304194633452</v>
      </c>
      <c r="BI50" s="62">
        <f ca="1">AVERAGE(OFFSET($BH$3,0,0,'Données projet'!$E$11+1,1))-AVERAGE(OFFSET($H$3,0,0,'Données projet'!$E$11+1,1))</f>
        <v>0</v>
      </c>
      <c r="BJ50" s="62">
        <f t="shared" si="38"/>
        <v>0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5.2317088576538735</v>
      </c>
      <c r="BQ50" s="23">
        <f>EXP(-LN(2)/25)*BQ49+(1-EXP(-LN(2)/25))/(LN(2)/25)*Calculateur!BL50*Calculateur!BN50*VLOOKUP('Données projet'!$B$11,Paramètres!$A$1:$I$89,3,0)*0.475*44/12</f>
        <v>19.720040440090585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24.95174929774446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159.45415548295978</v>
      </c>
      <c r="T51" s="62">
        <f t="shared" si="34"/>
        <v>268.09398033989754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6.6</v>
      </c>
      <c r="AI51" s="14">
        <f>IF('Données projet'!$A$62&gt;35,AI50+AH51-AQ50,IF(A51&lt;'Données projet'!$A$62,$AF$205^A51,IF(A51='Données projet'!$A$62,'Données projet'!$B$62,AI50+AH51-AQ50)))</f>
        <v>173.79999999999981</v>
      </c>
      <c r="AJ51" s="14">
        <f>AI51*VLOOKUP('Données projet'!$B$10,Paramètres!$A$1:$I$89,3,0)*VLOOKUP('Données projet'!$B$10,Paramètres!$A$1:$I$89,5,0)</f>
        <v>151.83167999999986</v>
      </c>
      <c r="AK51" s="14">
        <f t="shared" si="35"/>
        <v>38.994546979637654</v>
      </c>
      <c r="AL51" s="22">
        <f t="shared" si="4"/>
        <v>332.35567865620197</v>
      </c>
      <c r="AM51" s="62">
        <f t="shared" si="5"/>
        <v>625.68901198953529</v>
      </c>
      <c r="AN51" s="62">
        <f ca="1">AVERAGE(OFFSET($AM$3,0,0,'Données projet'!$E$10+1,1))-AVERAGE(OFFSET($H$3,0,0,'Données projet'!$E$10+1,1))</f>
        <v>211.73952357671845</v>
      </c>
      <c r="AO51" s="62">
        <f t="shared" si="36"/>
        <v>238.591781509447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8.4641619647197768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0.23162683553878621</v>
      </c>
      <c r="AX51" s="23">
        <f t="shared" si="6"/>
        <v>8.6957888002585637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11.5</v>
      </c>
      <c r="BD51" s="13">
        <f>IF('Données projet'!$A$88&gt;35,BD50+BC51-BL50,IF(A51&lt;'Données projet'!$A$88,$BA$205^A51,IF(A51='Données projet'!$A$88,'Données projet'!$B$88,BD50+BC51-BL50)))</f>
        <v>353.99999999999989</v>
      </c>
      <c r="BE51" s="14">
        <f>BD51*VLOOKUP('Données projet'!$B$11,Paramètres!$A$1:$I$89,3,0)*VLOOKUP('Données projet'!$B$11,Paramètres!$A$1:$I$89,5,0)</f>
        <v>165.67199999999994</v>
      </c>
      <c r="BF51" s="14">
        <f t="shared" si="37"/>
        <v>42.119245508815517</v>
      </c>
      <c r="BG51" s="22">
        <f t="shared" si="7"/>
        <v>361.90308592785351</v>
      </c>
      <c r="BH51" s="62">
        <f t="shared" si="8"/>
        <v>655.23641926118682</v>
      </c>
      <c r="BI51" s="62">
        <f ca="1">AVERAGE(OFFSET($BH$3,0,0,'Données projet'!$E$11+1,1))-AVERAGE(OFFSET($H$3,0,0,'Données projet'!$E$11+1,1))</f>
        <v>0</v>
      </c>
      <c r="BJ51" s="62">
        <f t="shared" si="38"/>
        <v>0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5.1291182379825964</v>
      </c>
      <c r="BQ51" s="23">
        <f>EXP(-LN(2)/25)*BQ50+(1-EXP(-LN(2)/25))/(LN(2)/25)*Calculateur!BL51*Calculateur!BN51*VLOOKUP('Données projet'!$B$11,Paramètres!$A$1:$I$89,3,0)*0.475*44/12</f>
        <v>19.180794897224452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24.309913135207047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159.45415548295978</v>
      </c>
      <c r="T52" s="62">
        <f t="shared" si="34"/>
        <v>268.09398033989754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6.6</v>
      </c>
      <c r="AI52" s="14">
        <f>IF('Données projet'!$A$62&gt;35,AI51+AH52-AQ51,IF(A52&lt;'Données projet'!$A$62,$AF$205^A52,IF(A52='Données projet'!$A$62,'Données projet'!$B$62,AI51+AH52-AQ51)))</f>
        <v>180.39999999999981</v>
      </c>
      <c r="AJ52" s="14">
        <f>AI52*VLOOKUP('Données projet'!$B$10,Paramètres!$A$1:$I$89,3,0)*VLOOKUP('Données projet'!$B$10,Paramètres!$A$1:$I$89,5,0)</f>
        <v>157.59743999999986</v>
      </c>
      <c r="AK52" s="14">
        <f t="shared" si="35"/>
        <v>40.300135037830493</v>
      </c>
      <c r="AL52" s="22">
        <f t="shared" si="4"/>
        <v>344.67160985755453</v>
      </c>
      <c r="AM52" s="62">
        <f t="shared" si="5"/>
        <v>638.00494319088784</v>
      </c>
      <c r="AN52" s="62">
        <f ca="1">AVERAGE(OFFSET($AM$3,0,0,'Données projet'!$E$10+1,1))-AVERAGE(OFFSET($H$3,0,0,'Données projet'!$E$10+1,1))</f>
        <v>211.73952357671845</v>
      </c>
      <c r="AO52" s="62">
        <f t="shared" si="36"/>
        <v>238.591781509447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8.2981849112206536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0.16378490611425695</v>
      </c>
      <c r="AX52" s="23">
        <f t="shared" si="6"/>
        <v>8.4619698173349107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11.5</v>
      </c>
      <c r="BD52" s="13">
        <f>IF('Données projet'!$A$88&gt;35,BD51+BC52-BL51,IF(A52&lt;'Données projet'!$A$88,$BA$205^A52,IF(A52='Données projet'!$A$88,'Données projet'!$B$88,BD51+BC52-BL51)))</f>
        <v>365.49999999999989</v>
      </c>
      <c r="BE52" s="14">
        <f>BD52*VLOOKUP('Données projet'!$B$11,Paramètres!$A$1:$I$89,3,0)*VLOOKUP('Données projet'!$B$11,Paramètres!$A$1:$I$89,5,0)</f>
        <v>171.05399999999995</v>
      </c>
      <c r="BF52" s="14">
        <f t="shared" si="37"/>
        <v>43.32599953897904</v>
      </c>
      <c r="BG52" s="22">
        <f t="shared" si="7"/>
        <v>373.37849919705508</v>
      </c>
      <c r="BH52" s="62">
        <f t="shared" si="8"/>
        <v>666.71183253038839</v>
      </c>
      <c r="BI52" s="62">
        <f ca="1">AVERAGE(OFFSET($BH$3,0,0,'Données projet'!$E$11+1,1))-AVERAGE(OFFSET($H$3,0,0,'Données projet'!$E$11+1,1))</f>
        <v>0</v>
      </c>
      <c r="BJ52" s="62">
        <f t="shared" si="38"/>
        <v>0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5.0285393577889739</v>
      </c>
      <c r="BQ52" s="23">
        <f>EXP(-LN(2)/25)*BQ51+(1-EXP(-LN(2)/25))/(LN(2)/25)*Calculateur!BL52*Calculateur!BN52*VLOOKUP('Données projet'!$B$11,Paramètres!$A$1:$I$89,3,0)*0.475*44/12</f>
        <v>18.656295052085685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23.684834409874661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159.45415548295978</v>
      </c>
      <c r="T53" s="62">
        <f t="shared" si="34"/>
        <v>268.09398033989754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187</v>
      </c>
      <c r="AG53" s="13">
        <f>VLOOKUP(A53,'Données projet'!$A$61:$I$81,9,0)</f>
        <v>6.6</v>
      </c>
      <c r="AH53" s="13">
        <f t="array" ref="AH53">INDEX(AG:AG,MIN(IF(ISNUMBER(AG53:AG249),ROW(AG53:AG249),"")))</f>
        <v>6.6</v>
      </c>
      <c r="AI53" s="14">
        <f>IF('Données projet'!$A$62&gt;35,AI52+AH53-AQ52,IF(A53&lt;'Données projet'!$A$62,$AF$205^A53,IF(A53='Données projet'!$A$62,'Données projet'!$B$62,AI52+AH53-AQ52)))</f>
        <v>186.9999999999998</v>
      </c>
      <c r="AJ53" s="14">
        <f>AI53*VLOOKUP('Données projet'!$B$10,Paramètres!$A$1:$I$89,3,0)*VLOOKUP('Données projet'!$B$10,Paramètres!$A$1:$I$89,5,0)</f>
        <v>163.36319999999984</v>
      </c>
      <c r="AK53" s="14">
        <f t="shared" si="35"/>
        <v>41.60017371558159</v>
      </c>
      <c r="AL53" s="22">
        <f t="shared" si="4"/>
        <v>356.97787588797092</v>
      </c>
      <c r="AM53" s="62">
        <f t="shared" si="5"/>
        <v>650.31120922130424</v>
      </c>
      <c r="AN53" s="62">
        <f ca="1">AVERAGE(OFFSET($AM$3,0,0,'Données projet'!$E$10+1,1))-AVERAGE(OFFSET($H$3,0,0,'Données projet'!$E$10+1,1))</f>
        <v>211.73952357671845</v>
      </c>
      <c r="AO53" s="62">
        <f t="shared" si="36"/>
        <v>238.591781509447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24</v>
      </c>
      <c r="AR53" s="17">
        <f>IF(ISNA(VLOOKUP(A53,'Données projet'!$A$61:$I$81,5,0)),0%,VLOOKUP(A53,'Données projet'!$A$61:$I$81,5,0)*VLOOKUP('Données projet'!$B$10,Paramètres!$A$1:$I$89,7,0))</f>
        <v>0.17200000000000001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12.122032842960261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0.11581341776939312</v>
      </c>
      <c r="AX53" s="23">
        <f t="shared" si="6"/>
        <v>12.237846260729654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377</v>
      </c>
      <c r="BB53" s="13">
        <f>VLOOKUP(A53,'Données projet'!$A$87:$I$107,9,0)</f>
        <v>11.5</v>
      </c>
      <c r="BC53" s="13">
        <f t="array" ref="BC53">INDEX(BB:BB,MIN(IF(ISNUMBER(BB53:BB249),ROW(BB53:BB249),"")))</f>
        <v>11.5</v>
      </c>
      <c r="BD53" s="13">
        <f>IF('Données projet'!$A$88&gt;35,BD52+BC53-BL52,IF(A53&lt;'Données projet'!$A$88,$BA$205^A53,IF(A53='Données projet'!$A$88,'Données projet'!$B$88,BD52+BC53-BL52)))</f>
        <v>376.99999999999989</v>
      </c>
      <c r="BE53" s="14">
        <f>BD53*VLOOKUP('Données projet'!$B$11,Paramètres!$A$1:$I$89,3,0)*VLOOKUP('Données projet'!$B$11,Paramètres!$A$1:$I$89,5,0)</f>
        <v>176.43599999999992</v>
      </c>
      <c r="BF53" s="14">
        <f t="shared" si="37"/>
        <v>44.52834129105058</v>
      </c>
      <c r="BG53" s="22">
        <f t="shared" si="7"/>
        <v>384.84622774857962</v>
      </c>
      <c r="BH53" s="62">
        <f t="shared" si="8"/>
        <v>678.17956108191288</v>
      </c>
      <c r="BI53" s="62">
        <f ca="1">AVERAGE(OFFSET($BH$3,0,0,'Données projet'!$E$11+1,1))-AVERAGE(OFFSET($H$3,0,0,'Données projet'!$E$11+1,1))</f>
        <v>0</v>
      </c>
      <c r="BJ53" s="62">
        <f t="shared" si="38"/>
        <v>0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0.16500000000000001</v>
      </c>
      <c r="BN53" s="17">
        <f>IF(ISNA(VLOOKUP(A53,'Données projet'!$A$87:$I$107,6,0)),0%,VLOOKUP(A53,'Données projet'!$A$87:$I$107,6,0)*VLOOKUP('Données projet'!$B$11,Paramètres!$A$1:$I$89,7,0))</f>
        <v>0.38500000000000001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4.9299327680888885</v>
      </c>
      <c r="BQ53" s="23">
        <f>EXP(-LN(2)/25)*BQ52+(1-EXP(-LN(2)/25))/(LN(2)/25)*Calculateur!BL53*Calculateur!BN53*VLOOKUP('Données projet'!$B$11,Paramètres!$A$1:$I$89,3,0)*0.475*44/12</f>
        <v>18.146137682794485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23.076070450883375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159.45415548295978</v>
      </c>
      <c r="T54" s="62">
        <f t="shared" si="34"/>
        <v>268.09398033989754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6.2</v>
      </c>
      <c r="AI54" s="14">
        <f>IF('Données projet'!$A$62&gt;35,AI53+AH54-AQ53,IF(A54&lt;'Données projet'!$A$62,$AF$205^A54,IF(A54='Données projet'!$A$62,'Données projet'!$B$62,AI53+AH54-AQ53)))</f>
        <v>169.19999999999979</v>
      </c>
      <c r="AJ54" s="14">
        <f>AI54*VLOOKUP('Données projet'!$B$10,Paramètres!$A$1:$I$89,3,0)*VLOOKUP('Données projet'!$B$10,Paramètres!$A$1:$I$89,5,0)</f>
        <v>147.81311999999986</v>
      </c>
      <c r="AK54" s="14">
        <f t="shared" si="35"/>
        <v>38.081185298782451</v>
      </c>
      <c r="AL54" s="22">
        <f t="shared" si="4"/>
        <v>323.76591506204585</v>
      </c>
      <c r="AM54" s="62">
        <f t="shared" si="5"/>
        <v>617.09924839537916</v>
      </c>
      <c r="AN54" s="62">
        <f ca="1">AVERAGE(OFFSET($AM$3,0,0,'Données projet'!$E$10+1,1))-AVERAGE(OFFSET($H$3,0,0,'Données projet'!$E$10+1,1))</f>
        <v>211.73952357671845</v>
      </c>
      <c r="AO54" s="62">
        <f t="shared" si="36"/>
        <v>238.591781509447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11.884327172619775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8.1892453057128486E-2</v>
      </c>
      <c r="AX54" s="23">
        <f t="shared" si="6"/>
        <v>11.966219625676903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13.5</v>
      </c>
      <c r="BD54" s="13">
        <f>IF('Données projet'!$A$88&gt;35,BD53+BC54-BL53,IF(A54&lt;'Données projet'!$A$88,$BA$205^A54,IF(A54='Données projet'!$A$88,'Données projet'!$B$88,BD53+BC54-BL53)))</f>
        <v>390.49999999999989</v>
      </c>
      <c r="BE54" s="14">
        <f>BD54*VLOOKUP('Données projet'!$B$11,Paramètres!$A$1:$I$89,3,0)*VLOOKUP('Données projet'!$B$11,Paramètres!$A$1:$I$89,5,0)</f>
        <v>182.75399999999996</v>
      </c>
      <c r="BF54" s="14">
        <f t="shared" si="37"/>
        <v>45.934357911110212</v>
      </c>
      <c r="BG54" s="22">
        <f t="shared" si="7"/>
        <v>398.29889002851684</v>
      </c>
      <c r="BH54" s="62">
        <f t="shared" si="8"/>
        <v>691.63222336185015</v>
      </c>
      <c r="BI54" s="62">
        <f ca="1">AVERAGE(OFFSET($BH$3,0,0,'Données projet'!$E$11+1,1))-AVERAGE(OFFSET($H$3,0,0,'Données projet'!$E$11+1,1))</f>
        <v>0</v>
      </c>
      <c r="BJ54" s="62">
        <f t="shared" si="38"/>
        <v>0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4.8332597934687413</v>
      </c>
      <c r="BQ54" s="23">
        <f>EXP(-LN(2)/25)*BQ53+(1-EXP(-LN(2)/25))/(LN(2)/25)*Calculateur!BL54*Calculateur!BN54*VLOOKUP('Données projet'!$B$11,Paramètres!$A$1:$I$89,3,0)*0.475*44/12</f>
        <v>17.649930593594561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22.483190387063303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159.45415548295978</v>
      </c>
      <c r="T55" s="62">
        <f t="shared" si="34"/>
        <v>268.09398033989754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6.2</v>
      </c>
      <c r="AI55" s="14">
        <f>IF('Données projet'!$A$62&gt;35,AI54+AH55-AQ54,IF(A55&lt;'Données projet'!$A$62,$AF$205^A55,IF(A55='Données projet'!$A$62,'Données projet'!$B$62,AI54+AH55-AQ54)))</f>
        <v>175.39999999999978</v>
      </c>
      <c r="AJ55" s="14">
        <f>AI55*VLOOKUP('Données projet'!$B$10,Paramètres!$A$1:$I$89,3,0)*VLOOKUP('Données projet'!$B$10,Paramètres!$A$1:$I$89,5,0)</f>
        <v>153.22943999999984</v>
      </c>
      <c r="AK55" s="14">
        <f t="shared" si="35"/>
        <v>39.311575138468292</v>
      </c>
      <c r="AL55" s="22">
        <f t="shared" si="4"/>
        <v>335.34226803283201</v>
      </c>
      <c r="AM55" s="62">
        <f t="shared" si="5"/>
        <v>628.67560136616532</v>
      </c>
      <c r="AN55" s="62">
        <f ca="1">AVERAGE(OFFSET($AM$3,0,0,'Données projet'!$E$10+1,1))-AVERAGE(OFFSET($H$3,0,0,'Données projet'!$E$10+1,1))</f>
        <v>211.73952357671845</v>
      </c>
      <c r="AO55" s="62">
        <f t="shared" si="36"/>
        <v>238.591781509447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11.651282765488524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5.7906708884696574E-2</v>
      </c>
      <c r="AX55" s="23">
        <f t="shared" si="6"/>
        <v>11.70918947437322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13.5</v>
      </c>
      <c r="BD55" s="13">
        <f>IF('Données projet'!$A$88&gt;35,BD54+BC55-BL54,IF(A55&lt;'Données projet'!$A$88,$BA$205^A55,IF(A55='Données projet'!$A$88,'Données projet'!$B$88,BD54+BC55-BL54)))</f>
        <v>403.99999999999989</v>
      </c>
      <c r="BE55" s="14">
        <f>BD55*VLOOKUP('Données projet'!$B$11,Paramètres!$A$1:$I$89,3,0)*VLOOKUP('Données projet'!$B$11,Paramètres!$A$1:$I$89,5,0)</f>
        <v>189.07199999999992</v>
      </c>
      <c r="BF55" s="14">
        <f t="shared" si="37"/>
        <v>47.33472679972779</v>
      </c>
      <c r="BG55" s="22">
        <f t="shared" si="7"/>
        <v>411.74171584285909</v>
      </c>
      <c r="BH55" s="62">
        <f t="shared" si="8"/>
        <v>705.07504917619235</v>
      </c>
      <c r="BI55" s="62">
        <f ca="1">AVERAGE(OFFSET($BH$3,0,0,'Données projet'!$E$11+1,1))-AVERAGE(OFFSET($H$3,0,0,'Données projet'!$E$11+1,1))</f>
        <v>0</v>
      </c>
      <c r="BJ55" s="62">
        <f t="shared" si="38"/>
        <v>0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4.7384825169162026</v>
      </c>
      <c r="BQ55" s="23">
        <f>EXP(-LN(2)/25)*BQ54+(1-EXP(-LN(2)/25))/(LN(2)/25)*Calculateur!BL55*Calculateur!BN55*VLOOKUP('Données projet'!$B$11,Paramètres!$A$1:$I$89,3,0)*0.475*44/12</f>
        <v>17.167292313343207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21.905774830259411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159.45415548295978</v>
      </c>
      <c r="T56" s="62">
        <f t="shared" si="34"/>
        <v>268.09398033989754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6.2</v>
      </c>
      <c r="AI56" s="14">
        <f>IF('Données projet'!$A$62&gt;35,AI55+AH56-AQ55,IF(A56&lt;'Données projet'!$A$62,$AF$205^A56,IF(A56='Données projet'!$A$62,'Données projet'!$B$62,AI55+AH56-AQ55)))</f>
        <v>181.59999999999977</v>
      </c>
      <c r="AJ56" s="14">
        <f>AI56*VLOOKUP('Données projet'!$B$10,Paramètres!$A$1:$I$89,3,0)*VLOOKUP('Données projet'!$B$10,Paramètres!$A$1:$I$89,5,0)</f>
        <v>158.64575999999983</v>
      </c>
      <c r="AK56" s="14">
        <f t="shared" si="35"/>
        <v>40.536911851071018</v>
      </c>
      <c r="AL56" s="22">
        <f t="shared" si="4"/>
        <v>346.90982014061501</v>
      </c>
      <c r="AM56" s="62">
        <f t="shared" si="5"/>
        <v>640.24315347394827</v>
      </c>
      <c r="AN56" s="62">
        <f ca="1">AVERAGE(OFFSET($AM$3,0,0,'Données projet'!$E$10+1,1))-AVERAGE(OFFSET($H$3,0,0,'Données projet'!$E$10+1,1))</f>
        <v>211.73952357671845</v>
      </c>
      <c r="AO56" s="62">
        <f t="shared" si="36"/>
        <v>238.591781509447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11.422808217038064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4.094622652856425E-2</v>
      </c>
      <c r="AX56" s="23">
        <f t="shared" si="6"/>
        <v>11.463754443566629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13.5</v>
      </c>
      <c r="BD56" s="13">
        <f>IF('Données projet'!$A$88&gt;35,BD55+BC56-BL55,IF(A56&lt;'Données projet'!$A$88,$BA$205^A56,IF(A56='Données projet'!$A$88,'Données projet'!$B$88,BD55+BC56-BL55)))</f>
        <v>417.49999999999989</v>
      </c>
      <c r="BE56" s="14">
        <f>BD56*VLOOKUP('Données projet'!$B$11,Paramètres!$A$1:$I$89,3,0)*VLOOKUP('Données projet'!$B$11,Paramètres!$A$1:$I$89,5,0)</f>
        <v>195.38999999999996</v>
      </c>
      <c r="BF56" s="14">
        <f t="shared" si="37"/>
        <v>48.729658318340213</v>
      </c>
      <c r="BG56" s="22">
        <f t="shared" si="7"/>
        <v>425.17507157110907</v>
      </c>
      <c r="BH56" s="62">
        <f t="shared" si="8"/>
        <v>718.50840490444239</v>
      </c>
      <c r="BI56" s="62">
        <f ca="1">AVERAGE(OFFSET($BH$3,0,0,'Données projet'!$E$11+1,1))-AVERAGE(OFFSET($H$3,0,0,'Données projet'!$E$11+1,1))</f>
        <v>0</v>
      </c>
      <c r="BJ56" s="62">
        <f t="shared" si="38"/>
        <v>0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4.6455637649484292</v>
      </c>
      <c r="BQ56" s="23">
        <f>EXP(-LN(2)/25)*BQ55+(1-EXP(-LN(2)/25))/(LN(2)/25)*Calculateur!BL56*Calculateur!BN56*VLOOKUP('Données projet'!$B$11,Paramètres!$A$1:$I$89,3,0)*0.475*44/12</f>
        <v>16.69785180224617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21.343415567194597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159.45415548295978</v>
      </c>
      <c r="T57" s="62">
        <f t="shared" si="34"/>
        <v>268.09398033989754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6.2</v>
      </c>
      <c r="AI57" s="14">
        <f>IF('Données projet'!$A$62&gt;35,AI56+AH57-AQ56,IF(A57&lt;'Données projet'!$A$62,$AF$205^A57,IF(A57='Données projet'!$A$62,'Données projet'!$B$62,AI56+AH57-AQ56)))</f>
        <v>187.79999999999976</v>
      </c>
      <c r="AJ57" s="14">
        <f>AI57*VLOOKUP('Données projet'!$B$10,Paramètres!$A$1:$I$89,3,0)*VLOOKUP('Données projet'!$B$10,Paramètres!$A$1:$I$89,5,0)</f>
        <v>164.06207999999981</v>
      </c>
      <c r="AK57" s="14">
        <f t="shared" si="35"/>
        <v>41.757387730134568</v>
      </c>
      <c r="AL57" s="22">
        <f t="shared" si="4"/>
        <v>358.46890629665069</v>
      </c>
      <c r="AM57" s="62">
        <f t="shared" si="5"/>
        <v>651.802239629984</v>
      </c>
      <c r="AN57" s="62">
        <f ca="1">AVERAGE(OFFSET($AM$3,0,0,'Données projet'!$E$10+1,1))-AVERAGE(OFFSET($H$3,0,0,'Données projet'!$E$10+1,1))</f>
        <v>211.73952357671845</v>
      </c>
      <c r="AO57" s="62">
        <f t="shared" si="36"/>
        <v>238.591781509447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11.198813915127003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2.8953354442348291E-2</v>
      </c>
      <c r="AX57" s="23">
        <f t="shared" si="6"/>
        <v>11.227767269569352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13.5</v>
      </c>
      <c r="BD57" s="13">
        <f>IF('Données projet'!$A$88&gt;35,BD56+BC57-BL56,IF(A57&lt;'Données projet'!$A$88,$BA$205^A57,IF(A57='Données projet'!$A$88,'Données projet'!$B$88,BD56+BC57-BL56)))</f>
        <v>430.99999999999989</v>
      </c>
      <c r="BE57" s="14">
        <f>BD57*VLOOKUP('Données projet'!$B$11,Paramètres!$A$1:$I$89,3,0)*VLOOKUP('Données projet'!$B$11,Paramètres!$A$1:$I$89,5,0)</f>
        <v>201.70799999999994</v>
      </c>
      <c r="BF57" s="14">
        <f t="shared" si="37"/>
        <v>50.119348451854243</v>
      </c>
      <c r="BG57" s="22">
        <f t="shared" si="7"/>
        <v>438.59929855364607</v>
      </c>
      <c r="BH57" s="62">
        <f t="shared" si="8"/>
        <v>731.93263188697938</v>
      </c>
      <c r="BI57" s="62">
        <f ca="1">AVERAGE(OFFSET($BH$3,0,0,'Données projet'!$E$11+1,1))-AVERAGE(OFFSET($H$3,0,0,'Données projet'!$E$11+1,1))</f>
        <v>0</v>
      </c>
      <c r="BJ57" s="62">
        <f t="shared" si="38"/>
        <v>0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4.5544670930319011</v>
      </c>
      <c r="BQ57" s="23">
        <f>EXP(-LN(2)/25)*BQ56+(1-EXP(-LN(2)/25))/(LN(2)/25)*Calculateur!BL57*Calculateur!BN57*VLOOKUP('Données projet'!$B$11,Paramètres!$A$1:$I$89,3,0)*0.475*44/12</f>
        <v>16.241248166611886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20.795715259643785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159.45415548295978</v>
      </c>
      <c r="T58" s="62">
        <f t="shared" si="34"/>
        <v>268.09398033989754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194</v>
      </c>
      <c r="AG58" s="13">
        <f>VLOOKUP(A58,'Données projet'!$A$61:$I$81,9,0)</f>
        <v>6.2</v>
      </c>
      <c r="AH58" s="13">
        <f t="array" ref="AH58">INDEX(AG:AG,MIN(IF(ISNUMBER(AG58:AG254),ROW(AG58:AG254),"")))</f>
        <v>6.2</v>
      </c>
      <c r="AI58" s="14">
        <f>IF('Données projet'!$A$62&gt;35,AI57+AH58-AQ57,IF(A58&lt;'Données projet'!$A$62,$AF$205^A58,IF(A58='Données projet'!$A$62,'Données projet'!$B$62,AI57+AH58-AQ57)))</f>
        <v>193.99999999999974</v>
      </c>
      <c r="AJ58" s="14">
        <f>AI58*VLOOKUP('Données projet'!$B$10,Paramètres!$A$1:$I$89,3,0)*VLOOKUP('Données projet'!$B$10,Paramètres!$A$1:$I$89,5,0)</f>
        <v>169.47839999999979</v>
      </c>
      <c r="AK58" s="14">
        <f t="shared" si="35"/>
        <v>42.973181651930254</v>
      </c>
      <c r="AL58" s="22">
        <f t="shared" si="4"/>
        <v>370.01983804377818</v>
      </c>
      <c r="AM58" s="62">
        <f t="shared" si="5"/>
        <v>663.35317137711149</v>
      </c>
      <c r="AN58" s="62">
        <f ca="1">AVERAGE(OFFSET($AM$3,0,0,'Données projet'!$E$10+1,1))-AVERAGE(OFFSET($H$3,0,0,'Données projet'!$E$10+1,1))</f>
        <v>211.73952357671845</v>
      </c>
      <c r="AO58" s="62">
        <f t="shared" si="36"/>
        <v>238.591781509447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0.215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15.339523244726717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2.0473113264282129E-2</v>
      </c>
      <c r="AX58" s="23">
        <f t="shared" si="6"/>
        <v>15.359996357990999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13.5</v>
      </c>
      <c r="BD58" s="13">
        <f>IF('Données projet'!$A$88&gt;35,BD57+BC58-BL57,IF(A58&lt;'Données projet'!$A$88,$BA$205^A58,IF(A58='Données projet'!$A$88,'Données projet'!$B$88,BD57+BC58-BL57)))</f>
        <v>444.49999999999989</v>
      </c>
      <c r="BE58" s="14">
        <f>BD58*VLOOKUP('Données projet'!$B$11,Paramètres!$A$1:$I$89,3,0)*VLOOKUP('Données projet'!$B$11,Paramètres!$A$1:$I$89,5,0)</f>
        <v>208.02599999999995</v>
      </c>
      <c r="BF58" s="14">
        <f t="shared" si="37"/>
        <v>51.503980210368603</v>
      </c>
      <c r="BG58" s="22">
        <f t="shared" si="7"/>
        <v>452.01471553305851</v>
      </c>
      <c r="BH58" s="62">
        <f t="shared" si="8"/>
        <v>745.34804886639176</v>
      </c>
      <c r="BI58" s="62">
        <f ca="1">AVERAGE(OFFSET($BH$3,0,0,'Données projet'!$E$11+1,1))-AVERAGE(OFFSET($H$3,0,0,'Données projet'!$E$11+1,1))</f>
        <v>0</v>
      </c>
      <c r="BJ58" s="62">
        <f t="shared" si="38"/>
        <v>0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4.4651567712881723</v>
      </c>
      <c r="BQ58" s="23">
        <f>EXP(-LN(2)/25)*BQ57+(1-EXP(-LN(2)/25))/(LN(2)/25)*Calculateur!BL58*Calculateur!BN58*VLOOKUP('Données projet'!$B$11,Paramètres!$A$1:$I$89,3,0)*0.475*44/12</f>
        <v>15.797130381405763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20.262287152693936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159.45415548295978</v>
      </c>
      <c r="T59" s="62">
        <f t="shared" si="34"/>
        <v>268.09398033989754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</v>
      </c>
      <c r="AI59" s="14">
        <f>IF('Données projet'!$A$62&gt;35,AI58+AH59-AQ58,IF(A59&lt;'Données projet'!$A$62,$AF$205^A59,IF(A59='Données projet'!$A$62,'Données projet'!$B$62,AI58+AH59-AQ58)))</f>
        <v>178.19999999999973</v>
      </c>
      <c r="AJ59" s="14">
        <f>AI59*VLOOKUP('Données projet'!$B$10,Paramètres!$A$1:$I$89,3,0)*VLOOKUP('Données projet'!$B$10,Paramètres!$A$1:$I$89,5,0)</f>
        <v>155.67551999999978</v>
      </c>
      <c r="AK59" s="14">
        <f t="shared" si="35"/>
        <v>39.865566884055028</v>
      </c>
      <c r="AL59" s="22">
        <f t="shared" si="4"/>
        <v>340.56739298972877</v>
      </c>
      <c r="AM59" s="62">
        <f t="shared" si="5"/>
        <v>633.90072632306214</v>
      </c>
      <c r="AN59" s="62">
        <f ca="1">AVERAGE(OFFSET($AM$3,0,0,'Données projet'!$E$10+1,1))-AVERAGE(OFFSET($H$3,0,0,'Données projet'!$E$10+1,1))</f>
        <v>211.73952357671845</v>
      </c>
      <c r="AO59" s="62">
        <f t="shared" si="36"/>
        <v>238.591781509447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15.038724550082959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1.4476677221174147E-2</v>
      </c>
      <c r="AX59" s="23">
        <f t="shared" si="6"/>
        <v>15.053201227304132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13.5</v>
      </c>
      <c r="BD59" s="13">
        <f>IF('Données projet'!$A$88&gt;35,BD58+BC59-BL58,IF(A59&lt;'Données projet'!$A$88,$BA$205^A59,IF(A59='Données projet'!$A$88,'Données projet'!$B$88,BD58+BC59-BL58)))</f>
        <v>457.99999999999989</v>
      </c>
      <c r="BE59" s="14">
        <f>BD59*VLOOKUP('Données projet'!$B$11,Paramètres!$A$1:$I$89,3,0)*VLOOKUP('Données projet'!$B$11,Paramètres!$A$1:$I$89,5,0)</f>
        <v>214.34399999999997</v>
      </c>
      <c r="BF59" s="14">
        <f t="shared" si="37"/>
        <v>52.883724855822585</v>
      </c>
      <c r="BG59" s="22">
        <f t="shared" si="7"/>
        <v>465.4216207905576</v>
      </c>
      <c r="BH59" s="62">
        <f t="shared" si="8"/>
        <v>758.75495412389091</v>
      </c>
      <c r="BI59" s="62">
        <f ca="1">AVERAGE(OFFSET($BH$3,0,0,'Données projet'!$E$11+1,1))-AVERAGE(OFFSET($H$3,0,0,'Données projet'!$E$11+1,1))</f>
        <v>0</v>
      </c>
      <c r="BJ59" s="62">
        <f t="shared" si="38"/>
        <v>0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4.3775977704799205</v>
      </c>
      <c r="BQ59" s="23">
        <f>EXP(-LN(2)/25)*BQ58+(1-EXP(-LN(2)/25))/(LN(2)/25)*Calculateur!BL59*Calculateur!BN59*VLOOKUP('Données projet'!$B$11,Paramètres!$A$1:$I$89,3,0)*0.475*44/12</f>
        <v>15.365157020391241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19.74275479087116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159.45415548295978</v>
      </c>
      <c r="T60" s="62">
        <f t="shared" si="34"/>
        <v>268.09398033989754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</v>
      </c>
      <c r="AI60" s="14">
        <f>IF('Données projet'!$A$62&gt;35,AI59+AH60-AQ59,IF(A60&lt;'Données projet'!$A$62,$AF$205^A60,IF(A60='Données projet'!$A$62,'Données projet'!$B$62,AI59+AH60-AQ59)))</f>
        <v>183.39999999999972</v>
      </c>
      <c r="AJ60" s="14">
        <f>AI60*VLOOKUP('Données projet'!$B$10,Paramètres!$A$1:$I$89,3,0)*VLOOKUP('Données projet'!$B$10,Paramètres!$A$1:$I$89,5,0)</f>
        <v>160.21823999999978</v>
      </c>
      <c r="AK60" s="14">
        <f t="shared" si="35"/>
        <v>40.891736142170181</v>
      </c>
      <c r="AL60" s="22">
        <f t="shared" si="4"/>
        <v>350.266541780946</v>
      </c>
      <c r="AM60" s="62">
        <f t="shared" si="5"/>
        <v>643.59987511427926</v>
      </c>
      <c r="AN60" s="62">
        <f ca="1">AVERAGE(OFFSET($AM$3,0,0,'Données projet'!$E$10+1,1))-AVERAGE(OFFSET($H$3,0,0,'Données projet'!$E$10+1,1))</f>
        <v>211.73952357671845</v>
      </c>
      <c r="AO60" s="62">
        <f t="shared" si="36"/>
        <v>238.591781509447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14.743824334372077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1.0236556632141064E-2</v>
      </c>
      <c r="AX60" s="23">
        <f t="shared" si="6"/>
        <v>14.754060891004217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13.5</v>
      </c>
      <c r="BD60" s="13">
        <f>IF('Données projet'!$A$88&gt;35,BD59+BC60-BL59,IF(A60&lt;'Données projet'!$A$88,$BA$205^A60,IF(A60='Données projet'!$A$88,'Données projet'!$B$88,BD59+BC60-BL59)))</f>
        <v>471.49999999999989</v>
      </c>
      <c r="BE60" s="14">
        <f>BD60*VLOOKUP('Données projet'!$B$11,Paramètres!$A$1:$I$89,3,0)*VLOOKUP('Données projet'!$B$11,Paramètres!$A$1:$I$89,5,0)</f>
        <v>220.66199999999995</v>
      </c>
      <c r="BF60" s="14">
        <f t="shared" si="37"/>
        <v>54.258742979954953</v>
      </c>
      <c r="BG60" s="22">
        <f t="shared" si="7"/>
        <v>478.82029402342147</v>
      </c>
      <c r="BH60" s="62">
        <f t="shared" si="8"/>
        <v>772.15362735675478</v>
      </c>
      <c r="BI60" s="62">
        <f ca="1">AVERAGE(OFFSET($BH$3,0,0,'Données projet'!$E$11+1,1))-AVERAGE(OFFSET($H$3,0,0,'Données projet'!$E$11+1,1))</f>
        <v>0</v>
      </c>
      <c r="BJ60" s="62">
        <f t="shared" si="38"/>
        <v>0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4.2917557482718021</v>
      </c>
      <c r="BQ60" s="23">
        <f>EXP(-LN(2)/25)*BQ59+(1-EXP(-LN(2)/25))/(LN(2)/25)*Calculateur!BL60*Calculateur!BN60*VLOOKUP('Données projet'!$B$11,Paramètres!$A$1:$I$89,3,0)*0.475*44/12</f>
        <v>14.944995993650153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19.236751741921957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159.45415548295978</v>
      </c>
      <c r="T61" s="62">
        <f t="shared" si="34"/>
        <v>268.09398033989754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</v>
      </c>
      <c r="AI61" s="14">
        <f>IF('Données projet'!$A$62&gt;35,AI60+AH61-AQ60,IF(A61&lt;'Données projet'!$A$62,$AF$205^A61,IF(A61='Données projet'!$A$62,'Données projet'!$B$62,AI60+AH61-AQ60)))</f>
        <v>188.59999999999971</v>
      </c>
      <c r="AJ61" s="14">
        <f>AI61*VLOOKUP('Données projet'!$B$10,Paramètres!$A$1:$I$89,3,0)*VLOOKUP('Données projet'!$B$10,Paramètres!$A$1:$I$89,5,0)</f>
        <v>164.76095999999976</v>
      </c>
      <c r="AK61" s="14">
        <f t="shared" si="35"/>
        <v>41.914523809719867</v>
      </c>
      <c r="AL61" s="22">
        <f t="shared" si="4"/>
        <v>359.95980096859495</v>
      </c>
      <c r="AM61" s="62">
        <f t="shared" si="5"/>
        <v>653.29313430192826</v>
      </c>
      <c r="AN61" s="62">
        <f ca="1">AVERAGE(OFFSET($AM$3,0,0,'Données projet'!$E$10+1,1))-AVERAGE(OFFSET($H$3,0,0,'Données projet'!$E$10+1,1))</f>
        <v>211.73952357671845</v>
      </c>
      <c r="AO61" s="62">
        <f t="shared" si="36"/>
        <v>238.591781509447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14.454706932019915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7.2383386105870735E-3</v>
      </c>
      <c r="AX61" s="23">
        <f t="shared" si="6"/>
        <v>14.461945270630503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13.5</v>
      </c>
      <c r="BD61" s="13">
        <f>IF('Données projet'!$A$88&gt;35,BD60+BC61-BL60,IF(A61&lt;'Données projet'!$A$88,$BA$205^A61,IF(A61='Données projet'!$A$88,'Données projet'!$B$88,BD60+BC61-BL60)))</f>
        <v>484.99999999999989</v>
      </c>
      <c r="BE61" s="14">
        <f>BD61*VLOOKUP('Données projet'!$B$11,Paramètres!$A$1:$I$89,3,0)*VLOOKUP('Données projet'!$B$11,Paramètres!$A$1:$I$89,5,0)</f>
        <v>226.97999999999996</v>
      </c>
      <c r="BF61" s="14">
        <f t="shared" si="37"/>
        <v>55.629185455335929</v>
      </c>
      <c r="BG61" s="22">
        <f t="shared" si="7"/>
        <v>492.21099800137659</v>
      </c>
      <c r="BH61" s="62">
        <f t="shared" si="8"/>
        <v>785.54433133470991</v>
      </c>
      <c r="BI61" s="62">
        <f ca="1">AVERAGE(OFFSET($BH$3,0,0,'Données projet'!$E$11+1,1))-AVERAGE(OFFSET($H$3,0,0,'Données projet'!$E$11+1,1))</f>
        <v>0</v>
      </c>
      <c r="BJ61" s="62">
        <f t="shared" si="38"/>
        <v>0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4.2075970357607204</v>
      </c>
      <c r="BQ61" s="23">
        <f>EXP(-LN(2)/25)*BQ60+(1-EXP(-LN(2)/25))/(LN(2)/25)*Calculateur!BL61*Calculateur!BN61*VLOOKUP('Données projet'!$B$11,Paramètres!$A$1:$I$89,3,0)*0.475*44/12</f>
        <v>14.536324292280607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18.743921328041328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159.45415548295978</v>
      </c>
      <c r="T62" s="62">
        <f t="shared" si="34"/>
        <v>268.09398033989754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</v>
      </c>
      <c r="AI62" s="14">
        <f>IF('Données projet'!$A$62&gt;35,AI61+AH62-AQ61,IF(A62&lt;'Données projet'!$A$62,$AF$205^A62,IF(A62='Données projet'!$A$62,'Données projet'!$B$62,AI61+AH62-AQ61)))</f>
        <v>193.7999999999997</v>
      </c>
      <c r="AJ62" s="14">
        <f>AI62*VLOOKUP('Données projet'!$B$10,Paramètres!$A$1:$I$89,3,0)*VLOOKUP('Données projet'!$B$10,Paramètres!$A$1:$I$89,5,0)</f>
        <v>169.30367999999976</v>
      </c>
      <c r="AK62" s="14">
        <f t="shared" si="35"/>
        <v>42.934033834973178</v>
      </c>
      <c r="AL62" s="22">
        <f t="shared" si="4"/>
        <v>369.64735159591118</v>
      </c>
      <c r="AM62" s="62">
        <f t="shared" si="5"/>
        <v>662.98068492924449</v>
      </c>
      <c r="AN62" s="62">
        <f ca="1">AVERAGE(OFFSET($AM$3,0,0,'Données projet'!$E$10+1,1))-AVERAGE(OFFSET($H$3,0,0,'Données projet'!$E$10+1,1))</f>
        <v>211.73952357671845</v>
      </c>
      <c r="AO62" s="62">
        <f t="shared" si="36"/>
        <v>238.591781509447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14.171258945583677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5.1182783160705321E-3</v>
      </c>
      <c r="AX62" s="23">
        <f t="shared" si="6"/>
        <v>14.176377223899747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13.5</v>
      </c>
      <c r="BD62" s="13">
        <f>IF('Données projet'!$A$88&gt;35,BD61+BC62-BL61,IF(A62&lt;'Données projet'!$A$88,$BA$205^A62,IF(A62='Données projet'!$A$88,'Données projet'!$B$88,BD61+BC62-BL61)))</f>
        <v>498.49999999999989</v>
      </c>
      <c r="BE62" s="14">
        <f>BD62*VLOOKUP('Données projet'!$B$11,Paramètres!$A$1:$I$89,3,0)*VLOOKUP('Données projet'!$B$11,Paramètres!$A$1:$I$89,5,0)</f>
        <v>233.29799999999994</v>
      </c>
      <c r="BF62" s="14">
        <f t="shared" si="37"/>
        <v>56.995194277534011</v>
      </c>
      <c r="BG62" s="22">
        <f t="shared" si="7"/>
        <v>505.59398003337168</v>
      </c>
      <c r="BH62" s="62">
        <f t="shared" si="8"/>
        <v>798.92731336670499</v>
      </c>
      <c r="BI62" s="62">
        <f ca="1">AVERAGE(OFFSET($BH$3,0,0,'Données projet'!$E$11+1,1))-AVERAGE(OFFSET($H$3,0,0,'Données projet'!$E$11+1,1))</f>
        <v>0</v>
      </c>
      <c r="BJ62" s="62">
        <f t="shared" si="38"/>
        <v>0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4.1250886242702354</v>
      </c>
      <c r="BQ62" s="23">
        <f>EXP(-LN(2)/25)*BQ61+(1-EXP(-LN(2)/25))/(LN(2)/25)*Calculateur!BL62*Calculateur!BN62*VLOOKUP('Données projet'!$B$11,Paramètres!$A$1:$I$89,3,0)*0.475*44/12</f>
        <v>14.138827740076122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18.263916364346358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159.45415548295978</v>
      </c>
      <c r="T63" s="62">
        <f t="shared" si="34"/>
        <v>268.09398033989754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199</v>
      </c>
      <c r="AG63" s="13">
        <f>VLOOKUP(A63,'Données projet'!$A$61:$I$81,9,0)</f>
        <v>5.2</v>
      </c>
      <c r="AH63" s="13">
        <f t="array" ref="AH63">INDEX(AG:AG,MIN(IF(ISNUMBER(AG63:AG259),ROW(AG63:AG259),"")))</f>
        <v>5.2</v>
      </c>
      <c r="AI63" s="14">
        <f>IF('Données projet'!$A$62&gt;35,AI62+AH63-AQ62,IF(A63&lt;'Données projet'!$A$62,$AF$205^A63,IF(A63='Données projet'!$A$62,'Données projet'!$B$62,AI62+AH63-AQ62)))</f>
        <v>198.99999999999969</v>
      </c>
      <c r="AJ63" s="14">
        <f>AI63*VLOOKUP('Données projet'!$B$10,Paramètres!$A$1:$I$89,3,0)*VLOOKUP('Données projet'!$B$10,Paramètres!$A$1:$I$89,5,0)</f>
        <v>173.84639999999976</v>
      </c>
      <c r="AK63" s="14">
        <f t="shared" si="35"/>
        <v>43.950364270382217</v>
      </c>
      <c r="AL63" s="22">
        <f t="shared" si="4"/>
        <v>379.32936443758189</v>
      </c>
      <c r="AM63" s="62">
        <f t="shared" si="5"/>
        <v>672.6626977709152</v>
      </c>
      <c r="AN63" s="62">
        <f ca="1">AVERAGE(OFFSET($AM$3,0,0,'Données projet'!$E$10+1,1))-AVERAGE(OFFSET($H$3,0,0,'Données projet'!$E$10+1,1))</f>
        <v>211.73952357671845</v>
      </c>
      <c r="AO63" s="62">
        <f t="shared" si="36"/>
        <v>238.591781509447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19</v>
      </c>
      <c r="AR63" s="17">
        <f>IF(ISNA(VLOOKUP(A63,'Données projet'!$A$61:$I$81,5,0)),0%,VLOOKUP(A63,'Données projet'!$A$61:$I$81,5,0)*VLOOKUP('Données projet'!$B$10,Paramètres!$A$1:$I$89,7,0))</f>
        <v>0.25800000000000001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18.627421404566302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3.6191693052935368E-3</v>
      </c>
      <c r="AX63" s="23">
        <f t="shared" si="6"/>
        <v>18.631040573871594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512</v>
      </c>
      <c r="BB63" s="13">
        <f>VLOOKUP(A63,'Données projet'!$A$87:$I$107,9,0)</f>
        <v>13.5</v>
      </c>
      <c r="BC63" s="13">
        <f t="array" ref="BC63">INDEX(BB:BB,MIN(IF(ISNUMBER(BB63:BB259),ROW(BB63:BB259),"")))</f>
        <v>13.5</v>
      </c>
      <c r="BD63" s="13">
        <f>IF('Données projet'!$A$88&gt;35,BD62+BC63-BL62,IF(A63&lt;'Données projet'!$A$88,$BA$205^A63,IF(A63='Données projet'!$A$88,'Données projet'!$B$88,BD62+BC63-BL62)))</f>
        <v>511.99999999999989</v>
      </c>
      <c r="BE63" s="14">
        <f>BD63*VLOOKUP('Données projet'!$B$11,Paramètres!$A$1:$I$89,3,0)*VLOOKUP('Données projet'!$B$11,Paramètres!$A$1:$I$89,5,0)</f>
        <v>239.61599999999996</v>
      </c>
      <c r="BF63" s="14">
        <f t="shared" si="37"/>
        <v>58.356903313490157</v>
      </c>
      <c r="BG63" s="22">
        <f t="shared" si="7"/>
        <v>518.96947327099531</v>
      </c>
      <c r="BH63" s="62">
        <f t="shared" si="8"/>
        <v>812.30280660432868</v>
      </c>
      <c r="BI63" s="62">
        <f ca="1">AVERAGE(OFFSET($BH$3,0,0,'Données projet'!$E$11+1,1))-AVERAGE(OFFSET($H$3,0,0,'Données projet'!$E$11+1,1))</f>
        <v>0</v>
      </c>
      <c r="BJ63" s="62">
        <f t="shared" si="38"/>
        <v>0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102</v>
      </c>
      <c r="BM63" s="17">
        <f>IF(ISNA(VLOOKUP(A63,'Données projet'!$A$87:$I$107,5,0)),0%,VLOOKUP(A63,'Données projet'!$A$87:$I$107,5,0)*VLOOKUP('Données projet'!$B$11,Paramètres!$A$1:$I$89,7,0))</f>
        <v>0.22000000000000003</v>
      </c>
      <c r="BN63" s="17">
        <f>IF(ISNA(VLOOKUP(A63,'Données projet'!$A$87:$I$107,6,0)),0%,VLOOKUP(A63,'Données projet'!$A$87:$I$107,6,0)*VLOOKUP('Données projet'!$B$11,Paramètres!$A$1:$I$89,7,0))</f>
        <v>0.33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17.975671938273535</v>
      </c>
      <c r="BQ63" s="23">
        <f>EXP(-LN(2)/25)*BQ62+(1-EXP(-LN(2)/25))/(LN(2)/25)*Calculateur!BL63*Calculateur!BN63*VLOOKUP('Données projet'!$B$11,Paramètres!$A$1:$I$89,3,0)*0.475*44/12</f>
        <v>34.567131149895559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52.542803088169094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159.45415548295978</v>
      </c>
      <c r="T64" s="62">
        <f t="shared" si="34"/>
        <v>268.09398033989754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4.5999999999999996</v>
      </c>
      <c r="AI64" s="14">
        <f>IF('Données projet'!$A$62&gt;35,AI63+AH64-AQ63,IF(A64&lt;'Données projet'!$A$62,$AF$205^A64,IF(A64='Données projet'!$A$62,'Données projet'!$B$62,AI63+AH64-AQ63)))</f>
        <v>184.59999999999968</v>
      </c>
      <c r="AJ64" s="14">
        <f>AI64*VLOOKUP('Données projet'!$B$10,Paramètres!$A$1:$I$89,3,0)*VLOOKUP('Données projet'!$B$10,Paramètres!$A$1:$I$89,5,0)</f>
        <v>161.26655999999974</v>
      </c>
      <c r="AK64" s="14">
        <f t="shared" si="35"/>
        <v>41.128060321982446</v>
      </c>
      <c r="AL64" s="22">
        <f t="shared" si="4"/>
        <v>352.50396372745234</v>
      </c>
      <c r="AM64" s="62">
        <f t="shared" si="5"/>
        <v>645.83729706078566</v>
      </c>
      <c r="AN64" s="62">
        <f ca="1">AVERAGE(OFFSET($AM$3,0,0,'Données projet'!$E$10+1,1))-AVERAGE(OFFSET($H$3,0,0,'Données projet'!$E$10+1,1))</f>
        <v>211.73952357671845</v>
      </c>
      <c r="AO64" s="62">
        <f t="shared" si="36"/>
        <v>238.591781509447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18.262149032427949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2.5591391580352661E-3</v>
      </c>
      <c r="AX64" s="23">
        <f t="shared" si="6"/>
        <v>18.264708171585983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15.5</v>
      </c>
      <c r="BD64" s="13">
        <f>IF('Données projet'!$A$88&gt;35,BD63+BC64-BL63,IF(A64&lt;'Données projet'!$A$88,$BA$205^A64,IF(A64='Données projet'!$A$88,'Données projet'!$B$88,BD63+BC64-BL63)))</f>
        <v>425.49999999999989</v>
      </c>
      <c r="BE64" s="14">
        <f>BD64*VLOOKUP('Données projet'!$B$11,Paramètres!$A$1:$I$89,3,0)*VLOOKUP('Données projet'!$B$11,Paramètres!$A$1:$I$89,5,0)</f>
        <v>199.13399999999993</v>
      </c>
      <c r="BF64" s="14">
        <f t="shared" si="37"/>
        <v>49.553799097205186</v>
      </c>
      <c r="BG64" s="22">
        <f t="shared" si="7"/>
        <v>433.13125009429888</v>
      </c>
      <c r="BH64" s="62">
        <f t="shared" si="8"/>
        <v>726.46458342763219</v>
      </c>
      <c r="BI64" s="62">
        <f ca="1">AVERAGE(OFFSET($BH$3,0,0,'Données projet'!$E$11+1,1))-AVERAGE(OFFSET($H$3,0,0,'Données projet'!$E$11+1,1))</f>
        <v>0</v>
      </c>
      <c r="BJ64" s="62">
        <f t="shared" si="38"/>
        <v>0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17.623179975641261</v>
      </c>
      <c r="BQ64" s="23">
        <f>EXP(-LN(2)/25)*BQ63+(1-EXP(-LN(2)/25))/(LN(2)/25)*Calculateur!BL64*Calculateur!BN64*VLOOKUP('Données projet'!$B$11,Paramètres!$A$1:$I$89,3,0)*0.475*44/12</f>
        <v>33.621891130795241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51.245071106436498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159.45415548295978</v>
      </c>
      <c r="T65" s="62">
        <f t="shared" si="34"/>
        <v>268.09398033989754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4.5999999999999996</v>
      </c>
      <c r="AI65" s="14">
        <f>IF('Données projet'!$A$62&gt;35,AI64+AH65-AQ64,IF(A65&lt;'Données projet'!$A$62,$AF$205^A65,IF(A65='Données projet'!$A$62,'Données projet'!$B$62,AI64+AH65-AQ64)))</f>
        <v>189.19999999999968</v>
      </c>
      <c r="AJ65" s="14">
        <f>AI65*VLOOKUP('Données projet'!$B$10,Paramètres!$A$1:$I$89,3,0)*VLOOKUP('Données projet'!$B$10,Paramètres!$A$1:$I$89,5,0)</f>
        <v>165.28511999999975</v>
      </c>
      <c r="AK65" s="14">
        <f t="shared" si="35"/>
        <v>42.0323249466717</v>
      </c>
      <c r="AL65" s="22">
        <f t="shared" si="4"/>
        <v>361.07788328211944</v>
      </c>
      <c r="AM65" s="62">
        <f t="shared" si="5"/>
        <v>654.41121661545276</v>
      </c>
      <c r="AN65" s="62">
        <f ca="1">AVERAGE(OFFSET($AM$3,0,0,'Données projet'!$E$10+1,1))-AVERAGE(OFFSET($H$3,0,0,'Données projet'!$E$10+1,1))</f>
        <v>211.73952357671845</v>
      </c>
      <c r="AO65" s="62">
        <f t="shared" si="36"/>
        <v>238.591781509447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17.90403942871308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1.8095846526467684E-3</v>
      </c>
      <c r="AX65" s="23">
        <f t="shared" si="6"/>
        <v>17.905849013365728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15.5</v>
      </c>
      <c r="BD65" s="13">
        <f>IF('Données projet'!$A$88&gt;35,BD64+BC65-BL64,IF(A65&lt;'Données projet'!$A$88,$BA$205^A65,IF(A65='Données projet'!$A$88,'Données projet'!$B$88,BD64+BC65-BL64)))</f>
        <v>440.99999999999989</v>
      </c>
      <c r="BE65" s="14">
        <f>BD65*VLOOKUP('Données projet'!$B$11,Paramètres!$A$1:$I$89,3,0)*VLOOKUP('Données projet'!$B$11,Paramètres!$A$1:$I$89,5,0)</f>
        <v>206.38799999999995</v>
      </c>
      <c r="BF65" s="14">
        <f t="shared" si="37"/>
        <v>51.145477584014834</v>
      </c>
      <c r="BG65" s="22">
        <f t="shared" si="7"/>
        <v>448.53747345882579</v>
      </c>
      <c r="BH65" s="62">
        <f t="shared" si="8"/>
        <v>741.8708067921591</v>
      </c>
      <c r="BI65" s="62">
        <f ca="1">AVERAGE(OFFSET($BH$3,0,0,'Données projet'!$E$11+1,1))-AVERAGE(OFFSET($H$3,0,0,'Données projet'!$E$11+1,1))</f>
        <v>0</v>
      </c>
      <c r="BJ65" s="62">
        <f t="shared" si="38"/>
        <v>0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17.277600165397338</v>
      </c>
      <c r="BQ65" s="23">
        <f>EXP(-LN(2)/25)*BQ64+(1-EXP(-LN(2)/25))/(LN(2)/25)*Calculateur!BL65*Calculateur!BN65*VLOOKUP('Données projet'!$B$11,Paramètres!$A$1:$I$89,3,0)*0.475*44/12</f>
        <v>32.702498749725237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49.980098915122575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159.45415548295978</v>
      </c>
      <c r="T66" s="62">
        <f t="shared" si="34"/>
        <v>268.09398033989754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4.5999999999999996</v>
      </c>
      <c r="AI66" s="14">
        <f>IF('Données projet'!$A$62&gt;35,AI65+AH66-AQ65,IF(A66&lt;'Données projet'!$A$62,$AF$205^A66,IF(A66='Données projet'!$A$62,'Données projet'!$B$62,AI65+AH66-AQ65)))</f>
        <v>193.79999999999967</v>
      </c>
      <c r="AJ66" s="14">
        <f>AI66*VLOOKUP('Données projet'!$B$10,Paramètres!$A$1:$I$89,3,0)*VLOOKUP('Données projet'!$B$10,Paramètres!$A$1:$I$89,5,0)</f>
        <v>169.30367999999973</v>
      </c>
      <c r="AK66" s="14">
        <f t="shared" si="35"/>
        <v>42.934033834973178</v>
      </c>
      <c r="AL66" s="22">
        <f t="shared" si="4"/>
        <v>369.64735159591118</v>
      </c>
      <c r="AM66" s="62">
        <f t="shared" si="5"/>
        <v>662.98068492924449</v>
      </c>
      <c r="AN66" s="62">
        <f ca="1">AVERAGE(OFFSET($AM$3,0,0,'Données projet'!$E$10+1,1))-AVERAGE(OFFSET($H$3,0,0,'Données projet'!$E$10+1,1))</f>
        <v>211.73952357671845</v>
      </c>
      <c r="AO66" s="62">
        <f t="shared" si="36"/>
        <v>238.591781509447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17.552952135901769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1.279569579017633E-3</v>
      </c>
      <c r="AX66" s="23">
        <f t="shared" si="6"/>
        <v>17.554231705480788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15.5</v>
      </c>
      <c r="BD66" s="13">
        <f>IF('Données projet'!$A$88&gt;35,BD65+BC66-BL65,IF(A66&lt;'Données projet'!$A$88,$BA$205^A66,IF(A66='Données projet'!$A$88,'Données projet'!$B$88,BD65+BC66-BL65)))</f>
        <v>456.49999999999989</v>
      </c>
      <c r="BE66" s="14">
        <f>BD66*VLOOKUP('Données projet'!$B$11,Paramètres!$A$1:$I$89,3,0)*VLOOKUP('Données projet'!$B$11,Paramètres!$A$1:$I$89,5,0)</f>
        <v>213.64199999999994</v>
      </c>
      <c r="BF66" s="14">
        <f t="shared" si="37"/>
        <v>52.730656153675348</v>
      </c>
      <c r="BG66" s="22">
        <f t="shared" si="7"/>
        <v>463.93237613431779</v>
      </c>
      <c r="BH66" s="62">
        <f t="shared" si="8"/>
        <v>757.26570946765105</v>
      </c>
      <c r="BI66" s="62">
        <f ca="1">AVERAGE(OFFSET($BH$3,0,0,'Données projet'!$E$11+1,1))-AVERAGE(OFFSET($H$3,0,0,'Données projet'!$E$11+1,1))</f>
        <v>0</v>
      </c>
      <c r="BJ66" s="62">
        <f t="shared" si="38"/>
        <v>0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16.938796964449427</v>
      </c>
      <c r="BQ66" s="23">
        <f>EXP(-LN(2)/25)*BQ65+(1-EXP(-LN(2)/25))/(LN(2)/25)*Calculateur!BL66*Calculateur!BN66*VLOOKUP('Données projet'!$B$11,Paramètres!$A$1:$I$89,3,0)*0.475*44/12</f>
        <v>31.808247201664333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48.74704416611376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159.45415548295978</v>
      </c>
      <c r="T67" s="62">
        <f t="shared" si="34"/>
        <v>268.09398033989754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4.5999999999999996</v>
      </c>
      <c r="AI67" s="14">
        <f>IF('Données projet'!$A$62&gt;35,AI66+AH67-AQ66,IF(A67&lt;'Données projet'!$A$62,$AF$205^A67,IF(A67='Données projet'!$A$62,'Données projet'!$B$62,AI66+AH67-AQ66)))</f>
        <v>198.39999999999966</v>
      </c>
      <c r="AJ67" s="14">
        <f>AI67*VLOOKUP('Données projet'!$B$10,Paramètres!$A$1:$I$89,3,0)*VLOOKUP('Données projet'!$B$10,Paramètres!$A$1:$I$89,5,0)</f>
        <v>173.32223999999974</v>
      </c>
      <c r="AK67" s="14">
        <f t="shared" si="35"/>
        <v>43.833254629845044</v>
      </c>
      <c r="AL67" s="22">
        <f t="shared" si="4"/>
        <v>378.21248648031298</v>
      </c>
      <c r="AM67" s="62">
        <f t="shared" si="5"/>
        <v>671.54581981364629</v>
      </c>
      <c r="AN67" s="62">
        <f ca="1">AVERAGE(OFFSET($AM$3,0,0,'Données projet'!$E$10+1,1))-AVERAGE(OFFSET($H$3,0,0,'Données projet'!$E$10+1,1))</f>
        <v>211.73952357671845</v>
      </c>
      <c r="AO67" s="62">
        <f t="shared" si="36"/>
        <v>238.591781509447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17.208749450760386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9.0479232632338419E-4</v>
      </c>
      <c r="AX67" s="23">
        <f t="shared" si="6"/>
        <v>17.20965424308671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15.5</v>
      </c>
      <c r="BD67" s="13">
        <f>IF('Données projet'!$A$88&gt;35,BD66+BC67-BL66,IF(A67&lt;'Données projet'!$A$88,$BA$205^A67,IF(A67='Données projet'!$A$88,'Données projet'!$B$88,BD66+BC67-BL66)))</f>
        <v>471.99999999999989</v>
      </c>
      <c r="BE67" s="14">
        <f>BD67*VLOOKUP('Données projet'!$B$11,Paramètres!$A$1:$I$89,3,0)*VLOOKUP('Données projet'!$B$11,Paramètres!$A$1:$I$89,5,0)</f>
        <v>220.89599999999996</v>
      </c>
      <c r="BF67" s="14">
        <f t="shared" si="37"/>
        <v>54.309580803412281</v>
      </c>
      <c r="BG67" s="22">
        <f t="shared" si="7"/>
        <v>479.31638656594299</v>
      </c>
      <c r="BH67" s="62">
        <f t="shared" si="8"/>
        <v>772.64971989927631</v>
      </c>
      <c r="BI67" s="62">
        <f ca="1">AVERAGE(OFFSET($BH$3,0,0,'Données projet'!$E$11+1,1))-AVERAGE(OFFSET($H$3,0,0,'Données projet'!$E$11+1,1))</f>
        <v>0</v>
      </c>
      <c r="BJ67" s="62">
        <f t="shared" si="38"/>
        <v>0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16.606637487622557</v>
      </c>
      <c r="BQ67" s="23">
        <f>EXP(-LN(2)/25)*BQ66+(1-EXP(-LN(2)/25))/(LN(2)/25)*Calculateur!BL67*Calculateur!BN67*VLOOKUP('Données projet'!$B$11,Paramètres!$A$1:$I$89,3,0)*0.475*44/12</f>
        <v>30.938449009211801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47.545086496834358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159.45415548295978</v>
      </c>
      <c r="T68" s="62">
        <f t="shared" si="34"/>
        <v>268.09398033989754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203</v>
      </c>
      <c r="AG68" s="13">
        <f>VLOOKUP(A68,'Données projet'!$A$61:$I$81,9,0)</f>
        <v>4.5999999999999996</v>
      </c>
      <c r="AH68" s="13">
        <f t="array" ref="AH68">INDEX(AG:AG,MIN(IF(ISNUMBER(AG68:AG264),ROW(AG68:AG264),"")))</f>
        <v>4.5999999999999996</v>
      </c>
      <c r="AI68" s="14">
        <f>IF('Données projet'!$A$62&gt;35,AI67+AH68-AQ67,IF(A68&lt;'Données projet'!$A$62,$AF$205^A68,IF(A68='Données projet'!$A$62,'Données projet'!$B$62,AI67+AH68-AQ67)))</f>
        <v>202.99999999999966</v>
      </c>
      <c r="AJ68" s="14">
        <f>AI68*VLOOKUP('Données projet'!$B$10,Paramètres!$A$1:$I$89,3,0)*VLOOKUP('Données projet'!$B$10,Paramètres!$A$1:$I$89,5,0)</f>
        <v>177.34079999999972</v>
      </c>
      <c r="AK68" s="14">
        <f t="shared" si="35"/>
        <v>44.730051658603024</v>
      </c>
      <c r="AL68" s="22">
        <f t="shared" ref="AL68:AL131" si="58">(AJ68+AK68)*0.475*44/12</f>
        <v>386.77339997206644</v>
      </c>
      <c r="AM68" s="62">
        <f t="shared" ref="AM68:AM131" si="59">AL68+(AD68+AE68)*44/12</f>
        <v>680.10673330539976</v>
      </c>
      <c r="AN68" s="62">
        <f ca="1">AVERAGE(OFFSET($AM$3,0,0,'Données projet'!$E$10+1,1))-AVERAGE(OFFSET($H$3,0,0,'Données projet'!$E$10+1,1))</f>
        <v>211.73952357671845</v>
      </c>
      <c r="AO68" s="62">
        <f t="shared" si="36"/>
        <v>238.591781509447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17</v>
      </c>
      <c r="AR68" s="17">
        <f>IF(ISNA(VLOOKUP(A68,'Données projet'!$A$61:$I$81,5,0)),0%,VLOOKUP(A68,'Données projet'!$A$61:$I$81,5,0)*VLOOKUP('Données projet'!$B$10,Paramètres!$A$1:$I$89,7,0))</f>
        <v>0.27950000000000003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21.460004865626985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6.3978478950881652E-4</v>
      </c>
      <c r="AX68" s="23">
        <f t="shared" ref="AX68:AX131" si="60">SUM(AU68:AW68)</f>
        <v>21.460644650416494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15.5</v>
      </c>
      <c r="BD68" s="13">
        <f>IF('Données projet'!$A$88&gt;35,BD67+BC68-BL67,IF(A68&lt;'Données projet'!$A$88,$BA$205^A68,IF(A68='Données projet'!$A$88,'Données projet'!$B$88,BD67+BC68-BL67)))</f>
        <v>487.49999999999989</v>
      </c>
      <c r="BE68" s="14">
        <f>BD68*VLOOKUP('Données projet'!$B$11,Paramètres!$A$1:$I$89,3,0)*VLOOKUP('Données projet'!$B$11,Paramètres!$A$1:$I$89,5,0)</f>
        <v>228.14999999999992</v>
      </c>
      <c r="BF68" s="14">
        <f t="shared" si="37"/>
        <v>55.882480456847652</v>
      </c>
      <c r="BG68" s="22">
        <f t="shared" ref="BG68:BG131" si="61">(BE68+BF68)*0.475*44/12</f>
        <v>494.68990346234278</v>
      </c>
      <c r="BH68" s="62">
        <f t="shared" ref="BH68:BH131" si="62">BG68+(AY68+AZ68)*44/12</f>
        <v>788.0232367956761</v>
      </c>
      <c r="BI68" s="62">
        <f ca="1">AVERAGE(OFFSET($BH$3,0,0,'Données projet'!$E$11+1,1))-AVERAGE(OFFSET($H$3,0,0,'Données projet'!$E$11+1,1))</f>
        <v>0</v>
      </c>
      <c r="BJ68" s="62">
        <f t="shared" si="38"/>
        <v>0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16.280991455538985</v>
      </c>
      <c r="BQ68" s="23">
        <f>EXP(-LN(2)/25)*BQ67+(1-EXP(-LN(2)/25))/(LN(2)/25)*Calculateur!BL68*Calculateur!BN68*VLOOKUP('Données projet'!$B$11,Paramètres!$A$1:$I$89,3,0)*0.475*44/12</f>
        <v>30.092435494072582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46.37342694961157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159.45415548295978</v>
      </c>
      <c r="T69" s="62">
        <f t="shared" ref="T69:T132" si="88">$T$3</f>
        <v>268.09398033989754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</v>
      </c>
      <c r="AI69" s="14">
        <f>IF('Données projet'!$A$62&gt;35,AI68+AH69-AQ68,IF(A69&lt;'Données projet'!$A$62,$AF$205^A69,IF(A69='Données projet'!$A$62,'Données projet'!$B$62,AI68+AH69-AQ68)))</f>
        <v>189.99999999999966</v>
      </c>
      <c r="AJ69" s="14">
        <f>AI69*VLOOKUP('Données projet'!$B$10,Paramètres!$A$1:$I$89,3,0)*VLOOKUP('Données projet'!$B$10,Paramètres!$A$1:$I$89,5,0)</f>
        <v>165.98399999999972</v>
      </c>
      <c r="AK69" s="14">
        <f t="shared" ref="AK69:AK132" si="89">EXP(-1.0587+0.8836*LN(AJ69)+0.284)</f>
        <v>42.189325525922207</v>
      </c>
      <c r="AL69" s="22">
        <f t="shared" si="58"/>
        <v>362.56854195764731</v>
      </c>
      <c r="AM69" s="62">
        <f t="shared" si="59"/>
        <v>655.90187529098057</v>
      </c>
      <c r="AN69" s="62">
        <f ca="1">AVERAGE(OFFSET($AM$3,0,0,'Données projet'!$E$10+1,1))-AVERAGE(OFFSET($H$3,0,0,'Données projet'!$E$10+1,1))</f>
        <v>211.73952357671845</v>
      </c>
      <c r="AO69" s="62">
        <f t="shared" ref="AO69:AO132" si="90">$AO$3</f>
        <v>238.591781509447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21.039187259522546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4.5239616316169209E-4</v>
      </c>
      <c r="AX69" s="23">
        <f t="shared" si="60"/>
        <v>21.039639655685708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15.5</v>
      </c>
      <c r="BD69" s="13">
        <f>IF('Données projet'!$A$88&gt;35,BD68+BC69-BL68,IF(A69&lt;'Données projet'!$A$88,$BA$205^A69,IF(A69='Données projet'!$A$88,'Données projet'!$B$88,BD68+BC69-BL68)))</f>
        <v>502.99999999999989</v>
      </c>
      <c r="BE69" s="14">
        <f>BD69*VLOOKUP('Données projet'!$B$11,Paramètres!$A$1:$I$89,3,0)*VLOOKUP('Données projet'!$B$11,Paramètres!$A$1:$I$89,5,0)</f>
        <v>235.40399999999994</v>
      </c>
      <c r="BF69" s="14">
        <f t="shared" ref="BF69:BF132" si="91">EXP(-1.0587+0.8836*LN(BE69)+0.284)</f>
        <v>57.449568653781753</v>
      </c>
      <c r="BG69" s="22">
        <f t="shared" si="61"/>
        <v>510.05329873866975</v>
      </c>
      <c r="BH69" s="62">
        <f t="shared" si="62"/>
        <v>803.38663207200307</v>
      </c>
      <c r="BI69" s="62">
        <f ca="1">AVERAGE(OFFSET($BH$3,0,0,'Données projet'!$E$11+1,1))-AVERAGE(OFFSET($H$3,0,0,'Données projet'!$E$11+1,1))</f>
        <v>0</v>
      </c>
      <c r="BJ69" s="62">
        <f t="shared" ref="BJ69:BJ132" si="92">$BJ$3</f>
        <v>0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15.961731143520105</v>
      </c>
      <c r="BQ69" s="23">
        <f>EXP(-LN(2)/25)*BQ68+(1-EXP(-LN(2)/25))/(LN(2)/25)*Calculateur!BL69*Calculateur!BN69*VLOOKUP('Données projet'!$B$11,Paramètres!$A$1:$I$89,3,0)*0.475*44/12</f>
        <v>29.269556262994762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45.231287406514866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159.45415548295978</v>
      </c>
      <c r="T70" s="62">
        <f t="shared" si="88"/>
        <v>268.09398033989754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</v>
      </c>
      <c r="AI70" s="14">
        <f>IF('Données projet'!$A$62&gt;35,AI69+AH70-AQ69,IF(A70&lt;'Données projet'!$A$62,$AF$205^A70,IF(A70='Données projet'!$A$62,'Données projet'!$B$62,AI69+AH70-AQ69)))</f>
        <v>193.99999999999966</v>
      </c>
      <c r="AJ70" s="14">
        <f>AI70*VLOOKUP('Données projet'!$B$10,Paramètres!$A$1:$I$89,3,0)*VLOOKUP('Données projet'!$B$10,Paramètres!$A$1:$I$89,5,0)</f>
        <v>169.47839999999971</v>
      </c>
      <c r="AK70" s="14">
        <f t="shared" si="89"/>
        <v>42.973181651930219</v>
      </c>
      <c r="AL70" s="22">
        <f t="shared" si="58"/>
        <v>370.01983804377795</v>
      </c>
      <c r="AM70" s="62">
        <f t="shared" si="59"/>
        <v>663.35317137711127</v>
      </c>
      <c r="AN70" s="62">
        <f ca="1">AVERAGE(OFFSET($AM$3,0,0,'Données projet'!$E$10+1,1))-AVERAGE(OFFSET($H$3,0,0,'Données projet'!$E$10+1,1))</f>
        <v>211.73952357671845</v>
      </c>
      <c r="AO70" s="62">
        <f t="shared" si="90"/>
        <v>238.591781509447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20.626621630000418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3.1989239475440826E-4</v>
      </c>
      <c r="AX70" s="23">
        <f t="shared" si="60"/>
        <v>20.626941522395171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15.5</v>
      </c>
      <c r="BD70" s="13">
        <f>IF('Données projet'!$A$88&gt;35,BD69+BC70-BL69,IF(A70&lt;'Données projet'!$A$88,$BA$205^A70,IF(A70='Données projet'!$A$88,'Données projet'!$B$88,BD69+BC70-BL69)))</f>
        <v>518.49999999999989</v>
      </c>
      <c r="BE70" s="14">
        <f>BD70*VLOOKUP('Données projet'!$B$11,Paramètres!$A$1:$I$89,3,0)*VLOOKUP('Données projet'!$B$11,Paramètres!$A$1:$I$89,5,0)</f>
        <v>242.65799999999993</v>
      </c>
      <c r="BF70" s="14">
        <f t="shared" si="91"/>
        <v>59.011045025839607</v>
      </c>
      <c r="BG70" s="22">
        <f t="shared" si="61"/>
        <v>525.40692008667054</v>
      </c>
      <c r="BH70" s="62">
        <f t="shared" si="62"/>
        <v>818.74025342000391</v>
      </c>
      <c r="BI70" s="62">
        <f ca="1">AVERAGE(OFFSET($BH$3,0,0,'Données projet'!$E$11+1,1))-AVERAGE(OFFSET($H$3,0,0,'Données projet'!$E$11+1,1))</f>
        <v>0</v>
      </c>
      <c r="BJ70" s="62">
        <f t="shared" si="92"/>
        <v>0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15.648731331490353</v>
      </c>
      <c r="BQ70" s="23">
        <f>EXP(-LN(2)/25)*BQ69+(1-EXP(-LN(2)/25))/(LN(2)/25)*Calculateur!BL70*Calculateur!BN70*VLOOKUP('Données projet'!$B$11,Paramètres!$A$1:$I$89,3,0)*0.475*44/12</f>
        <v>28.469178707764101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44.117910039254454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159.45415548295978</v>
      </c>
      <c r="T71" s="62">
        <f t="shared" si="88"/>
        <v>268.09398033989754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</v>
      </c>
      <c r="AI71" s="14">
        <f>IF('Données projet'!$A$62&gt;35,AI70+AH71-AQ70,IF(A71&lt;'Données projet'!$A$62,$AF$205^A71,IF(A71='Données projet'!$A$62,'Données projet'!$B$62,AI70+AH71-AQ70)))</f>
        <v>197.99999999999966</v>
      </c>
      <c r="AJ71" s="14">
        <f>AI71*VLOOKUP('Données projet'!$B$10,Paramètres!$A$1:$I$89,3,0)*VLOOKUP('Données projet'!$B$10,Paramètres!$A$1:$I$89,5,0)</f>
        <v>172.97279999999972</v>
      </c>
      <c r="AK71" s="14">
        <f t="shared" si="89"/>
        <v>43.755158638197209</v>
      </c>
      <c r="AL71" s="22">
        <f t="shared" si="58"/>
        <v>377.46786129485963</v>
      </c>
      <c r="AM71" s="62">
        <f t="shared" si="59"/>
        <v>670.80119462819289</v>
      </c>
      <c r="AN71" s="62">
        <f ca="1">AVERAGE(OFFSET($AM$3,0,0,'Données projet'!$E$10+1,1))-AVERAGE(OFFSET($H$3,0,0,'Données projet'!$E$10+1,1))</f>
        <v>211.73952357671845</v>
      </c>
      <c r="AO71" s="62">
        <f t="shared" si="90"/>
        <v>238.591781509447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20.222146160833034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2.2619808158084605E-4</v>
      </c>
      <c r="AX71" s="23">
        <f t="shared" si="60"/>
        <v>20.222372358914615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15.5</v>
      </c>
      <c r="BD71" s="13">
        <f>IF('Données projet'!$A$88&gt;35,BD70+BC71-BL70,IF(A71&lt;'Données projet'!$A$88,$BA$205^A71,IF(A71='Données projet'!$A$88,'Données projet'!$B$88,BD70+BC71-BL70)))</f>
        <v>533.99999999999989</v>
      </c>
      <c r="BE71" s="14">
        <f>BD71*VLOOKUP('Données projet'!$B$11,Paramètres!$A$1:$I$89,3,0)*VLOOKUP('Données projet'!$B$11,Paramètres!$A$1:$I$89,5,0)</f>
        <v>249.91199999999995</v>
      </c>
      <c r="BF71" s="14">
        <f t="shared" si="91"/>
        <v>60.56709659070836</v>
      </c>
      <c r="BG71" s="22">
        <f t="shared" si="61"/>
        <v>540.7510932288169</v>
      </c>
      <c r="BH71" s="62">
        <f t="shared" si="62"/>
        <v>834.08442656215016</v>
      </c>
      <c r="BI71" s="62">
        <f ca="1">AVERAGE(OFFSET($BH$3,0,0,'Données projet'!$E$11+1,1))-AVERAGE(OFFSET($H$3,0,0,'Données projet'!$E$11+1,1))</f>
        <v>0</v>
      </c>
      <c r="BJ71" s="62">
        <f t="shared" si="92"/>
        <v>0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15.34186925486347</v>
      </c>
      <c r="BQ71" s="23">
        <f>EXP(-LN(2)/25)*BQ70+(1-EXP(-LN(2)/25))/(LN(2)/25)*Calculateur!BL71*Calculateur!BN71*VLOOKUP('Données projet'!$B$11,Paramètres!$A$1:$I$89,3,0)*0.475*44/12</f>
        <v>27.69068751887125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43.032556773734719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159.45415548295978</v>
      </c>
      <c r="T72" s="62">
        <f t="shared" si="88"/>
        <v>268.09398033989754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</v>
      </c>
      <c r="AI72" s="14">
        <f>IF('Données projet'!$A$62&gt;35,AI71+AH72-AQ71,IF(A72&lt;'Données projet'!$A$62,$AF$205^A72,IF(A72='Données projet'!$A$62,'Données projet'!$B$62,AI71+AH72-AQ71)))</f>
        <v>201.99999999999966</v>
      </c>
      <c r="AJ72" s="14">
        <f>AI72*VLOOKUP('Données projet'!$B$10,Paramètres!$A$1:$I$89,3,0)*VLOOKUP('Données projet'!$B$10,Paramètres!$A$1:$I$89,5,0)</f>
        <v>176.46719999999974</v>
      </c>
      <c r="AK72" s="14">
        <f t="shared" si="89"/>
        <v>44.53529882198935</v>
      </c>
      <c r="AL72" s="22">
        <f t="shared" si="58"/>
        <v>384.91268544829768</v>
      </c>
      <c r="AM72" s="62">
        <f t="shared" si="59"/>
        <v>678.24601878163094</v>
      </c>
      <c r="AN72" s="62">
        <f ca="1">AVERAGE(OFFSET($AM$3,0,0,'Données projet'!$E$10+1,1))-AVERAGE(OFFSET($H$3,0,0,'Données projet'!$E$10+1,1))</f>
        <v>211.73952357671845</v>
      </c>
      <c r="AO72" s="62">
        <f t="shared" si="90"/>
        <v>238.591781509447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19.825602208910347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1.5994619737720413E-4</v>
      </c>
      <c r="AX72" s="23">
        <f t="shared" si="60"/>
        <v>19.825762155107725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15.5</v>
      </c>
      <c r="BD72" s="13">
        <f>IF('Données projet'!$A$88&gt;35,BD71+BC72-BL71,IF(A72&lt;'Données projet'!$A$88,$BA$205^A72,IF(A72='Données projet'!$A$88,'Données projet'!$B$88,BD71+BC72-BL71)))</f>
        <v>549.49999999999989</v>
      </c>
      <c r="BE72" s="14">
        <f>BD72*VLOOKUP('Données projet'!$B$11,Paramètres!$A$1:$I$89,3,0)*VLOOKUP('Données projet'!$B$11,Paramètres!$A$1:$I$89,5,0)</f>
        <v>257.16599999999994</v>
      </c>
      <c r="BF72" s="14">
        <f t="shared" si="91"/>
        <v>62.117898891884423</v>
      </c>
      <c r="BG72" s="22">
        <f t="shared" si="61"/>
        <v>556.08612390336521</v>
      </c>
      <c r="BH72" s="62">
        <f t="shared" si="62"/>
        <v>849.41945723669846</v>
      </c>
      <c r="BI72" s="62">
        <f ca="1">AVERAGE(OFFSET($BH$3,0,0,'Données projet'!$E$11+1,1))-AVERAGE(OFFSET($H$3,0,0,'Données projet'!$E$11+1,1))</f>
        <v>0</v>
      </c>
      <c r="BJ72" s="62">
        <f t="shared" si="92"/>
        <v>0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15.041024556391855</v>
      </c>
      <c r="BQ72" s="23">
        <f>EXP(-LN(2)/25)*BQ71+(1-EXP(-LN(2)/25))/(LN(2)/25)*Calculateur!BL72*Calculateur!BN72*VLOOKUP('Données projet'!$B$11,Paramètres!$A$1:$I$89,3,0)*0.475*44/12</f>
        <v>26.933484212477747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41.974508768869605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159.45415548295978</v>
      </c>
      <c r="T73" s="62">
        <f t="shared" si="88"/>
        <v>268.09398033989754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206</v>
      </c>
      <c r="AG73" s="13">
        <f>VLOOKUP(A73,'Données projet'!$A$61:$I$81,9,0)</f>
        <v>4</v>
      </c>
      <c r="AH73" s="13">
        <f t="array" ref="AH73">INDEX(AG:AG,MIN(IF(ISNUMBER(AG73:AG269),ROW(AG73:AG269),"")))</f>
        <v>4</v>
      </c>
      <c r="AI73" s="14">
        <f>IF('Données projet'!$A$62&gt;35,AI72+AH73-AQ72,IF(A73&lt;'Données projet'!$A$62,$AF$205^A73,IF(A73='Données projet'!$A$62,'Données projet'!$B$62,AI72+AH73-AQ72)))</f>
        <v>205.99999999999966</v>
      </c>
      <c r="AJ73" s="14">
        <f>AI73*VLOOKUP('Données projet'!$B$10,Paramètres!$A$1:$I$89,3,0)*VLOOKUP('Données projet'!$B$10,Paramètres!$A$1:$I$89,5,0)</f>
        <v>179.96159999999972</v>
      </c>
      <c r="AK73" s="14">
        <f t="shared" si="89"/>
        <v>45.313642767960062</v>
      </c>
      <c r="AL73" s="22">
        <f t="shared" si="58"/>
        <v>392.35438115419657</v>
      </c>
      <c r="AM73" s="62">
        <f t="shared" si="59"/>
        <v>685.68771448752989</v>
      </c>
      <c r="AN73" s="62">
        <f ca="1">AVERAGE(OFFSET($AM$3,0,0,'Données projet'!$E$10+1,1))-AVERAGE(OFFSET($H$3,0,0,'Données projet'!$E$10+1,1))</f>
        <v>211.73952357671845</v>
      </c>
      <c r="AO73" s="62">
        <f t="shared" si="90"/>
        <v>238.591781509447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15</v>
      </c>
      <c r="AR73" s="17">
        <f>IF(ISNA(VLOOKUP(A73,'Données projet'!$A$61:$I$81,5,0)),0%,VLOOKUP(A73,'Données projet'!$A$61:$I$81,5,0)*VLOOKUP('Données projet'!$B$10,Paramètres!$A$1:$I$89,7,0))</f>
        <v>0.30099999999999999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23.797145481890269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1.1309904079042302E-4</v>
      </c>
      <c r="AX73" s="23">
        <f t="shared" si="60"/>
        <v>23.797258580931057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565</v>
      </c>
      <c r="BB73" s="13">
        <f>VLOOKUP(A73,'Données projet'!$A$87:$I$107,9,0)</f>
        <v>15.5</v>
      </c>
      <c r="BC73" s="13">
        <f t="array" ref="BC73">INDEX(BB:BB,MIN(IF(ISNUMBER(BB73:BB269),ROW(BB73:BB269),"")))</f>
        <v>15.5</v>
      </c>
      <c r="BD73" s="13">
        <f>IF('Données projet'!$A$88&gt;35,BD72+BC73-BL72,IF(A73&lt;'Données projet'!$A$88,$BA$205^A73,IF(A73='Données projet'!$A$88,'Données projet'!$B$88,BD72+BC73-BL72)))</f>
        <v>564.99999999999989</v>
      </c>
      <c r="BE73" s="14">
        <f>BD73*VLOOKUP('Données projet'!$B$11,Paramètres!$A$1:$I$89,3,0)*VLOOKUP('Données projet'!$B$11,Paramètres!$A$1:$I$89,5,0)</f>
        <v>264.41999999999996</v>
      </c>
      <c r="BF73" s="14">
        <f t="shared" si="91"/>
        <v>63.663617006208391</v>
      </c>
      <c r="BG73" s="22">
        <f t="shared" si="61"/>
        <v>571.41229961914621</v>
      </c>
      <c r="BH73" s="62">
        <f t="shared" si="62"/>
        <v>864.74563295247958</v>
      </c>
      <c r="BI73" s="62">
        <f ca="1">AVERAGE(OFFSET($BH$3,0,0,'Données projet'!$E$11+1,1))-AVERAGE(OFFSET($H$3,0,0,'Données projet'!$E$11+1,1))</f>
        <v>0</v>
      </c>
      <c r="BJ73" s="62">
        <f t="shared" si="92"/>
        <v>0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113</v>
      </c>
      <c r="BM73" s="17">
        <f>IF(ISNA(VLOOKUP(A73,'Données projet'!$A$87:$I$107,5,0)),0%,VLOOKUP(A73,'Données projet'!$A$87:$I$107,5,0)*VLOOKUP('Données projet'!$B$11,Paramètres!$A$1:$I$89,7,0))</f>
        <v>0.27500000000000002</v>
      </c>
      <c r="BN73" s="17">
        <f>IF(ISNA(VLOOKUP(A73,'Données projet'!$A$87:$I$107,6,0)),0%,VLOOKUP(A73,'Données projet'!$A$87:$I$107,6,0)*VLOOKUP('Données projet'!$B$11,Paramètres!$A$1:$I$89,7,0))</f>
        <v>0.27500000000000002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34.038438770862896</v>
      </c>
      <c r="BQ73" s="23">
        <f>EXP(-LN(2)/25)*BQ72+(1-EXP(-LN(2)/25))/(LN(2)/25)*Calculateur!BL73*Calculateur!BN73*VLOOKUP('Données projet'!$B$11,Paramètres!$A$1:$I$89,3,0)*0.475*44/12</f>
        <v>45.413384831777563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79.451823602640459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159.45415548295978</v>
      </c>
      <c r="T74" s="62">
        <f t="shared" si="88"/>
        <v>268.09398033989754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3.6</v>
      </c>
      <c r="AI74" s="14">
        <f>IF('Données projet'!$A$62&gt;35,AI73+AH74-AQ73,IF(A74&lt;'Données projet'!$A$62,$AF$205^A74,IF(A74='Données projet'!$A$62,'Données projet'!$B$62,AI73+AH74-AQ73)))</f>
        <v>194.59999999999965</v>
      </c>
      <c r="AJ74" s="14">
        <f>AI74*VLOOKUP('Données projet'!$B$10,Paramètres!$A$1:$I$89,3,0)*VLOOKUP('Données projet'!$B$10,Paramètres!$A$1:$I$89,5,0)</f>
        <v>170.0025599999997</v>
      </c>
      <c r="AK74" s="14">
        <f t="shared" si="89"/>
        <v>43.090596939649508</v>
      </c>
      <c r="AL74" s="22">
        <f t="shared" si="58"/>
        <v>371.13724833655573</v>
      </c>
      <c r="AM74" s="62">
        <f t="shared" si="59"/>
        <v>664.47058166988904</v>
      </c>
      <c r="AN74" s="62">
        <f ca="1">AVERAGE(OFFSET($AM$3,0,0,'Données projet'!$E$10+1,1))-AVERAGE(OFFSET($H$3,0,0,'Données projet'!$E$10+1,1))</f>
        <v>211.73952357671845</v>
      </c>
      <c r="AO74" s="62">
        <f t="shared" si="90"/>
        <v>238.591781509447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23.330497973815923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7.9973098688602065E-5</v>
      </c>
      <c r="AX74" s="23">
        <f t="shared" si="60"/>
        <v>23.330577946914612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17</v>
      </c>
      <c r="BD74" s="13">
        <f>IF('Données projet'!$A$88&gt;35,BD73+BC74-BL73,IF(A74&lt;'Données projet'!$A$88,$BA$205^A74,IF(A74='Données projet'!$A$88,'Données projet'!$B$88,BD73+BC74-BL73)))</f>
        <v>468.99999999999989</v>
      </c>
      <c r="BE74" s="14">
        <f>BD74*VLOOKUP('Données projet'!$B$11,Paramètres!$A$1:$I$89,3,0)*VLOOKUP('Données projet'!$B$11,Paramètres!$A$1:$I$89,5,0)</f>
        <v>219.49199999999993</v>
      </c>
      <c r="BF74" s="14">
        <f t="shared" si="91"/>
        <v>54.004459579686618</v>
      </c>
      <c r="BG74" s="22">
        <f t="shared" si="61"/>
        <v>476.33966710128726</v>
      </c>
      <c r="BH74" s="62">
        <f t="shared" si="62"/>
        <v>769.67300043462058</v>
      </c>
      <c r="BI74" s="62">
        <f ca="1">AVERAGE(OFFSET($BH$3,0,0,'Données projet'!$E$11+1,1))-AVERAGE(OFFSET($H$3,0,0,'Données projet'!$E$11+1,1))</f>
        <v>0</v>
      </c>
      <c r="BJ74" s="62">
        <f t="shared" si="92"/>
        <v>0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33.370965747963908</v>
      </c>
      <c r="BQ74" s="23">
        <f>EXP(-LN(2)/25)*BQ73+(1-EXP(-LN(2)/25))/(LN(2)/25)*Calculateur!BL74*Calculateur!BN74*VLOOKUP('Données projet'!$B$11,Paramètres!$A$1:$I$89,3,0)*0.475*44/12</f>
        <v>44.171553435366491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77.542519183330398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159.45415548295978</v>
      </c>
      <c r="T75" s="62">
        <f t="shared" si="88"/>
        <v>268.09398033989754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3.6</v>
      </c>
      <c r="AI75" s="14">
        <f>IF('Données projet'!$A$62&gt;35,AI74+AH75-AQ74,IF(A75&lt;'Données projet'!$A$62,$AF$205^A75,IF(A75='Données projet'!$A$62,'Données projet'!$B$62,AI74+AH75-AQ74)))</f>
        <v>198.19999999999965</v>
      </c>
      <c r="AJ75" s="14">
        <f>AI75*VLOOKUP('Données projet'!$B$10,Paramètres!$A$1:$I$89,3,0)*VLOOKUP('Données projet'!$B$10,Paramètres!$A$1:$I$89,5,0)</f>
        <v>173.14751999999973</v>
      </c>
      <c r="AK75" s="14">
        <f t="shared" si="89"/>
        <v>43.794208927254033</v>
      </c>
      <c r="AL75" s="22">
        <f t="shared" si="58"/>
        <v>377.84017788163356</v>
      </c>
      <c r="AM75" s="62">
        <f t="shared" si="59"/>
        <v>671.17351121496688</v>
      </c>
      <c r="AN75" s="62">
        <f ca="1">AVERAGE(OFFSET($AM$3,0,0,'Données projet'!$E$10+1,1))-AVERAGE(OFFSET($H$3,0,0,'Données projet'!$E$10+1,1))</f>
        <v>211.73952357671845</v>
      </c>
      <c r="AO75" s="62">
        <f t="shared" si="90"/>
        <v>238.591781509447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22.873001138748041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5.6549520395211512E-5</v>
      </c>
      <c r="AX75" s="23">
        <f t="shared" si="60"/>
        <v>22.873057688268435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17</v>
      </c>
      <c r="BD75" s="13">
        <f>IF('Données projet'!$A$88&gt;35,BD74+BC75-BL74,IF(A75&lt;'Données projet'!$A$88,$BA$205^A75,IF(A75='Données projet'!$A$88,'Données projet'!$B$88,BD74+BC75-BL74)))</f>
        <v>485.99999999999989</v>
      </c>
      <c r="BE75" s="14">
        <f>BD75*VLOOKUP('Données projet'!$B$11,Paramètres!$A$1:$I$89,3,0)*VLOOKUP('Données projet'!$B$11,Paramètres!$A$1:$I$89,5,0)</f>
        <v>227.44799999999995</v>
      </c>
      <c r="BF75" s="14">
        <f t="shared" si="91"/>
        <v>55.730521649800686</v>
      </c>
      <c r="BG75" s="22">
        <f t="shared" si="61"/>
        <v>493.20259187340275</v>
      </c>
      <c r="BH75" s="62">
        <f t="shared" si="62"/>
        <v>786.53592520673601</v>
      </c>
      <c r="BI75" s="62">
        <f ca="1">AVERAGE(OFFSET($BH$3,0,0,'Données projet'!$E$11+1,1))-AVERAGE(OFFSET($H$3,0,0,'Données projet'!$E$11+1,1))</f>
        <v>0</v>
      </c>
      <c r="BJ75" s="62">
        <f t="shared" si="92"/>
        <v>0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32.716581463925621</v>
      </c>
      <c r="BQ75" s="23">
        <f>EXP(-LN(2)/25)*BQ74+(1-EXP(-LN(2)/25))/(LN(2)/25)*Calculateur!BL75*Calculateur!BN75*VLOOKUP('Données projet'!$B$11,Paramètres!$A$1:$I$89,3,0)*0.475*44/12</f>
        <v>42.963679983795352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75.680261447720966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159.45415548295978</v>
      </c>
      <c r="T76" s="62">
        <f t="shared" si="88"/>
        <v>268.09398033989754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3.6</v>
      </c>
      <c r="AI76" s="14">
        <f>IF('Données projet'!$A$62&gt;35,AI75+AH76-AQ75,IF(A76&lt;'Données projet'!$A$62,$AF$205^A76,IF(A76='Données projet'!$A$62,'Données projet'!$B$62,AI75+AH76-AQ75)))</f>
        <v>201.79999999999964</v>
      </c>
      <c r="AJ76" s="14">
        <f>AI76*VLOOKUP('Données projet'!$B$10,Paramètres!$A$1:$I$89,3,0)*VLOOKUP('Données projet'!$B$10,Paramètres!$A$1:$I$89,5,0)</f>
        <v>176.2924799999997</v>
      </c>
      <c r="AK76" s="14">
        <f t="shared" si="89"/>
        <v>44.496334803721815</v>
      </c>
      <c r="AL76" s="22">
        <f t="shared" si="58"/>
        <v>384.54051911648162</v>
      </c>
      <c r="AM76" s="62">
        <f t="shared" si="59"/>
        <v>677.87385244981488</v>
      </c>
      <c r="AN76" s="62">
        <f ca="1">AVERAGE(OFFSET($AM$3,0,0,'Données projet'!$E$10+1,1))-AVERAGE(OFFSET($H$3,0,0,'Données projet'!$E$10+1,1))</f>
        <v>211.73952357671845</v>
      </c>
      <c r="AO76" s="62">
        <f t="shared" si="90"/>
        <v>238.591781509447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22.424475537570324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3.9986549344301032E-5</v>
      </c>
      <c r="AX76" s="23">
        <f t="shared" si="60"/>
        <v>22.424515524119666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17</v>
      </c>
      <c r="BD76" s="13">
        <f>IF('Données projet'!$A$88&gt;35,BD75+BC76-BL75,IF(A76&lt;'Données projet'!$A$88,$BA$205^A76,IF(A76='Données projet'!$A$88,'Données projet'!$B$88,BD75+BC76-BL75)))</f>
        <v>502.99999999999989</v>
      </c>
      <c r="BE76" s="14">
        <f>BD76*VLOOKUP('Données projet'!$B$11,Paramètres!$A$1:$I$89,3,0)*VLOOKUP('Données projet'!$B$11,Paramètres!$A$1:$I$89,5,0)</f>
        <v>235.40399999999994</v>
      </c>
      <c r="BF76" s="14">
        <f t="shared" si="91"/>
        <v>57.449568653781753</v>
      </c>
      <c r="BG76" s="22">
        <f t="shared" si="61"/>
        <v>510.05329873866975</v>
      </c>
      <c r="BH76" s="62">
        <f t="shared" si="62"/>
        <v>803.38663207200307</v>
      </c>
      <c r="BI76" s="62">
        <f ca="1">AVERAGE(OFFSET($BH$3,0,0,'Données projet'!$E$11+1,1))-AVERAGE(OFFSET($H$3,0,0,'Données projet'!$E$11+1,1))</f>
        <v>0</v>
      </c>
      <c r="BJ76" s="62">
        <f t="shared" si="92"/>
        <v>0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32.075029256562324</v>
      </c>
      <c r="BQ76" s="23">
        <f>EXP(-LN(2)/25)*BQ75+(1-EXP(-LN(2)/25))/(LN(2)/25)*Calculateur!BL76*Calculateur!BN76*VLOOKUP('Données projet'!$B$11,Paramètres!$A$1:$I$89,3,0)*0.475*44/12</f>
        <v>41.788835895276733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73.863865151839065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159.45415548295978</v>
      </c>
      <c r="T77" s="62">
        <f t="shared" si="88"/>
        <v>268.09398033989754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3.6</v>
      </c>
      <c r="AI77" s="14">
        <f>IF('Données projet'!$A$62&gt;35,AI76+AH77-AQ76,IF(A77&lt;'Données projet'!$A$62,$AF$205^A77,IF(A77='Données projet'!$A$62,'Données projet'!$B$62,AI76+AH77-AQ76)))</f>
        <v>205.39999999999964</v>
      </c>
      <c r="AJ77" s="14">
        <f>AI77*VLOOKUP('Données projet'!$B$10,Paramètres!$A$1:$I$89,3,0)*VLOOKUP('Données projet'!$B$10,Paramètres!$A$1:$I$89,5,0)</f>
        <v>179.4374399999997</v>
      </c>
      <c r="AK77" s="14">
        <f t="shared" si="89"/>
        <v>45.197004138831538</v>
      </c>
      <c r="AL77" s="22">
        <f t="shared" si="58"/>
        <v>391.23832354179768</v>
      </c>
      <c r="AM77" s="62">
        <f t="shared" si="59"/>
        <v>684.571656875131</v>
      </c>
      <c r="AN77" s="62">
        <f ca="1">AVERAGE(OFFSET($AM$3,0,0,'Données projet'!$E$10+1,1))-AVERAGE(OFFSET($H$3,0,0,'Données projet'!$E$10+1,1))</f>
        <v>211.73952357671845</v>
      </c>
      <c r="AO77" s="62">
        <f t="shared" si="90"/>
        <v>238.591781509447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21.984745249858097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2.8274760197605756E-5</v>
      </c>
      <c r="AX77" s="23">
        <f t="shared" si="60"/>
        <v>21.984773524618294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17</v>
      </c>
      <c r="BD77" s="13">
        <f>IF('Données projet'!$A$88&gt;35,BD76+BC77-BL76,IF(A77&lt;'Données projet'!$A$88,$BA$205^A77,IF(A77='Données projet'!$A$88,'Données projet'!$B$88,BD76+BC77-BL76)))</f>
        <v>519.99999999999989</v>
      </c>
      <c r="BE77" s="14">
        <f>BD77*VLOOKUP('Données projet'!$B$11,Paramètres!$A$1:$I$89,3,0)*VLOOKUP('Données projet'!$B$11,Paramètres!$A$1:$I$89,5,0)</f>
        <v>243.35999999999996</v>
      </c>
      <c r="BF77" s="14">
        <f t="shared" si="91"/>
        <v>59.161864860837127</v>
      </c>
      <c r="BG77" s="22">
        <f t="shared" si="61"/>
        <v>526.89224796595784</v>
      </c>
      <c r="BH77" s="62">
        <f t="shared" si="62"/>
        <v>820.22558129929121</v>
      </c>
      <c r="BI77" s="62">
        <f ca="1">AVERAGE(OFFSET($BH$3,0,0,'Données projet'!$E$11+1,1))-AVERAGE(OFFSET($H$3,0,0,'Données projet'!$E$11+1,1))</f>
        <v>0</v>
      </c>
      <c r="BJ77" s="62">
        <f t="shared" si="92"/>
        <v>0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31.446057496677216</v>
      </c>
      <c r="BQ77" s="23">
        <f>EXP(-LN(2)/25)*BQ76+(1-EXP(-LN(2)/25))/(LN(2)/25)*Calculateur!BL77*Calculateur!BN77*VLOOKUP('Données projet'!$B$11,Paramètres!$A$1:$I$89,3,0)*0.475*44/12</f>
        <v>40.646117980141021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72.092175476818241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159.45415548295978</v>
      </c>
      <c r="T78" s="62">
        <f t="shared" si="88"/>
        <v>268.09398033989754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209</v>
      </c>
      <c r="AG78" s="13">
        <f>VLOOKUP(A78,'Données projet'!$A$61:$I$81,9,0)</f>
        <v>3.6</v>
      </c>
      <c r="AH78" s="13">
        <f t="array" ref="AH78">INDEX(AG:AG,MIN(IF(ISNUMBER(AG78:AG274),ROW(AG78:AG274),"")))</f>
        <v>3.6</v>
      </c>
      <c r="AI78" s="14">
        <f>IF('Données projet'!$A$62&gt;35,AI77+AH78-AQ77,IF(A78&lt;'Données projet'!$A$62,$AF$205^A78,IF(A78='Données projet'!$A$62,'Données projet'!$B$62,AI77+AH78-AQ77)))</f>
        <v>208.99999999999963</v>
      </c>
      <c r="AJ78" s="14">
        <f>AI78*VLOOKUP('Données projet'!$B$10,Paramètres!$A$1:$I$89,3,0)*VLOOKUP('Données projet'!$B$10,Paramètres!$A$1:$I$89,5,0)</f>
        <v>182.58239999999969</v>
      </c>
      <c r="AK78" s="14">
        <f t="shared" si="89"/>
        <v>45.896245406460203</v>
      </c>
      <c r="AL78" s="22">
        <f t="shared" si="58"/>
        <v>397.9336407495843</v>
      </c>
      <c r="AM78" s="62">
        <f t="shared" si="59"/>
        <v>691.26697408291761</v>
      </c>
      <c r="AN78" s="62">
        <f ca="1">AVERAGE(OFFSET($AM$3,0,0,'Données projet'!$E$10+1,1))-AVERAGE(OFFSET($H$3,0,0,'Données projet'!$E$10+1,1))</f>
        <v>211.73952357671845</v>
      </c>
      <c r="AO78" s="62">
        <f t="shared" si="90"/>
        <v>238.591781509447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13</v>
      </c>
      <c r="AR78" s="17">
        <f>IF(ISNA(VLOOKUP(A78,'Données projet'!$A$61:$I$81,5,0)),0%,VLOOKUP(A78,'Données projet'!$A$61:$I$81,5,0)*VLOOKUP('Données projet'!$B$10,Paramètres!$A$1:$I$89,7,0))</f>
        <v>0.30099999999999999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25.332574212769138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1.9993274672150516E-5</v>
      </c>
      <c r="AX78" s="23">
        <f t="shared" si="60"/>
        <v>25.332594206043812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17</v>
      </c>
      <c r="BD78" s="13">
        <f>IF('Données projet'!$A$88&gt;35,BD77+BC78-BL77,IF(A78&lt;'Données projet'!$A$88,$BA$205^A78,IF(A78='Données projet'!$A$88,'Données projet'!$B$88,BD77+BC78-BL77)))</f>
        <v>536.99999999999989</v>
      </c>
      <c r="BE78" s="14">
        <f>BD78*VLOOKUP('Données projet'!$B$11,Paramètres!$A$1:$I$89,3,0)*VLOOKUP('Données projet'!$B$11,Paramètres!$A$1:$I$89,5,0)</f>
        <v>251.31599999999997</v>
      </c>
      <c r="BF78" s="14">
        <f t="shared" si="91"/>
        <v>60.86765628024984</v>
      </c>
      <c r="BG78" s="22">
        <f t="shared" si="61"/>
        <v>543.71986802143499</v>
      </c>
      <c r="BH78" s="62">
        <f t="shared" si="62"/>
        <v>837.05320135476836</v>
      </c>
      <c r="BI78" s="62">
        <f ca="1">AVERAGE(OFFSET($BH$3,0,0,'Données projet'!$E$11+1,1))-AVERAGE(OFFSET($H$3,0,0,'Données projet'!$E$11+1,1))</f>
        <v>0</v>
      </c>
      <c r="BJ78" s="62">
        <f t="shared" si="92"/>
        <v>0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30.829419489368561</v>
      </c>
      <c r="BQ78" s="23">
        <f>EXP(-LN(2)/25)*BQ77+(1-EXP(-LN(2)/25))/(LN(2)/25)*Calculateur!BL78*Calculateur!BN78*VLOOKUP('Données projet'!$B$11,Paramètres!$A$1:$I$89,3,0)*0.475*44/12</f>
        <v>39.534647746487622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70.364067235856183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159.45415548295978</v>
      </c>
      <c r="T79" s="62">
        <f t="shared" si="88"/>
        <v>268.09398033989754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198.99999999999963</v>
      </c>
      <c r="AJ79" s="14">
        <f>AI79*VLOOKUP('Données projet'!$B$10,Paramètres!$A$1:$I$89,3,0)*VLOOKUP('Données projet'!$B$10,Paramètres!$A$1:$I$89,5,0)</f>
        <v>173.8463999999997</v>
      </c>
      <c r="AK79" s="14">
        <f t="shared" si="89"/>
        <v>43.950364270382217</v>
      </c>
      <c r="AL79" s="22">
        <f t="shared" si="58"/>
        <v>379.32936443758177</v>
      </c>
      <c r="AM79" s="62">
        <f t="shared" si="59"/>
        <v>672.66269777091509</v>
      </c>
      <c r="AN79" s="62">
        <f ca="1">AVERAGE(OFFSET($AM$3,0,0,'Données projet'!$E$10+1,1))-AVERAGE(OFFSET($H$3,0,0,'Données projet'!$E$10+1,1))</f>
        <v>211.73952357671845</v>
      </c>
      <c r="AO79" s="62">
        <f t="shared" si="90"/>
        <v>238.591781509447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24.835817883801312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1.4137380098802878E-5</v>
      </c>
      <c r="AX79" s="23">
        <f t="shared" si="60"/>
        <v>24.83583202118141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17</v>
      </c>
      <c r="BD79" s="13">
        <f>IF('Données projet'!$A$88&gt;35,BD78+BC79-BL78,IF(A79&lt;'Données projet'!$A$88,$BA$205^A79,IF(A79='Données projet'!$A$88,'Données projet'!$B$88,BD78+BC79-BL78)))</f>
        <v>553.99999999999989</v>
      </c>
      <c r="BE79" s="14">
        <f>BD79*VLOOKUP('Données projet'!$B$11,Paramètres!$A$1:$I$89,3,0)*VLOOKUP('Données projet'!$B$11,Paramètres!$A$1:$I$89,5,0)</f>
        <v>259.27199999999993</v>
      </c>
      <c r="BF79" s="14">
        <f t="shared" si="91"/>
        <v>62.567172460757938</v>
      </c>
      <c r="BG79" s="22">
        <f t="shared" si="61"/>
        <v>560.53655870248667</v>
      </c>
      <c r="BH79" s="62">
        <f t="shared" si="62"/>
        <v>853.86989203581993</v>
      </c>
      <c r="BI79" s="62">
        <f ca="1">AVERAGE(OFFSET($BH$3,0,0,'Données projet'!$E$11+1,1))-AVERAGE(OFFSET($H$3,0,0,'Données projet'!$E$11+1,1))</f>
        <v>0</v>
      </c>
      <c r="BJ79" s="62">
        <f t="shared" si="92"/>
        <v>0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30.224873377271184</v>
      </c>
      <c r="BQ79" s="23">
        <f>EXP(-LN(2)/25)*BQ78+(1-EXP(-LN(2)/25))/(LN(2)/25)*Calculateur!BL79*Calculateur!BN79*VLOOKUP('Données projet'!$B$11,Paramètres!$A$1:$I$89,3,0)*0.475*44/12</f>
        <v>38.453570724823152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68.678444102094332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159.45415548295978</v>
      </c>
      <c r="T80" s="62">
        <f t="shared" si="88"/>
        <v>268.09398033989754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201.99999999999963</v>
      </c>
      <c r="AJ80" s="14">
        <f>AI80*VLOOKUP('Données projet'!$B$10,Paramètres!$A$1:$I$89,3,0)*VLOOKUP('Données projet'!$B$10,Paramètres!$A$1:$I$89,5,0)</f>
        <v>176.46719999999971</v>
      </c>
      <c r="AK80" s="14">
        <f t="shared" si="89"/>
        <v>44.53529882198935</v>
      </c>
      <c r="AL80" s="22">
        <f t="shared" si="58"/>
        <v>384.91268544829762</v>
      </c>
      <c r="AM80" s="62">
        <f t="shared" si="59"/>
        <v>678.24601878163094</v>
      </c>
      <c r="AN80" s="62">
        <f ca="1">AVERAGE(OFFSET($AM$3,0,0,'Données projet'!$E$10+1,1))-AVERAGE(OFFSET($H$3,0,0,'Données projet'!$E$10+1,1))</f>
        <v>211.73952357671845</v>
      </c>
      <c r="AO80" s="62">
        <f t="shared" si="90"/>
        <v>238.591781509447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24.348802643453102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9.9966373360752581E-6</v>
      </c>
      <c r="AX80" s="23">
        <f t="shared" si="60"/>
        <v>24.348812640090436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17</v>
      </c>
      <c r="BD80" s="13">
        <f>IF('Données projet'!$A$88&gt;35,BD79+BC80-BL79,IF(A80&lt;'Données projet'!$A$88,$BA$205^A80,IF(A80='Données projet'!$A$88,'Données projet'!$B$88,BD79+BC80-BL79)))</f>
        <v>570.99999999999989</v>
      </c>
      <c r="BE80" s="14">
        <f>BD80*VLOOKUP('Données projet'!$B$11,Paramètres!$A$1:$I$89,3,0)*VLOOKUP('Données projet'!$B$11,Paramètres!$A$1:$I$89,5,0)</f>
        <v>267.22799999999995</v>
      </c>
      <c r="BF80" s="14">
        <f t="shared" si="91"/>
        <v>64.260628062866161</v>
      </c>
      <c r="BG80" s="22">
        <f t="shared" si="61"/>
        <v>577.34269387615848</v>
      </c>
      <c r="BH80" s="62">
        <f t="shared" si="62"/>
        <v>870.67602720949185</v>
      </c>
      <c r="BI80" s="62">
        <f ca="1">AVERAGE(OFFSET($BH$3,0,0,'Données projet'!$E$11+1,1))-AVERAGE(OFFSET($H$3,0,0,'Données projet'!$E$11+1,1))</f>
        <v>0</v>
      </c>
      <c r="BJ80" s="62">
        <f t="shared" si="92"/>
        <v>0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29.632182045695316</v>
      </c>
      <c r="BQ80" s="23">
        <f>EXP(-LN(2)/25)*BQ79+(1-EXP(-LN(2)/25))/(LN(2)/25)*Calculateur!BL80*Calculateur!BN80*VLOOKUP('Données projet'!$B$11,Paramètres!$A$1:$I$89,3,0)*0.475*44/12</f>
        <v>37.402055811167465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67.034237856862774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159.45415548295978</v>
      </c>
      <c r="T81" s="62">
        <f t="shared" si="88"/>
        <v>268.09398033989754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204.99999999999963</v>
      </c>
      <c r="AJ81" s="14">
        <f>AI81*VLOOKUP('Données projet'!$B$10,Paramètres!$A$1:$I$89,3,0)*VLOOKUP('Données projet'!$B$10,Paramètres!$A$1:$I$89,5,0)</f>
        <v>179.08799999999968</v>
      </c>
      <c r="AK81" s="14">
        <f t="shared" si="89"/>
        <v>45.119223023956756</v>
      </c>
      <c r="AL81" s="22">
        <f t="shared" si="58"/>
        <v>390.49424676672407</v>
      </c>
      <c r="AM81" s="62">
        <f t="shared" si="59"/>
        <v>683.82758010005739</v>
      </c>
      <c r="AN81" s="62">
        <f ca="1">AVERAGE(OFFSET($AM$3,0,0,'Données projet'!$E$10+1,1))-AVERAGE(OFFSET($H$3,0,0,'Données projet'!$E$10+1,1))</f>
        <v>211.73952357671845</v>
      </c>
      <c r="AO81" s="62">
        <f t="shared" si="90"/>
        <v>238.591781509447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23.871337474918153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7.068690049401439E-6</v>
      </c>
      <c r="AX81" s="23">
        <f t="shared" si="60"/>
        <v>23.871344543608203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17</v>
      </c>
      <c r="BD81" s="13">
        <f>IF('Données projet'!$A$88&gt;35,BD80+BC81-BL80,IF(A81&lt;'Données projet'!$A$88,$BA$205^A81,IF(A81='Données projet'!$A$88,'Données projet'!$B$88,BD80+BC81-BL80)))</f>
        <v>587.99999999999989</v>
      </c>
      <c r="BE81" s="14">
        <f>BD81*VLOOKUP('Données projet'!$B$11,Paramètres!$A$1:$I$89,3,0)*VLOOKUP('Données projet'!$B$11,Paramètres!$A$1:$I$89,5,0)</f>
        <v>275.18399999999997</v>
      </c>
      <c r="BF81" s="14">
        <f t="shared" si="91"/>
        <v>65.948224238651079</v>
      </c>
      <c r="BG81" s="22">
        <f t="shared" si="61"/>
        <v>594.13862388231712</v>
      </c>
      <c r="BH81" s="62">
        <f t="shared" si="62"/>
        <v>887.47195721565049</v>
      </c>
      <c r="BI81" s="62">
        <f ca="1">AVERAGE(OFFSET($BH$3,0,0,'Données projet'!$E$11+1,1))-AVERAGE(OFFSET($H$3,0,0,'Données projet'!$E$11+1,1))</f>
        <v>0</v>
      </c>
      <c r="BJ81" s="62">
        <f t="shared" si="92"/>
        <v>0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29.051113029625636</v>
      </c>
      <c r="BQ81" s="23">
        <f>EXP(-LN(2)/25)*BQ80+(1-EXP(-LN(2)/25))/(LN(2)/25)*Calculateur!BL81*Calculateur!BN81*VLOOKUP('Données projet'!$B$11,Paramètres!$A$1:$I$89,3,0)*0.475*44/12</f>
        <v>36.379294628122459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65.430407657748091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159.45415548295978</v>
      </c>
      <c r="T82" s="62">
        <f t="shared" si="88"/>
        <v>268.09398033989754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207.99999999999963</v>
      </c>
      <c r="AJ82" s="14">
        <f>AI82*VLOOKUP('Données projet'!$B$10,Paramètres!$A$1:$I$89,3,0)*VLOOKUP('Données projet'!$B$10,Paramètres!$A$1:$I$89,5,0)</f>
        <v>181.70879999999971</v>
      </c>
      <c r="AK82" s="14">
        <f t="shared" si="89"/>
        <v>45.702153370067727</v>
      </c>
      <c r="AL82" s="22">
        <f t="shared" si="58"/>
        <v>396.07407711953414</v>
      </c>
      <c r="AM82" s="62">
        <f t="shared" si="59"/>
        <v>689.40741045286745</v>
      </c>
      <c r="AN82" s="62">
        <f ca="1">AVERAGE(OFFSET($AM$3,0,0,'Données projet'!$E$10+1,1))-AVERAGE(OFFSET($H$3,0,0,'Données projet'!$E$10+1,1))</f>
        <v>211.73952357671845</v>
      </c>
      <c r="AO82" s="62">
        <f t="shared" si="90"/>
        <v>238.591781509447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23.403235107113179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4.998318668037629E-6</v>
      </c>
      <c r="AX82" s="23">
        <f t="shared" si="60"/>
        <v>23.403240105431848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17</v>
      </c>
      <c r="BD82" s="13">
        <f>IF('Données projet'!$A$88&gt;35,BD81+BC82-BL81,IF(A82&lt;'Données projet'!$A$88,$BA$205^A82,IF(A82='Données projet'!$A$88,'Données projet'!$B$88,BD81+BC82-BL81)))</f>
        <v>604.99999999999989</v>
      </c>
      <c r="BE82" s="14">
        <f>BD82*VLOOKUP('Données projet'!$B$11,Paramètres!$A$1:$I$89,3,0)*VLOOKUP('Données projet'!$B$11,Paramètres!$A$1:$I$89,5,0)</f>
        <v>283.13999999999993</v>
      </c>
      <c r="BF82" s="14">
        <f t="shared" si="91"/>
        <v>67.630149847511944</v>
      </c>
      <c r="BG82" s="22">
        <f t="shared" si="61"/>
        <v>610.92467765108313</v>
      </c>
      <c r="BH82" s="62">
        <f t="shared" si="62"/>
        <v>904.25801098441639</v>
      </c>
      <c r="BI82" s="62">
        <f ca="1">AVERAGE(OFFSET($BH$3,0,0,'Données projet'!$E$11+1,1))-AVERAGE(OFFSET($H$3,0,0,'Données projet'!$E$11+1,1))</f>
        <v>0</v>
      </c>
      <c r="BJ82" s="62">
        <f t="shared" si="92"/>
        <v>0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28.481438422543977</v>
      </c>
      <c r="BQ82" s="23">
        <f>EXP(-LN(2)/25)*BQ81+(1-EXP(-LN(2)/25))/(LN(2)/25)*Calculateur!BL82*Calculateur!BN82*VLOOKUP('Données projet'!$B$11,Paramètres!$A$1:$I$89,3,0)*0.475*44/12</f>
        <v>35.384500903412494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63.865939325956475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159.45415548295978</v>
      </c>
      <c r="T83" s="62">
        <f t="shared" si="88"/>
        <v>268.09398033989754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211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210.99999999999963</v>
      </c>
      <c r="AJ83" s="14">
        <f>AI83*VLOOKUP('Données projet'!$B$10,Paramètres!$A$1:$I$89,3,0)*VLOOKUP('Données projet'!$B$10,Paramètres!$A$1:$I$89,5,0)</f>
        <v>184.32959999999969</v>
      </c>
      <c r="AK83" s="14">
        <f t="shared" si="89"/>
        <v>46.284105851002977</v>
      </c>
      <c r="AL83" s="22">
        <f t="shared" si="58"/>
        <v>401.65220435716293</v>
      </c>
      <c r="AM83" s="62">
        <f t="shared" si="59"/>
        <v>694.98553769049624</v>
      </c>
      <c r="AN83" s="62">
        <f ca="1">AVERAGE(OFFSET($AM$3,0,0,'Données projet'!$E$10+1,1))-AVERAGE(OFFSET($H$3,0,0,'Données projet'!$E$10+1,1))</f>
        <v>211.73952357671845</v>
      </c>
      <c r="AO83" s="62">
        <f t="shared" si="90"/>
        <v>238.591781509447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11</v>
      </c>
      <c r="AR83" s="17">
        <f>IF(ISNA(VLOOKUP(A83,'Données projet'!$A$61:$I$81,5,0)),0%,VLOOKUP(A83,'Données projet'!$A$61:$I$81,5,0)*VLOOKUP('Données projet'!$B$10,Paramètres!$A$1:$I$89,7,0))</f>
        <v>0.32250000000000001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26.370270772555656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3.5343450247007195E-6</v>
      </c>
      <c r="AX83" s="23">
        <f t="shared" si="60"/>
        <v>26.370274306900683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622</v>
      </c>
      <c r="BB83" s="13">
        <f>VLOOKUP(A83,'Données projet'!$A$87:$I$107,9,0)</f>
        <v>17</v>
      </c>
      <c r="BC83" s="13">
        <f t="array" ref="BC83">INDEX(BB:BB,MIN(IF(ISNUMBER(BB83:BB279),ROW(BB83:BB279),"")))</f>
        <v>17</v>
      </c>
      <c r="BD83" s="13">
        <f>IF('Données projet'!$A$88&gt;35,BD82+BC83-BL82,IF(A83&lt;'Données projet'!$A$88,$BA$205^A83,IF(A83='Données projet'!$A$88,'Données projet'!$B$88,BD82+BC83-BL82)))</f>
        <v>621.99999999999989</v>
      </c>
      <c r="BE83" s="14">
        <f>BD83*VLOOKUP('Données projet'!$B$11,Paramètres!$A$1:$I$89,3,0)*VLOOKUP('Données projet'!$B$11,Paramètres!$A$1:$I$89,5,0)</f>
        <v>291.09599999999995</v>
      </c>
      <c r="BF83" s="14">
        <f t="shared" si="91"/>
        <v>69.306582531434373</v>
      </c>
      <c r="BG83" s="22">
        <f t="shared" si="61"/>
        <v>627.7011645755814</v>
      </c>
      <c r="BH83" s="62">
        <f t="shared" si="62"/>
        <v>921.03449790891477</v>
      </c>
      <c r="BI83" s="62">
        <f ca="1">AVERAGE(OFFSET($BH$3,0,0,'Données projet'!$E$11+1,1))-AVERAGE(OFFSET($H$3,0,0,'Données projet'!$E$11+1,1))</f>
        <v>0</v>
      </c>
      <c r="BJ83" s="62">
        <f t="shared" si="92"/>
        <v>0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124</v>
      </c>
      <c r="BM83" s="17">
        <f>IF(ISNA(VLOOKUP(A83,'Données projet'!$A$87:$I$107,5,0)),0%,VLOOKUP(A83,'Données projet'!$A$87:$I$107,5,0)*VLOOKUP('Données projet'!$B$11,Paramètres!$A$1:$I$89,7,0))</f>
        <v>0.33</v>
      </c>
      <c r="BN83" s="17">
        <f>IF(ISNA(VLOOKUP(A83,'Données projet'!$A$87:$I$107,6,0)),0%,VLOOKUP(A83,'Données projet'!$A$87:$I$107,6,0)*VLOOKUP('Données projet'!$B$11,Paramètres!$A$1:$I$89,7,0))</f>
        <v>0.22000000000000003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53.327386984802231</v>
      </c>
      <c r="BQ83" s="23">
        <f>EXP(-LN(2)/25)*BQ82+(1-EXP(-LN(2)/25))/(LN(2)/25)*Calculateur!BL83*Calculateur!BN83*VLOOKUP('Données projet'!$B$11,Paramètres!$A$1:$I$89,3,0)*0.475*44/12</f>
        <v>51.286526658488299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104.61391364329053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159.45415548295978</v>
      </c>
      <c r="T84" s="62">
        <f t="shared" si="88"/>
        <v>268.09398033989754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2.6</v>
      </c>
      <c r="AI84" s="14">
        <f>IF('Données projet'!$A$62&gt;35,AI83+AH84-AQ83,IF(A84&lt;'Données projet'!$A$62,$AF$205^A84,IF(A84='Données projet'!$A$62,'Données projet'!$B$62,AI83+AH84-AQ83)))</f>
        <v>202.59999999999962</v>
      </c>
      <c r="AJ84" s="14">
        <f>AI84*VLOOKUP('Données projet'!$B$10,Paramètres!$A$1:$I$89,3,0)*VLOOKUP('Données projet'!$B$10,Paramètres!$A$1:$I$89,5,0)</f>
        <v>176.9913599999997</v>
      </c>
      <c r="AK84" s="14">
        <f t="shared" si="89"/>
        <v>44.65216395512175</v>
      </c>
      <c r="AL84" s="22">
        <f t="shared" si="58"/>
        <v>386.02913755516988</v>
      </c>
      <c r="AM84" s="62">
        <f t="shared" si="59"/>
        <v>679.36247088850314</v>
      </c>
      <c r="AN84" s="62">
        <f ca="1">AVERAGE(OFFSET($AM$3,0,0,'Données projet'!$E$10+1,1))-AVERAGE(OFFSET($H$3,0,0,'Données projet'!$E$10+1,1))</f>
        <v>211.73952357671845</v>
      </c>
      <c r="AO84" s="62">
        <f t="shared" si="90"/>
        <v>238.591781509447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25.853165846982822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2.4991593340188145E-6</v>
      </c>
      <c r="AX84" s="23">
        <f t="shared" si="60"/>
        <v>25.853168346142155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17.5</v>
      </c>
      <c r="BD84" s="13">
        <f>IF('Données projet'!$A$88&gt;35,BD83+BC84-BL83,IF(A84&lt;'Données projet'!$A$88,$BA$205^A84,IF(A84='Données projet'!$A$88,'Données projet'!$B$88,BD83+BC84-BL83)))</f>
        <v>515.49999999999989</v>
      </c>
      <c r="BE84" s="14">
        <f>BD84*VLOOKUP('Données projet'!$B$11,Paramètres!$A$1:$I$89,3,0)*VLOOKUP('Données projet'!$B$11,Paramètres!$A$1:$I$89,5,0)</f>
        <v>241.25399999999996</v>
      </c>
      <c r="BF84" s="14">
        <f t="shared" si="91"/>
        <v>58.70925280391986</v>
      </c>
      <c r="BG84" s="22">
        <f t="shared" si="61"/>
        <v>522.43599863349357</v>
      </c>
      <c r="BH84" s="62">
        <f t="shared" si="62"/>
        <v>815.76933196682694</v>
      </c>
      <c r="BI84" s="62">
        <f ca="1">AVERAGE(OFFSET($BH$3,0,0,'Données projet'!$E$11+1,1))-AVERAGE(OFFSET($H$3,0,0,'Données projet'!$E$11+1,1))</f>
        <v>0</v>
      </c>
      <c r="BJ84" s="62">
        <f t="shared" si="92"/>
        <v>0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52.281669452524596</v>
      </c>
      <c r="BQ84" s="23">
        <f>EXP(-LN(2)/25)*BQ83+(1-EXP(-LN(2)/25))/(LN(2)/25)*Calculateur!BL84*Calculateur!BN84*VLOOKUP('Données projet'!$B$11,Paramètres!$A$1:$I$89,3,0)*0.475*44/12</f>
        <v>49.884093889970714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102.16576334249531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159.45415548295978</v>
      </c>
      <c r="T85" s="62">
        <f t="shared" si="88"/>
        <v>268.09398033989754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2.6</v>
      </c>
      <c r="AI85" s="14">
        <f>IF('Données projet'!$A$62&gt;35,AI84+AH85-AQ84,IF(A85&lt;'Données projet'!$A$62,$AF$205^A85,IF(A85='Données projet'!$A$62,'Données projet'!$B$62,AI84+AH85-AQ84)))</f>
        <v>205.19999999999962</v>
      </c>
      <c r="AJ85" s="14">
        <f>AI85*VLOOKUP('Données projet'!$B$10,Paramètres!$A$1:$I$89,3,0)*VLOOKUP('Données projet'!$B$10,Paramètres!$A$1:$I$89,5,0)</f>
        <v>179.26271999999969</v>
      </c>
      <c r="AK85" s="14">
        <f t="shared" si="89"/>
        <v>45.158115787467068</v>
      </c>
      <c r="AL85" s="22">
        <f t="shared" si="58"/>
        <v>390.86628899650458</v>
      </c>
      <c r="AM85" s="62">
        <f t="shared" si="59"/>
        <v>684.19962232983789</v>
      </c>
      <c r="AN85" s="62">
        <f ca="1">AVERAGE(OFFSET($AM$3,0,0,'Données projet'!$E$10+1,1))-AVERAGE(OFFSET($H$3,0,0,'Données projet'!$E$10+1,1))</f>
        <v>211.73952357671845</v>
      </c>
      <c r="AO85" s="62">
        <f t="shared" si="90"/>
        <v>238.591781509447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25.346201033597609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1.7671725123503597E-6</v>
      </c>
      <c r="AX85" s="23">
        <f t="shared" si="60"/>
        <v>25.346202800770122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17.5</v>
      </c>
      <c r="BD85" s="13">
        <f>IF('Données projet'!$A$88&gt;35,BD84+BC85-BL84,IF(A85&lt;'Données projet'!$A$88,$BA$205^A85,IF(A85='Données projet'!$A$88,'Données projet'!$B$88,BD84+BC85-BL84)))</f>
        <v>532.99999999999989</v>
      </c>
      <c r="BE85" s="14">
        <f>BD85*VLOOKUP('Données projet'!$B$11,Paramètres!$A$1:$I$89,3,0)*VLOOKUP('Données projet'!$B$11,Paramètres!$A$1:$I$89,5,0)</f>
        <v>249.44399999999993</v>
      </c>
      <c r="BF85" s="14">
        <f t="shared" si="91"/>
        <v>60.466866397117599</v>
      </c>
      <c r="BG85" s="22">
        <f t="shared" si="61"/>
        <v>539.76142564164627</v>
      </c>
      <c r="BH85" s="62">
        <f t="shared" si="62"/>
        <v>833.09475897497964</v>
      </c>
      <c r="BI85" s="62">
        <f ca="1">AVERAGE(OFFSET($BH$3,0,0,'Données projet'!$E$11+1,1))-AVERAGE(OFFSET($H$3,0,0,'Données projet'!$E$11+1,1))</f>
        <v>0</v>
      </c>
      <c r="BJ85" s="62">
        <f t="shared" si="92"/>
        <v>0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51.256457803230212</v>
      </c>
      <c r="BQ85" s="23">
        <f>EXP(-LN(2)/25)*BQ84+(1-EXP(-LN(2)/25))/(LN(2)/25)*Calculateur!BL85*Calculateur!BN85*VLOOKUP('Données projet'!$B$11,Paramètres!$A$1:$I$89,3,0)*0.475*44/12</f>
        <v>48.520010719258977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99.776468522489182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159.45415548295978</v>
      </c>
      <c r="T86" s="62">
        <f t="shared" si="88"/>
        <v>268.09398033989754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2.6</v>
      </c>
      <c r="AI86" s="14">
        <f>IF('Données projet'!$A$62&gt;35,AI85+AH86-AQ85,IF(A86&lt;'Données projet'!$A$62,$AF$205^A86,IF(A86='Données projet'!$A$62,'Données projet'!$B$62,AI85+AH86-AQ85)))</f>
        <v>207.79999999999961</v>
      </c>
      <c r="AJ86" s="14">
        <f>AI86*VLOOKUP('Données projet'!$B$10,Paramètres!$A$1:$I$89,3,0)*VLOOKUP('Données projet'!$B$10,Paramètres!$A$1:$I$89,5,0)</f>
        <v>181.53407999999968</v>
      </c>
      <c r="AK86" s="14">
        <f t="shared" si="89"/>
        <v>45.663321943731816</v>
      </c>
      <c r="AL86" s="22">
        <f t="shared" si="58"/>
        <v>395.7021417186657</v>
      </c>
      <c r="AM86" s="62">
        <f t="shared" si="59"/>
        <v>689.03547505199901</v>
      </c>
      <c r="AN86" s="62">
        <f ca="1">AVERAGE(OFFSET($AM$3,0,0,'Données projet'!$E$10+1,1))-AVERAGE(OFFSET($H$3,0,0,'Données projet'!$E$10+1,1))</f>
        <v>211.73952357671845</v>
      </c>
      <c r="AO86" s="62">
        <f t="shared" si="90"/>
        <v>238.591781509447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24.849177490984875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1.2495796670094073E-6</v>
      </c>
      <c r="AX86" s="23">
        <f t="shared" si="60"/>
        <v>24.849178740564543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17.5</v>
      </c>
      <c r="BD86" s="13">
        <f>IF('Données projet'!$A$88&gt;35,BD85+BC86-BL85,IF(A86&lt;'Données projet'!$A$88,$BA$205^A86,IF(A86='Données projet'!$A$88,'Données projet'!$B$88,BD85+BC86-BL85)))</f>
        <v>550.49999999999989</v>
      </c>
      <c r="BE86" s="14">
        <f>BD86*VLOOKUP('Données projet'!$B$11,Paramètres!$A$1:$I$89,3,0)*VLOOKUP('Données projet'!$B$11,Paramètres!$A$1:$I$89,5,0)</f>
        <v>257.63399999999996</v>
      </c>
      <c r="BF86" s="14">
        <f t="shared" si="91"/>
        <v>62.217774353261795</v>
      </c>
      <c r="BG86" s="22">
        <f t="shared" si="61"/>
        <v>557.07517366526417</v>
      </c>
      <c r="BH86" s="62">
        <f t="shared" si="62"/>
        <v>850.40850699859743</v>
      </c>
      <c r="BI86" s="62">
        <f ca="1">AVERAGE(OFFSET($BH$3,0,0,'Données projet'!$E$11+1,1))-AVERAGE(OFFSET($H$3,0,0,'Données projet'!$E$11+1,1))</f>
        <v>0</v>
      </c>
      <c r="BJ86" s="62">
        <f t="shared" si="92"/>
        <v>0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50.251349929061128</v>
      </c>
      <c r="BQ86" s="23">
        <f>EXP(-LN(2)/25)*BQ85+(1-EXP(-LN(2)/25))/(LN(2)/25)*Calculateur!BL86*Calculateur!BN86*VLOOKUP('Données projet'!$B$11,Paramètres!$A$1:$I$89,3,0)*0.475*44/12</f>
        <v>47.193228474584373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97.444578403645494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159.45415548295978</v>
      </c>
      <c r="T87" s="62">
        <f t="shared" si="88"/>
        <v>268.09398033989754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2.6</v>
      </c>
      <c r="AI87" s="14">
        <f>IF('Données projet'!$A$62&gt;35,AI86+AH87-AQ86,IF(A87&lt;'Données projet'!$A$62,$AF$205^A87,IF(A87='Données projet'!$A$62,'Données projet'!$B$62,AI86+AH87-AQ86)))</f>
        <v>210.39999999999961</v>
      </c>
      <c r="AJ87" s="14">
        <f>AI87*VLOOKUP('Données projet'!$B$10,Paramètres!$A$1:$I$89,3,0)*VLOOKUP('Données projet'!$B$10,Paramètres!$A$1:$I$89,5,0)</f>
        <v>183.80543999999966</v>
      </c>
      <c r="AK87" s="14">
        <f t="shared" si="89"/>
        <v>46.167792832805951</v>
      </c>
      <c r="AL87" s="22">
        <f t="shared" si="58"/>
        <v>400.53671385046977</v>
      </c>
      <c r="AM87" s="62">
        <f t="shared" si="59"/>
        <v>693.87004718380308</v>
      </c>
      <c r="AN87" s="62">
        <f ca="1">AVERAGE(OFFSET($AM$3,0,0,'Données projet'!$E$10+1,1))-AVERAGE(OFFSET($H$3,0,0,'Données projet'!$E$10+1,1))</f>
        <v>211.73952357671845</v>
      </c>
      <c r="AO87" s="62">
        <f t="shared" si="90"/>
        <v>238.591781509447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24.361900276888353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8.8358625617517987E-7</v>
      </c>
      <c r="AX87" s="23">
        <f t="shared" si="60"/>
        <v>24.361901160474609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17.5</v>
      </c>
      <c r="BD87" s="13">
        <f>IF('Données projet'!$A$88&gt;35,BD86+BC87-BL86,IF(A87&lt;'Données projet'!$A$88,$BA$205^A87,IF(A87='Données projet'!$A$88,'Données projet'!$B$88,BD86+BC87-BL86)))</f>
        <v>567.99999999999989</v>
      </c>
      <c r="BE87" s="14">
        <f>BD87*VLOOKUP('Données projet'!$B$11,Paramètres!$A$1:$I$89,3,0)*VLOOKUP('Données projet'!$B$11,Paramètres!$A$1:$I$89,5,0)</f>
        <v>265.82399999999996</v>
      </c>
      <c r="BF87" s="14">
        <f t="shared" si="91"/>
        <v>63.962214293903529</v>
      </c>
      <c r="BG87" s="22">
        <f t="shared" si="61"/>
        <v>574.37765656188185</v>
      </c>
      <c r="BH87" s="62">
        <f t="shared" si="62"/>
        <v>867.71098989521511</v>
      </c>
      <c r="BI87" s="62">
        <f ca="1">AVERAGE(OFFSET($BH$3,0,0,'Données projet'!$E$11+1,1))-AVERAGE(OFFSET($H$3,0,0,'Données projet'!$E$11+1,1))</f>
        <v>0</v>
      </c>
      <c r="BJ87" s="62">
        <f t="shared" si="92"/>
        <v>0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49.265951607249228</v>
      </c>
      <c r="BQ87" s="23">
        <f>EXP(-LN(2)/25)*BQ86+(1-EXP(-LN(2)/25))/(LN(2)/25)*Calculateur!BL87*Calculateur!BN87*VLOOKUP('Données projet'!$B$11,Paramètres!$A$1:$I$89,3,0)*0.475*44/12</f>
        <v>45.90272716016284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95.168678767412075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159.45415548295978</v>
      </c>
      <c r="T88" s="62">
        <f t="shared" si="88"/>
        <v>268.09398033989754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213</v>
      </c>
      <c r="AG88" s="13">
        <f>VLOOKUP(A88,'Données projet'!$A$61:$I$81,9,0)</f>
        <v>2.6</v>
      </c>
      <c r="AH88" s="13">
        <f t="array" ref="AH88">INDEX(AG:AG,MIN(IF(ISNUMBER(AG88:AG284),ROW(AG88:AG284),"")))</f>
        <v>2.6</v>
      </c>
      <c r="AI88" s="14">
        <f>IF('Données projet'!$A$62&gt;35,AI87+AH88-AQ87,IF(A88&lt;'Données projet'!$A$62,$AF$205^A88,IF(A88='Données projet'!$A$62,'Données projet'!$B$62,AI87+AH88-AQ87)))</f>
        <v>212.9999999999996</v>
      </c>
      <c r="AJ88" s="14">
        <f>AI88*VLOOKUP('Données projet'!$B$10,Paramètres!$A$1:$I$89,3,0)*VLOOKUP('Données projet'!$B$10,Paramètres!$A$1:$I$89,5,0)</f>
        <v>186.07679999999968</v>
      </c>
      <c r="AK88" s="14">
        <f t="shared" si="89"/>
        <v>46.671538591528588</v>
      </c>
      <c r="AL88" s="22">
        <f t="shared" si="58"/>
        <v>405.37002304691168</v>
      </c>
      <c r="AM88" s="62">
        <f t="shared" si="59"/>
        <v>698.70335638024494</v>
      </c>
      <c r="AN88" s="62">
        <f ca="1">AVERAGE(OFFSET($AM$3,0,0,'Données projet'!$E$10+1,1))-AVERAGE(OFFSET($H$3,0,0,'Données projet'!$E$10+1,1))</f>
        <v>211.73952357671845</v>
      </c>
      <c r="AO88" s="62">
        <f t="shared" si="90"/>
        <v>238.591781509447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10</v>
      </c>
      <c r="AR88" s="17">
        <f>IF(ISNA(VLOOKUP(A88,'Données projet'!$A$61:$I$81,5,0)),0%,VLOOKUP(A88,'Données projet'!$A$61:$I$81,5,0)*VLOOKUP('Données projet'!$B$10,Paramètres!$A$1:$I$89,7,0))</f>
        <v>0.32250000000000001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26.998686300231459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6.2478983350470363E-7</v>
      </c>
      <c r="AX88" s="23">
        <f t="shared" si="60"/>
        <v>26.998686925021293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17.5</v>
      </c>
      <c r="BD88" s="13">
        <f>IF('Données projet'!$A$88&gt;35,BD87+BC88-BL87,IF(A88&lt;'Données projet'!$A$88,$BA$205^A88,IF(A88='Données projet'!$A$88,'Données projet'!$B$88,BD87+BC88-BL87)))</f>
        <v>585.49999999999989</v>
      </c>
      <c r="BE88" s="14">
        <f>BD88*VLOOKUP('Données projet'!$B$11,Paramètres!$A$1:$I$89,3,0)*VLOOKUP('Données projet'!$B$11,Paramètres!$A$1:$I$89,5,0)</f>
        <v>274.01399999999995</v>
      </c>
      <c r="BF88" s="14">
        <f t="shared" si="91"/>
        <v>65.700408366571935</v>
      </c>
      <c r="BG88" s="22">
        <f t="shared" si="61"/>
        <v>591.66926123844598</v>
      </c>
      <c r="BH88" s="62">
        <f t="shared" si="62"/>
        <v>885.00259457177935</v>
      </c>
      <c r="BI88" s="62">
        <f ca="1">AVERAGE(OFFSET($BH$3,0,0,'Données projet'!$E$11+1,1))-AVERAGE(OFFSET($H$3,0,0,'Données projet'!$E$11+1,1))</f>
        <v>0</v>
      </c>
      <c r="BJ88" s="62">
        <f t="shared" si="92"/>
        <v>0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48.299876345494432</v>
      </c>
      <c r="BQ88" s="23">
        <f>EXP(-LN(2)/25)*BQ87+(1-EXP(-LN(2)/25))/(LN(2)/25)*Calculateur!BL88*Calculateur!BN88*VLOOKUP('Données projet'!$B$11,Paramètres!$A$1:$I$89,3,0)*0.475*44/12</f>
        <v>44.647514672048679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92.947391017543112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159.45415548295978</v>
      </c>
      <c r="T89" s="62">
        <f t="shared" si="88"/>
        <v>268.09398033989754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2.4</v>
      </c>
      <c r="AI89" s="14">
        <f>IF('Données projet'!$A$62&gt;35,AI88+AH89-AQ88,IF(A89&lt;'Données projet'!$A$62,$AF$205^A89,IF(A89='Données projet'!$A$62,'Données projet'!$B$62,AI88+AH89-AQ88)))</f>
        <v>205.39999999999961</v>
      </c>
      <c r="AJ89" s="14">
        <f>AI89*VLOOKUP('Données projet'!$B$10,Paramètres!$A$1:$I$89,3,0)*VLOOKUP('Données projet'!$B$10,Paramètres!$A$1:$I$89,5,0)</f>
        <v>179.43743999999967</v>
      </c>
      <c r="AK89" s="14">
        <f t="shared" si="89"/>
        <v>45.197004138831538</v>
      </c>
      <c r="AL89" s="22">
        <f t="shared" si="58"/>
        <v>391.23832354179763</v>
      </c>
      <c r="AM89" s="62">
        <f t="shared" si="59"/>
        <v>684.57165687513088</v>
      </c>
      <c r="AN89" s="62">
        <f ca="1">AVERAGE(OFFSET($AM$3,0,0,'Données projet'!$E$10+1,1))-AVERAGE(OFFSET($H$3,0,0,'Données projet'!$E$10+1,1))</f>
        <v>211.73952357671845</v>
      </c>
      <c r="AO89" s="62">
        <f t="shared" si="90"/>
        <v>238.591781509447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26.469258529456525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4.4179312808758994E-7</v>
      </c>
      <c r="AX89" s="23">
        <f t="shared" si="60"/>
        <v>26.469258971249651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17.5</v>
      </c>
      <c r="BD89" s="13">
        <f>IF('Données projet'!$A$88&gt;35,BD88+BC89-BL88,IF(A89&lt;'Données projet'!$A$88,$BA$205^A89,IF(A89='Données projet'!$A$88,'Données projet'!$B$88,BD88+BC89-BL88)))</f>
        <v>602.99999999999989</v>
      </c>
      <c r="BE89" s="14">
        <f>BD89*VLOOKUP('Données projet'!$B$11,Paramètres!$A$1:$I$89,3,0)*VLOOKUP('Données projet'!$B$11,Paramètres!$A$1:$I$89,5,0)</f>
        <v>282.20399999999995</v>
      </c>
      <c r="BF89" s="14">
        <f t="shared" si="91"/>
        <v>67.432564684485186</v>
      </c>
      <c r="BG89" s="22">
        <f t="shared" si="61"/>
        <v>608.9503501588116</v>
      </c>
      <c r="BH89" s="62">
        <f t="shared" si="62"/>
        <v>902.28368349214497</v>
      </c>
      <c r="BI89" s="62">
        <f ca="1">AVERAGE(OFFSET($BH$3,0,0,'Données projet'!$E$11+1,1))-AVERAGE(OFFSET($H$3,0,0,'Données projet'!$E$11+1,1))</f>
        <v>0</v>
      </c>
      <c r="BJ89" s="62">
        <f t="shared" si="92"/>
        <v>0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47.352745230374921</v>
      </c>
      <c r="BQ89" s="23">
        <f>EXP(-LN(2)/25)*BQ88+(1-EXP(-LN(2)/25))/(LN(2)/25)*Calculateur!BL89*Calculateur!BN89*VLOOKUP('Données projet'!$B$11,Paramètres!$A$1:$I$89,3,0)*0.475*44/12</f>
        <v>43.426626035430758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90.779371265805679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159.45415548295978</v>
      </c>
      <c r="T90" s="62">
        <f t="shared" si="88"/>
        <v>268.09398033989754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2.4</v>
      </c>
      <c r="AI90" s="14">
        <f>IF('Données projet'!$A$62&gt;35,AI89+AH90-AQ89,IF(A90&lt;'Données projet'!$A$62,$AF$205^A90,IF(A90='Données projet'!$A$62,'Données projet'!$B$62,AI89+AH90-AQ89)))</f>
        <v>207.79999999999961</v>
      </c>
      <c r="AJ90" s="14">
        <f>AI90*VLOOKUP('Données projet'!$B$10,Paramètres!$A$1:$I$89,3,0)*VLOOKUP('Données projet'!$B$10,Paramètres!$A$1:$I$89,5,0)</f>
        <v>181.53407999999968</v>
      </c>
      <c r="AK90" s="14">
        <f t="shared" si="89"/>
        <v>45.663321943731816</v>
      </c>
      <c r="AL90" s="22">
        <f t="shared" si="58"/>
        <v>395.7021417186657</v>
      </c>
      <c r="AM90" s="62">
        <f t="shared" si="59"/>
        <v>689.03547505199901</v>
      </c>
      <c r="AN90" s="62">
        <f ca="1">AVERAGE(OFFSET($AM$3,0,0,'Données projet'!$E$10+1,1))-AVERAGE(OFFSET($H$3,0,0,'Données projet'!$E$10+1,1))</f>
        <v>211.73952357671845</v>
      </c>
      <c r="AO90" s="62">
        <f t="shared" si="90"/>
        <v>238.591781509447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25.950212514347434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3.1239491675235182E-7</v>
      </c>
      <c r="AX90" s="23">
        <f t="shared" si="60"/>
        <v>25.950212826742352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17.5</v>
      </c>
      <c r="BD90" s="13">
        <f>IF('Données projet'!$A$88&gt;35,BD89+BC90-BL89,IF(A90&lt;'Données projet'!$A$88,$BA$205^A90,IF(A90='Données projet'!$A$88,'Données projet'!$B$88,BD89+BC90-BL89)))</f>
        <v>620.49999999999989</v>
      </c>
      <c r="BE90" s="14">
        <f>BD90*VLOOKUP('Données projet'!$B$11,Paramètres!$A$1:$I$89,3,0)*VLOOKUP('Données projet'!$B$11,Paramètres!$A$1:$I$89,5,0)</f>
        <v>290.39399999999995</v>
      </c>
      <c r="BF90" s="14">
        <f t="shared" si="91"/>
        <v>69.158878594433091</v>
      </c>
      <c r="BG90" s="22">
        <f t="shared" si="61"/>
        <v>626.22126355197076</v>
      </c>
      <c r="BH90" s="62">
        <f t="shared" si="62"/>
        <v>919.55459688530414</v>
      </c>
      <c r="BI90" s="62">
        <f ca="1">AVERAGE(OFFSET($BH$3,0,0,'Données projet'!$E$11+1,1))-AVERAGE(OFFSET($H$3,0,0,'Données projet'!$E$11+1,1))</f>
        <v>0</v>
      </c>
      <c r="BJ90" s="62">
        <f t="shared" si="92"/>
        <v>0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46.424186778729968</v>
      </c>
      <c r="BQ90" s="23">
        <f>EXP(-LN(2)/25)*BQ89+(1-EXP(-LN(2)/25))/(LN(2)/25)*Calculateur!BL90*Calculateur!BN90*VLOOKUP('Données projet'!$B$11,Paramètres!$A$1:$I$89,3,0)*0.475*44/12</f>
        <v>42.239122662784894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88.663309441514855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159.45415548295978</v>
      </c>
      <c r="T91" s="62">
        <f t="shared" si="88"/>
        <v>268.09398033989754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2.4</v>
      </c>
      <c r="AI91" s="14">
        <f>IF('Données projet'!$A$62&gt;35,AI90+AH91-AQ90,IF(A91&lt;'Données projet'!$A$62,$AF$205^A91,IF(A91='Données projet'!$A$62,'Données projet'!$B$62,AI90+AH91-AQ90)))</f>
        <v>210.19999999999962</v>
      </c>
      <c r="AJ91" s="14">
        <f>AI91*VLOOKUP('Données projet'!$B$10,Paramètres!$A$1:$I$89,3,0)*VLOOKUP('Données projet'!$B$10,Paramètres!$A$1:$I$89,5,0)</f>
        <v>183.63071999999971</v>
      </c>
      <c r="AK91" s="14">
        <f t="shared" si="89"/>
        <v>46.129013251634404</v>
      </c>
      <c r="AL91" s="22">
        <f t="shared" si="58"/>
        <v>400.16486874659608</v>
      </c>
      <c r="AM91" s="62">
        <f t="shared" si="59"/>
        <v>693.49820207992934</v>
      </c>
      <c r="AN91" s="62">
        <f ca="1">AVERAGE(OFFSET($AM$3,0,0,'Données projet'!$E$10+1,1))-AVERAGE(OFFSET($H$3,0,0,'Données projet'!$E$10+1,1))</f>
        <v>211.73952357671845</v>
      </c>
      <c r="AO91" s="62">
        <f t="shared" si="90"/>
        <v>238.591781509447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25.441344675007823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2.2089656404379497E-7</v>
      </c>
      <c r="AX91" s="23">
        <f t="shared" si="60"/>
        <v>25.441344895904386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17.5</v>
      </c>
      <c r="BD91" s="13">
        <f>IF('Données projet'!$A$88&gt;35,BD90+BC91-BL90,IF(A91&lt;'Données projet'!$A$88,$BA$205^A91,IF(A91='Données projet'!$A$88,'Données projet'!$B$88,BD90+BC91-BL90)))</f>
        <v>637.99999999999989</v>
      </c>
      <c r="BE91" s="14">
        <f>BD91*VLOOKUP('Données projet'!$B$11,Paramètres!$A$1:$I$89,3,0)*VLOOKUP('Données projet'!$B$11,Paramètres!$A$1:$I$89,5,0)</f>
        <v>298.58399999999995</v>
      </c>
      <c r="BF91" s="14">
        <f t="shared" si="91"/>
        <v>70.879533797607607</v>
      </c>
      <c r="BG91" s="22">
        <f t="shared" si="61"/>
        <v>643.48232136416652</v>
      </c>
      <c r="BH91" s="62">
        <f t="shared" si="62"/>
        <v>936.81565469749989</v>
      </c>
      <c r="BI91" s="62">
        <f ca="1">AVERAGE(OFFSET($BH$3,0,0,'Données projet'!$E$11+1,1))-AVERAGE(OFFSET($H$3,0,0,'Données projet'!$E$11+1,1))</f>
        <v>0</v>
      </c>
      <c r="BJ91" s="62">
        <f t="shared" si="92"/>
        <v>0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45.51383679195704</v>
      </c>
      <c r="BQ91" s="23">
        <f>EXP(-LN(2)/25)*BQ90+(1-EXP(-LN(2)/25))/(LN(2)/25)*Calculateur!BL91*Calculateur!BN91*VLOOKUP('Données projet'!$B$11,Paramètres!$A$1:$I$89,3,0)*0.475*44/12</f>
        <v>41.084091632312116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86.597928424269156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159.45415548295978</v>
      </c>
      <c r="T92" s="62">
        <f t="shared" si="88"/>
        <v>268.09398033989754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2.4</v>
      </c>
      <c r="AI92" s="14">
        <f>IF('Données projet'!$A$62&gt;35,AI91+AH92-AQ91,IF(A92&lt;'Données projet'!$A$62,$AF$205^A92,IF(A92='Données projet'!$A$62,'Données projet'!$B$62,AI91+AH92-AQ91)))</f>
        <v>212.59999999999962</v>
      </c>
      <c r="AJ92" s="14">
        <f>AI92*VLOOKUP('Données projet'!$B$10,Paramètres!$A$1:$I$89,3,0)*VLOOKUP('Données projet'!$B$10,Paramètres!$A$1:$I$89,5,0)</f>
        <v>185.72735999999969</v>
      </c>
      <c r="AK92" s="14">
        <f t="shared" si="89"/>
        <v>46.594086043363717</v>
      </c>
      <c r="AL92" s="22">
        <f t="shared" si="58"/>
        <v>404.62651852552455</v>
      </c>
      <c r="AM92" s="62">
        <f t="shared" si="59"/>
        <v>697.95985185885786</v>
      </c>
      <c r="AN92" s="62">
        <f ca="1">AVERAGE(OFFSET($AM$3,0,0,'Données projet'!$E$10+1,1))-AVERAGE(OFFSET($H$3,0,0,'Données projet'!$E$10+1,1))</f>
        <v>211.73952357671845</v>
      </c>
      <c r="AO92" s="62">
        <f t="shared" si="90"/>
        <v>238.591781509447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24.942455423618927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1.5619745837617591E-7</v>
      </c>
      <c r="AX92" s="23">
        <f t="shared" si="60"/>
        <v>24.942455579816386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17.5</v>
      </c>
      <c r="BD92" s="13">
        <f>IF('Données projet'!$A$88&gt;35,BD91+BC92-BL91,IF(A92&lt;'Données projet'!$A$88,$BA$205^A92,IF(A92='Données projet'!$A$88,'Données projet'!$B$88,BD91+BC92-BL91)))</f>
        <v>655.49999999999989</v>
      </c>
      <c r="BE92" s="14">
        <f>BD92*VLOOKUP('Données projet'!$B$11,Paramètres!$A$1:$I$89,3,0)*VLOOKUP('Données projet'!$B$11,Paramètres!$A$1:$I$89,5,0)</f>
        <v>306.77399999999994</v>
      </c>
      <c r="BF92" s="14">
        <f t="shared" si="91"/>
        <v>72.594703343999058</v>
      </c>
      <c r="BG92" s="22">
        <f t="shared" si="61"/>
        <v>660.73382499079833</v>
      </c>
      <c r="BH92" s="62">
        <f t="shared" si="62"/>
        <v>954.0671583241317</v>
      </c>
      <c r="BI92" s="62">
        <f ca="1">AVERAGE(OFFSET($BH$3,0,0,'Données projet'!$E$11+1,1))-AVERAGE(OFFSET($H$3,0,0,'Données projet'!$E$11+1,1))</f>
        <v>0</v>
      </c>
      <c r="BJ92" s="62">
        <f t="shared" si="92"/>
        <v>0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44.621338213166062</v>
      </c>
      <c r="BQ92" s="23">
        <f>EXP(-LN(2)/25)*BQ91+(1-EXP(-LN(2)/25))/(LN(2)/25)*Calculateur!BL92*Calculateur!BN92*VLOOKUP('Données projet'!$B$11,Paramètres!$A$1:$I$89,3,0)*0.475*44/12</f>
        <v>39.960644986108065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84.581983199274134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159.45415548295978</v>
      </c>
      <c r="T93" s="62">
        <f t="shared" si="88"/>
        <v>268.09398033989754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215</v>
      </c>
      <c r="AG93" s="13">
        <f>VLOOKUP(A93,'Données projet'!$A$61:$I$81,9,0)</f>
        <v>2.4</v>
      </c>
      <c r="AH93" s="13">
        <f t="array" ref="AH93">INDEX(AG:AG,MIN(IF(ISNUMBER(AG93:AG289),ROW(AG93:AG289),"")))</f>
        <v>2.4</v>
      </c>
      <c r="AI93" s="14">
        <f>IF('Données projet'!$A$62&gt;35,AI92+AH93-AQ92,IF(A93&lt;'Données projet'!$A$62,$AF$205^A93,IF(A93='Données projet'!$A$62,'Données projet'!$B$62,AI92+AH93-AQ92)))</f>
        <v>214.99999999999963</v>
      </c>
      <c r="AJ93" s="14">
        <f>AI93*VLOOKUP('Données projet'!$B$10,Paramètres!$A$1:$I$89,3,0)*VLOOKUP('Données projet'!$B$10,Paramètres!$A$1:$I$89,5,0)</f>
        <v>187.8239999999997</v>
      </c>
      <c r="AK93" s="14">
        <f t="shared" si="89"/>
        <v>47.058548109182645</v>
      </c>
      <c r="AL93" s="22">
        <f t="shared" si="58"/>
        <v>409.08710462349262</v>
      </c>
      <c r="AM93" s="62">
        <f t="shared" si="59"/>
        <v>702.42043795682594</v>
      </c>
      <c r="AN93" s="62">
        <f ca="1">AVERAGE(OFFSET($AM$3,0,0,'Données projet'!$E$10+1,1))-AVERAGE(OFFSET($H$3,0,0,'Données projet'!$E$10+1,1))</f>
        <v>211.73952357671845</v>
      </c>
      <c r="AO93" s="62">
        <f t="shared" si="90"/>
        <v>238.591781509447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215</v>
      </c>
      <c r="AR93" s="17">
        <f>IF(ISNA(VLOOKUP(A93,'Données projet'!$A$61:$I$81,5,0)),0%,VLOOKUP(A93,'Données projet'!$A$61:$I$81,5,0)*VLOOKUP('Données projet'!$B$10,Paramètres!$A$1:$I$89,7,0))</f>
        <v>0.34400000000000003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95.879399872653892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1.1044828202189748E-7</v>
      </c>
      <c r="AX93" s="23">
        <f t="shared" si="60"/>
        <v>95.879399983102175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673</v>
      </c>
      <c r="BB93" s="13">
        <f>VLOOKUP(A93,'Données projet'!$A$87:$I$107,9,0)</f>
        <v>17.5</v>
      </c>
      <c r="BC93" s="13">
        <f t="array" ref="BC93">INDEX(BB:BB,MIN(IF(ISNUMBER(BB93:BB289),ROW(BB93:BB289),"")))</f>
        <v>17.5</v>
      </c>
      <c r="BD93" s="13">
        <f>IF('Données projet'!$A$88&gt;35,BD92+BC93-BL92,IF(A93&lt;'Données projet'!$A$88,$BA$205^A93,IF(A93='Données projet'!$A$88,'Données projet'!$B$88,BD92+BC93-BL92)))</f>
        <v>672.99999999999989</v>
      </c>
      <c r="BE93" s="14">
        <f>BD93*VLOOKUP('Données projet'!$B$11,Paramètres!$A$1:$I$89,3,0)*VLOOKUP('Données projet'!$B$11,Paramètres!$A$1:$I$89,5,0)</f>
        <v>314.96399999999994</v>
      </c>
      <c r="BF93" s="14">
        <f t="shared" si="91"/>
        <v>74.304550517616548</v>
      </c>
      <c r="BG93" s="22">
        <f t="shared" si="61"/>
        <v>677.97605881818208</v>
      </c>
      <c r="BH93" s="62">
        <f t="shared" si="62"/>
        <v>971.30939215151534</v>
      </c>
      <c r="BI93" s="62">
        <f ca="1">AVERAGE(OFFSET($BH$3,0,0,'Données projet'!$E$11+1,1))-AVERAGE(OFFSET($H$3,0,0,'Données projet'!$E$11+1,1))</f>
        <v>0</v>
      </c>
      <c r="BJ93" s="62">
        <f t="shared" si="92"/>
        <v>0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135</v>
      </c>
      <c r="BM93" s="17">
        <f>IF(ISNA(VLOOKUP(A93,'Données projet'!$A$87:$I$107,5,0)),0%,VLOOKUP(A93,'Données projet'!$A$87:$I$107,5,0)*VLOOKUP('Données projet'!$B$11,Paramètres!$A$1:$I$89,7,0))</f>
        <v>0.44000000000000006</v>
      </c>
      <c r="BN93" s="17">
        <f>IF(ISNA(VLOOKUP(A93,'Données projet'!$A$87:$I$107,6,0)),0%,VLOOKUP(A93,'Données projet'!$A$87:$I$107,6,0)*VLOOKUP('Données projet'!$B$11,Paramètres!$A$1:$I$89,7,0))</f>
        <v>0.11000000000000001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80.623771596789652</v>
      </c>
      <c r="BQ93" s="23">
        <f>EXP(-LN(2)/25)*BQ92+(1-EXP(-LN(2)/25))/(LN(2)/25)*Calculateur!BL93*Calculateur!BN93*VLOOKUP('Données projet'!$B$11,Paramètres!$A$1:$I$89,3,0)*0.475*44/12</f>
        <v>48.050976576009447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128.6747481727991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159.45415548295978</v>
      </c>
      <c r="T94" s="62">
        <f t="shared" si="88"/>
        <v>268.09398033989754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-3.694822225952521E-13</v>
      </c>
      <c r="AJ94" s="14">
        <f>AI94*VLOOKUP('Données projet'!$B$10,Paramètres!$A$1:$I$89,3,0)*VLOOKUP('Données projet'!$B$10,Paramètres!$A$1:$I$89,5,0)</f>
        <v>-3.2277966965921228E-13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211.73952357671845</v>
      </c>
      <c r="AO94" s="62">
        <f t="shared" si="90"/>
        <v>238.591781509447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93.999263321810588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7.8098729188087954E-8</v>
      </c>
      <c r="AX94" s="23">
        <f t="shared" si="60"/>
        <v>93.99926339990931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18.5</v>
      </c>
      <c r="BD94" s="13">
        <f>IF('Données projet'!$A$88&gt;35,BD93+BC94-BL93,IF(A94&lt;'Données projet'!$A$88,$BA$205^A94,IF(A94='Données projet'!$A$88,'Données projet'!$B$88,BD93+BC94-BL93)))</f>
        <v>556.49999999999989</v>
      </c>
      <c r="BE94" s="14">
        <f>BD94*VLOOKUP('Données projet'!$B$11,Paramètres!$A$1:$I$89,3,0)*VLOOKUP('Données projet'!$B$11,Paramètres!$A$1:$I$89,5,0)</f>
        <v>260.44199999999995</v>
      </c>
      <c r="BF94" s="14">
        <f t="shared" si="91"/>
        <v>62.816585178645781</v>
      </c>
      <c r="BG94" s="22">
        <f t="shared" si="61"/>
        <v>563.00870251947458</v>
      </c>
      <c r="BH94" s="62">
        <f t="shared" si="62"/>
        <v>856.34203585280784</v>
      </c>
      <c r="BI94" s="62">
        <f ca="1">AVERAGE(OFFSET($BH$3,0,0,'Données projet'!$E$11+1,1))-AVERAGE(OFFSET($H$3,0,0,'Données projet'!$E$11+1,1))</f>
        <v>0</v>
      </c>
      <c r="BJ94" s="62">
        <f t="shared" si="92"/>
        <v>0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79.042788611421585</v>
      </c>
      <c r="BQ94" s="23">
        <f>EXP(-LN(2)/25)*BQ93+(1-EXP(-LN(2)/25))/(LN(2)/25)*Calculateur!BL94*Calculateur!BN94*VLOOKUP('Données projet'!$B$11,Paramètres!$A$1:$I$89,3,0)*0.475*44/12</f>
        <v>46.737020094647434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125.77980870606902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159.45415548295978</v>
      </c>
      <c r="T95" s="62">
        <f t="shared" si="88"/>
        <v>268.09398033989754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-3.694822225952521E-13</v>
      </c>
      <c r="AJ95" s="14">
        <f>AI95*VLOOKUP('Données projet'!$B$10,Paramètres!$A$1:$I$89,3,0)*VLOOKUP('Données projet'!$B$10,Paramètres!$A$1:$I$89,5,0)</f>
        <v>-3.2277966965921228E-13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211.73952357671845</v>
      </c>
      <c r="AO95" s="62">
        <f t="shared" si="90"/>
        <v>238.591781509447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92.155995101959263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5.5224141010948742E-8</v>
      </c>
      <c r="AX95" s="23">
        <f t="shared" si="60"/>
        <v>92.155995157183398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18.5</v>
      </c>
      <c r="BD95" s="13">
        <f>IF('Données projet'!$A$88&gt;35,BD94+BC95-BL94,IF(A95&lt;'Données projet'!$A$88,$BA$205^A95,IF(A95='Données projet'!$A$88,'Données projet'!$B$88,BD94+BC95-BL94)))</f>
        <v>574.99999999999989</v>
      </c>
      <c r="BE95" s="14">
        <f>BD95*VLOOKUP('Données projet'!$B$11,Paramètres!$A$1:$I$89,3,0)*VLOOKUP('Données projet'!$B$11,Paramètres!$A$1:$I$89,5,0)</f>
        <v>269.09999999999991</v>
      </c>
      <c r="BF95" s="14">
        <f t="shared" si="91"/>
        <v>64.658229472790993</v>
      </c>
      <c r="BG95" s="22">
        <f t="shared" si="61"/>
        <v>581.29558299844405</v>
      </c>
      <c r="BH95" s="62">
        <f t="shared" si="62"/>
        <v>874.62891633177742</v>
      </c>
      <c r="BI95" s="62">
        <f ca="1">AVERAGE(OFFSET($BH$3,0,0,'Données projet'!$E$11+1,1))-AVERAGE(OFFSET($H$3,0,0,'Données projet'!$E$11+1,1))</f>
        <v>0</v>
      </c>
      <c r="BJ95" s="62">
        <f t="shared" si="92"/>
        <v>0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77.492807738092182</v>
      </c>
      <c r="BQ95" s="23">
        <f>EXP(-LN(2)/25)*BQ94+(1-EXP(-LN(2)/25))/(LN(2)/25)*Calculateur!BL95*Calculateur!BN95*VLOOKUP('Données projet'!$B$11,Paramètres!$A$1:$I$89,3,0)*0.475*44/12</f>
        <v>45.458993822366232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122.95180156045842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159.45415548295978</v>
      </c>
      <c r="T96" s="62">
        <f t="shared" si="88"/>
        <v>268.09398033989754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-3.694822225952521E-13</v>
      </c>
      <c r="AJ96" s="14">
        <f>AI96*VLOOKUP('Données projet'!$B$10,Paramètres!$A$1:$I$89,3,0)*VLOOKUP('Données projet'!$B$10,Paramètres!$A$1:$I$89,5,0)</f>
        <v>-3.2277966965921228E-13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211.73952357671845</v>
      </c>
      <c r="AO96" s="62">
        <f t="shared" si="90"/>
        <v>238.591781509447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90.348872247616612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3.9049364594043977E-8</v>
      </c>
      <c r="AX96" s="23">
        <f t="shared" si="60"/>
        <v>90.34887228666598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18.5</v>
      </c>
      <c r="BD96" s="13">
        <f>IF('Données projet'!$A$88&gt;35,BD95+BC96-BL95,IF(A96&lt;'Données projet'!$A$88,$BA$205^A96,IF(A96='Données projet'!$A$88,'Données projet'!$B$88,BD95+BC96-BL95)))</f>
        <v>593.49999999999989</v>
      </c>
      <c r="BE96" s="14">
        <f>BD96*VLOOKUP('Données projet'!$B$11,Paramètres!$A$1:$I$89,3,0)*VLOOKUP('Données projet'!$B$11,Paramètres!$A$1:$I$89,5,0)</f>
        <v>277.75799999999992</v>
      </c>
      <c r="BF96" s="14">
        <f t="shared" si="91"/>
        <v>66.492988372715388</v>
      </c>
      <c r="BG96" s="22">
        <f t="shared" si="61"/>
        <v>599.57047141581245</v>
      </c>
      <c r="BH96" s="62">
        <f t="shared" si="62"/>
        <v>892.90380474914582</v>
      </c>
      <c r="BI96" s="62">
        <f ca="1">AVERAGE(OFFSET($BH$3,0,0,'Données projet'!$E$11+1,1))-AVERAGE(OFFSET($H$3,0,0,'Données projet'!$E$11+1,1))</f>
        <v>0</v>
      </c>
      <c r="BJ96" s="62">
        <f t="shared" si="92"/>
        <v>0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75.973221044293794</v>
      </c>
      <c r="BQ96" s="23">
        <f>EXP(-LN(2)/25)*BQ95+(1-EXP(-LN(2)/25))/(LN(2)/25)*Calculateur!BL96*Calculateur!BN96*VLOOKUP('Données projet'!$B$11,Paramètres!$A$1:$I$89,3,0)*0.475*44/12</f>
        <v>44.215915245709041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120.18913629000284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159.45415548295978</v>
      </c>
      <c r="T97" s="62">
        <f t="shared" si="88"/>
        <v>268.09398033989754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-3.694822225952521E-13</v>
      </c>
      <c r="AJ97" s="14">
        <f>AI97*VLOOKUP('Données projet'!$B$10,Paramètres!$A$1:$I$89,3,0)*VLOOKUP('Données projet'!$B$10,Paramètres!$A$1:$I$89,5,0)</f>
        <v>-3.2277966965921228E-13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211.73952357671845</v>
      </c>
      <c r="AO97" s="62">
        <f t="shared" si="90"/>
        <v>238.591781509447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88.577185970211517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2.7612070505474371E-8</v>
      </c>
      <c r="AX97" s="23">
        <f t="shared" si="60"/>
        <v>88.577185997823591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18.5</v>
      </c>
      <c r="BD97" s="13">
        <f>IF('Données projet'!$A$88&gt;35,BD96+BC97-BL96,IF(A97&lt;'Données projet'!$A$88,$BA$205^A97,IF(A97='Données projet'!$A$88,'Données projet'!$B$88,BD96+BC97-BL96)))</f>
        <v>611.99999999999989</v>
      </c>
      <c r="BE97" s="14">
        <f>BD97*VLOOKUP('Données projet'!$B$11,Paramètres!$A$1:$I$89,3,0)*VLOOKUP('Données projet'!$B$11,Paramètres!$A$1:$I$89,5,0)</f>
        <v>286.41599999999994</v>
      </c>
      <c r="BF97" s="14">
        <f t="shared" si="91"/>
        <v>68.321101129951188</v>
      </c>
      <c r="BG97" s="22">
        <f t="shared" si="61"/>
        <v>617.83378446799827</v>
      </c>
      <c r="BH97" s="62">
        <f t="shared" si="62"/>
        <v>911.16711780133164</v>
      </c>
      <c r="BI97" s="62">
        <f ca="1">AVERAGE(OFFSET($BH$3,0,0,'Données projet'!$E$11+1,1))-AVERAGE(OFFSET($H$3,0,0,'Données projet'!$E$11+1,1))</f>
        <v>0</v>
      </c>
      <c r="BJ97" s="62">
        <f t="shared" si="92"/>
        <v>0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74.483432518704419</v>
      </c>
      <c r="BQ97" s="23">
        <f>EXP(-LN(2)/25)*BQ96+(1-EXP(-LN(2)/25))/(LN(2)/25)*Calculateur!BL97*Calculateur!BN97*VLOOKUP('Données projet'!$B$11,Paramètres!$A$1:$I$89,3,0)*0.475*44/12</f>
        <v>43.006828718101204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117.49026123680562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159.45415548295978</v>
      </c>
      <c r="T98" s="62">
        <f t="shared" si="88"/>
        <v>268.09398033989754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-3.694822225952521E-13</v>
      </c>
      <c r="AJ98" s="14">
        <f>AI98*VLOOKUP('Données projet'!$B$10,Paramètres!$A$1:$I$89,3,0)*VLOOKUP('Données projet'!$B$10,Paramètres!$A$1:$I$89,5,0)</f>
        <v>-3.2277966965921228E-13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211.73952357671845</v>
      </c>
      <c r="AO98" s="62">
        <f t="shared" si="90"/>
        <v>238.591781509447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86.840241380084407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1.9524682297021988E-8</v>
      </c>
      <c r="AX98" s="23">
        <f t="shared" si="60"/>
        <v>86.840241399609084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18.5</v>
      </c>
      <c r="BD98" s="13">
        <f>IF('Données projet'!$A$88&gt;35,BD97+BC98-BL97,IF(A98&lt;'Données projet'!$A$88,$BA$205^A98,IF(A98='Données projet'!$A$88,'Données projet'!$B$88,BD97+BC98-BL97)))</f>
        <v>630.49999999999989</v>
      </c>
      <c r="BE98" s="14">
        <f>BD98*VLOOKUP('Données projet'!$B$11,Paramètres!$A$1:$I$89,3,0)*VLOOKUP('Données projet'!$B$11,Paramètres!$A$1:$I$89,5,0)</f>
        <v>295.07399999999996</v>
      </c>
      <c r="BF98" s="14">
        <f t="shared" si="91"/>
        <v>70.142791709481173</v>
      </c>
      <c r="BG98" s="22">
        <f t="shared" si="61"/>
        <v>636.08591222734628</v>
      </c>
      <c r="BH98" s="62">
        <f t="shared" si="62"/>
        <v>929.41924556067966</v>
      </c>
      <c r="BI98" s="62">
        <f ca="1">AVERAGE(OFFSET($BH$3,0,0,'Données projet'!$E$11+1,1))-AVERAGE(OFFSET($H$3,0,0,'Données projet'!$E$11+1,1))</f>
        <v>0</v>
      </c>
      <c r="BJ98" s="62">
        <f t="shared" si="92"/>
        <v>0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73.022857837420588</v>
      </c>
      <c r="BQ98" s="23">
        <f>EXP(-LN(2)/25)*BQ97+(1-EXP(-LN(2)/25))/(LN(2)/25)*Calculateur!BL98*Calculateur!BN98*VLOOKUP('Données projet'!$B$11,Paramètres!$A$1:$I$89,3,0)*0.475*44/12</f>
        <v>41.830804725173898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114.85366256259448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159.45415548295978</v>
      </c>
      <c r="T99" s="62">
        <f t="shared" si="88"/>
        <v>268.09398033989754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-3.694822225952521E-13</v>
      </c>
      <c r="AJ99" s="14">
        <f>AI99*VLOOKUP('Données projet'!$B$10,Paramètres!$A$1:$I$89,3,0)*VLOOKUP('Données projet'!$B$10,Paramètres!$A$1:$I$89,5,0)</f>
        <v>-3.2277966965921228E-13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211.73952357671845</v>
      </c>
      <c r="AO99" s="62">
        <f t="shared" si="90"/>
        <v>238.591781509447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85.137357213938103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1.3806035252737185E-8</v>
      </c>
      <c r="AX99" s="23">
        <f t="shared" si="60"/>
        <v>85.137357227744133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18.5</v>
      </c>
      <c r="BD99" s="13">
        <f>IF('Données projet'!$A$88&gt;35,BD98+BC99-BL98,IF(A99&lt;'Données projet'!$A$88,$BA$205^A99,IF(A99='Données projet'!$A$88,'Données projet'!$B$88,BD98+BC99-BL98)))</f>
        <v>648.99999999999989</v>
      </c>
      <c r="BE99" s="14">
        <f>BD99*VLOOKUP('Données projet'!$B$11,Paramètres!$A$1:$I$89,3,0)*VLOOKUP('Données projet'!$B$11,Paramètres!$A$1:$I$89,5,0)</f>
        <v>303.73199999999997</v>
      </c>
      <c r="BF99" s="14">
        <f t="shared" si="91"/>
        <v>71.958270185981476</v>
      </c>
      <c r="BG99" s="22">
        <f t="shared" si="61"/>
        <v>654.32722057391766</v>
      </c>
      <c r="BH99" s="62">
        <f t="shared" si="62"/>
        <v>947.66055390725091</v>
      </c>
      <c r="BI99" s="62">
        <f ca="1">AVERAGE(OFFSET($BH$3,0,0,'Données projet'!$E$11+1,1))-AVERAGE(OFFSET($H$3,0,0,'Données projet'!$E$11+1,1))</f>
        <v>0</v>
      </c>
      <c r="BJ99" s="62">
        <f t="shared" si="92"/>
        <v>0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71.590924134774141</v>
      </c>
      <c r="BQ99" s="23">
        <f>EXP(-LN(2)/25)*BQ98+(1-EXP(-LN(2)/25))/(LN(2)/25)*Calculateur!BL99*Calculateur!BN99*VLOOKUP('Données projet'!$B$11,Paramètres!$A$1:$I$89,3,0)*0.475*44/12</f>
        <v>40.686939170177602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112.27786330495175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159.45415548295978</v>
      </c>
      <c r="T100" s="62">
        <f t="shared" si="88"/>
        <v>268.09398033989754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-3.694822225952521E-13</v>
      </c>
      <c r="AJ100" s="14">
        <f>AI100*VLOOKUP('Données projet'!$B$10,Paramètres!$A$1:$I$89,3,0)*VLOOKUP('Données projet'!$B$10,Paramètres!$A$1:$I$89,5,0)</f>
        <v>-3.2277966965921228E-13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211.73952357671845</v>
      </c>
      <c r="AO100" s="62">
        <f t="shared" si="90"/>
        <v>238.591781509447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83.467865567633154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9.7623411485109942E-9</v>
      </c>
      <c r="AX100" s="23">
        <f t="shared" si="60"/>
        <v>83.4678655773955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18.5</v>
      </c>
      <c r="BD100" s="13">
        <f>IF('Données projet'!$A$88&gt;35,BD99+BC100-BL99,IF(A100&lt;'Données projet'!$A$88,$BA$205^A100,IF(A100='Données projet'!$A$88,'Données projet'!$B$88,BD99+BC100-BL99)))</f>
        <v>667.49999999999989</v>
      </c>
      <c r="BE100" s="14">
        <f>BD100*VLOOKUP('Données projet'!$B$11,Paramètres!$A$1:$I$89,3,0)*VLOOKUP('Données projet'!$B$11,Paramètres!$A$1:$I$89,5,0)</f>
        <v>312.38999999999993</v>
      </c>
      <c r="BF100" s="14">
        <f t="shared" si="91"/>
        <v>73.767733976388286</v>
      </c>
      <c r="BG100" s="22">
        <f t="shared" si="61"/>
        <v>672.55805334220952</v>
      </c>
      <c r="BH100" s="62">
        <f t="shared" si="62"/>
        <v>965.89138667554289</v>
      </c>
      <c r="BI100" s="62">
        <f ca="1">AVERAGE(OFFSET($BH$3,0,0,'Données projet'!$E$11+1,1))-AVERAGE(OFFSET($H$3,0,0,'Données projet'!$E$11+1,1))</f>
        <v>0</v>
      </c>
      <c r="BJ100" s="62">
        <f t="shared" si="92"/>
        <v>0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70.187069778643263</v>
      </c>
      <c r="BQ100" s="23">
        <f>EXP(-LN(2)/25)*BQ99+(1-EXP(-LN(2)/25))/(LN(2)/25)*Calculateur!BL100*Calculateur!BN100*VLOOKUP('Données projet'!$B$11,Paramètres!$A$1:$I$89,3,0)*0.475*44/12</f>
        <v>39.574352678935959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109.76142245757922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159.45415548295978</v>
      </c>
      <c r="T101" s="62">
        <f t="shared" si="88"/>
        <v>268.09398033989754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-3.694822225952521E-13</v>
      </c>
      <c r="AJ101" s="14">
        <f>AI101*VLOOKUP('Données projet'!$B$10,Paramètres!$A$1:$I$89,3,0)*VLOOKUP('Données projet'!$B$10,Paramètres!$A$1:$I$89,5,0)</f>
        <v>-3.2277966965921228E-13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211.73952357671845</v>
      </c>
      <c r="AO101" s="62">
        <f t="shared" si="90"/>
        <v>238.591781509447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81.831111634222879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6.9030176263685927E-9</v>
      </c>
      <c r="AX101" s="23">
        <f t="shared" si="60"/>
        <v>81.831111641125901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18.5</v>
      </c>
      <c r="BD101" s="13">
        <f>IF('Données projet'!$A$88&gt;35,BD100+BC101-BL100,IF(A101&lt;'Données projet'!$A$88,$BA$205^A101,IF(A101='Données projet'!$A$88,'Données projet'!$B$88,BD100+BC101-BL100)))</f>
        <v>685.99999999999989</v>
      </c>
      <c r="BE101" s="14">
        <f>BD101*VLOOKUP('Données projet'!$B$11,Paramètres!$A$1:$I$89,3,0)*VLOOKUP('Données projet'!$B$11,Paramètres!$A$1:$I$89,5,0)</f>
        <v>321.04799999999994</v>
      </c>
      <c r="BF101" s="14">
        <f t="shared" si="91"/>
        <v>75.571368931978697</v>
      </c>
      <c r="BG101" s="22">
        <f t="shared" si="61"/>
        <v>690.77873422319624</v>
      </c>
      <c r="BH101" s="62">
        <f t="shared" si="62"/>
        <v>984.11206755652961</v>
      </c>
      <c r="BI101" s="62">
        <f ca="1">AVERAGE(OFFSET($BH$3,0,0,'Données projet'!$E$11+1,1))-AVERAGE(OFFSET($H$3,0,0,'Données projet'!$E$11+1,1))</f>
        <v>0</v>
      </c>
      <c r="BJ101" s="62">
        <f t="shared" si="92"/>
        <v>0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68.810744150169512</v>
      </c>
      <c r="BQ101" s="23">
        <f>EXP(-LN(2)/25)*BQ100+(1-EXP(-LN(2)/25))/(LN(2)/25)*Calculateur!BL101*Calculateur!BN101*VLOOKUP('Données projet'!$B$11,Paramètres!$A$1:$I$89,3,0)*0.475*44/12</f>
        <v>38.492189923805697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107.30293407397521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159.45415548295978</v>
      </c>
      <c r="T102" s="62">
        <f t="shared" si="88"/>
        <v>268.09398033989754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-3.694822225952521E-13</v>
      </c>
      <c r="AJ102" s="14">
        <f>AI102*VLOOKUP('Données projet'!$B$10,Paramètres!$A$1:$I$89,3,0)*VLOOKUP('Données projet'!$B$10,Paramètres!$A$1:$I$89,5,0)</f>
        <v>-3.2277966965921228E-13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211.73952357671845</v>
      </c>
      <c r="AO102" s="62">
        <f t="shared" si="90"/>
        <v>238.591781509447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80.226453447125465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4.8811705742554971E-9</v>
      </c>
      <c r="AX102" s="23">
        <f t="shared" si="60"/>
        <v>80.226453452006638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18.5</v>
      </c>
      <c r="BD102" s="13">
        <f>IF('Données projet'!$A$88&gt;35,BD101+BC102-BL101,IF(A102&lt;'Données projet'!$A$88,$BA$205^A102,IF(A102='Données projet'!$A$88,'Données projet'!$B$88,BD101+BC102-BL101)))</f>
        <v>704.49999999999989</v>
      </c>
      <c r="BE102" s="14">
        <f>BD102*VLOOKUP('Données projet'!$B$11,Paramètres!$A$1:$I$89,3,0)*VLOOKUP('Données projet'!$B$11,Paramètres!$A$1:$I$89,5,0)</f>
        <v>329.70599999999996</v>
      </c>
      <c r="BF102" s="14">
        <f t="shared" si="91"/>
        <v>77.369350309333612</v>
      </c>
      <c r="BG102" s="22">
        <f t="shared" si="61"/>
        <v>708.98956845542261</v>
      </c>
      <c r="BH102" s="62">
        <f t="shared" si="62"/>
        <v>1002.3229017887559</v>
      </c>
      <c r="BI102" s="62">
        <f ca="1">AVERAGE(OFFSET($BH$3,0,0,'Données projet'!$E$11+1,1))-AVERAGE(OFFSET($H$3,0,0,'Données projet'!$E$11+1,1))</f>
        <v>0</v>
      </c>
      <c r="BJ102" s="62">
        <f t="shared" si="92"/>
        <v>0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67.461407427794384</v>
      </c>
      <c r="BQ102" s="23">
        <f>EXP(-LN(2)/25)*BQ101+(1-EXP(-LN(2)/25))/(LN(2)/25)*Calculateur!BL102*Calculateur!BN102*VLOOKUP('Données projet'!$B$11,Paramètres!$A$1:$I$89,3,0)*0.475*44/12</f>
        <v>37.439618966122936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104.90102639391732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159.45415548295978</v>
      </c>
      <c r="T103" s="62">
        <f t="shared" si="88"/>
        <v>268.09398033989754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-3.694822225952521E-13</v>
      </c>
      <c r="AJ103" s="14">
        <f>AI103*VLOOKUP('Données projet'!$B$10,Paramètres!$A$1:$I$89,3,0)*VLOOKUP('Données projet'!$B$10,Paramètres!$A$1:$I$89,5,0)</f>
        <v>-3.2277966965921228E-13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211.73952357671845</v>
      </c>
      <c r="AO103" s="62">
        <f t="shared" si="90"/>
        <v>238.591781509447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78.653261628332174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3.4515088131842964E-9</v>
      </c>
      <c r="AX103" s="23">
        <f t="shared" si="60"/>
        <v>78.653261631783678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723</v>
      </c>
      <c r="BB103" s="13">
        <f>VLOOKUP(A103,'Données projet'!$A$87:$I$107,9,0)</f>
        <v>18.5</v>
      </c>
      <c r="BC103" s="13">
        <f t="array" ref="BC103">INDEX(BB:BB,MIN(IF(ISNUMBER(BB103:BB299),ROW(BB103:BB299),"")))</f>
        <v>18.5</v>
      </c>
      <c r="BD103" s="13">
        <f>IF('Données projet'!$A$88&gt;35,BD102+BC103-BL102,IF(A103&lt;'Données projet'!$A$88,$BA$205^A103,IF(A103='Données projet'!$A$88,'Données projet'!$B$88,BD102+BC103-BL102)))</f>
        <v>722.99999999999989</v>
      </c>
      <c r="BE103" s="14">
        <f>BD103*VLOOKUP('Données projet'!$B$11,Paramètres!$A$1:$I$89,3,0)*VLOOKUP('Données projet'!$B$11,Paramètres!$A$1:$I$89,5,0)</f>
        <v>338.36399999999998</v>
      </c>
      <c r="BF103" s="14">
        <f t="shared" si="91"/>
        <v>79.161843636443024</v>
      </c>
      <c r="BG103" s="22">
        <f t="shared" si="61"/>
        <v>727.19084433347155</v>
      </c>
      <c r="BH103" s="62">
        <f t="shared" si="62"/>
        <v>1020.5241776668049</v>
      </c>
      <c r="BI103" s="62">
        <f ca="1">AVERAGE(OFFSET($BH$3,0,0,'Données projet'!$E$11+1,1))-AVERAGE(OFFSET($H$3,0,0,'Données projet'!$E$11+1,1))</f>
        <v>0</v>
      </c>
      <c r="BJ103" s="62">
        <f t="shared" si="92"/>
        <v>0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723</v>
      </c>
      <c r="BM103" s="17">
        <f>IF(ISNA(VLOOKUP(A103,'Données projet'!$A$87:$I$107,5,0)),0%,VLOOKUP(A103,'Données projet'!$A$87:$I$107,5,0)*VLOOKUP('Données projet'!$B$11,Paramètres!$A$1:$I$89,7,0))</f>
        <v>0.55000000000000004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313.01244084572045</v>
      </c>
      <c r="BQ103" s="23">
        <f>EXP(-LN(2)/25)*BQ102+(1-EXP(-LN(2)/25))/(LN(2)/25)*Calculateur!BL103*Calculateur!BN103*VLOOKUP('Données projet'!$B$11,Paramètres!$A$1:$I$89,3,0)*0.475*44/12</f>
        <v>36.415830616630309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349.42827146235078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159.45415548295978</v>
      </c>
      <c r="T104" s="62">
        <f t="shared" si="88"/>
        <v>268.09398033989754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-3.694822225952521E-13</v>
      </c>
      <c r="AJ104" s="14">
        <f>AI104*VLOOKUP('Données projet'!$B$10,Paramètres!$A$1:$I$89,3,0)*VLOOKUP('Données projet'!$B$10,Paramètres!$A$1:$I$89,5,0)</f>
        <v>-3.2277966965921228E-13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211.73952357671845</v>
      </c>
      <c r="AO104" s="62">
        <f t="shared" si="90"/>
        <v>238.591781509447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77.110919141553154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2.4405852871277486E-9</v>
      </c>
      <c r="AX104" s="23">
        <f t="shared" si="60"/>
        <v>77.11091914399374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-5.3205440053716299E-14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0</v>
      </c>
      <c r="BJ104" s="62">
        <f t="shared" si="92"/>
        <v>0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306.87445779947313</v>
      </c>
      <c r="BQ104" s="23">
        <f>EXP(-LN(2)/25)*BQ103+(1-EXP(-LN(2)/25))/(LN(2)/25)*Calculateur!BL104*Calculateur!BN104*VLOOKUP('Données projet'!$B$11,Paramètres!$A$1:$I$89,3,0)*0.475*44/12</f>
        <v>35.42003781339325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342.2944956128664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159.45415548295978</v>
      </c>
      <c r="T105" s="62">
        <f t="shared" si="88"/>
        <v>268.09398033989754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-3.694822225952521E-13</v>
      </c>
      <c r="AJ105" s="14">
        <f>AI105*VLOOKUP('Données projet'!$B$10,Paramètres!$A$1:$I$89,3,0)*VLOOKUP('Données projet'!$B$10,Paramètres!$A$1:$I$89,5,0)</f>
        <v>-3.2277966965921228E-13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211.73952357671845</v>
      </c>
      <c r="AO105" s="62">
        <f t="shared" si="90"/>
        <v>238.591781509447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75.598821050203853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1.7257544065921482E-9</v>
      </c>
      <c r="AX105" s="23">
        <f t="shared" si="60"/>
        <v>75.598821051929605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-5.3205440053716299E-14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0</v>
      </c>
      <c r="BJ105" s="62">
        <f t="shared" si="92"/>
        <v>0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300.85683685696273</v>
      </c>
      <c r="BQ105" s="23">
        <f>EXP(-LN(2)/25)*BQ104+(1-EXP(-LN(2)/25))/(LN(2)/25)*Calculateur!BL105*Calculateur!BN105*VLOOKUP('Données projet'!$B$11,Paramètres!$A$1:$I$89,3,0)*0.475*44/12</f>
        <v>34.45147501672718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335.30831187368989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159.45415548295978</v>
      </c>
      <c r="T106" s="62">
        <f t="shared" si="88"/>
        <v>268.09398033989754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-3.694822225952521E-13</v>
      </c>
      <c r="AJ106" s="14">
        <f>AI106*VLOOKUP('Données projet'!$B$10,Paramètres!$A$1:$I$89,3,0)*VLOOKUP('Données projet'!$B$10,Paramètres!$A$1:$I$89,5,0)</f>
        <v>-3.2277966965921228E-13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211.73952357671845</v>
      </c>
      <c r="AO106" s="62">
        <f t="shared" si="90"/>
        <v>238.591781509447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74.116374280137137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1.2202926435638743E-9</v>
      </c>
      <c r="AX106" s="23">
        <f t="shared" si="60"/>
        <v>74.116374281357423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-5.3205440053716299E-14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0</v>
      </c>
      <c r="BJ106" s="62">
        <f t="shared" si="92"/>
        <v>0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294.95721779074859</v>
      </c>
      <c r="BQ106" s="23">
        <f>EXP(-LN(2)/25)*BQ105+(1-EXP(-LN(2)/25))/(LN(2)/25)*Calculateur!BL106*Calculateur!BN106*VLOOKUP('Données projet'!$B$11,Paramètres!$A$1:$I$89,3,0)*0.475*44/12</f>
        <v>33.509397620670441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328.46661541141901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159.45415548295978</v>
      </c>
      <c r="T107" s="62">
        <f t="shared" si="88"/>
        <v>268.09398033989754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-3.694822225952521E-13</v>
      </c>
      <c r="AJ107" s="14">
        <f>AI107*VLOOKUP('Données projet'!$B$10,Paramètres!$A$1:$I$89,3,0)*VLOOKUP('Données projet'!$B$10,Paramètres!$A$1:$I$89,5,0)</f>
        <v>-3.2277966965921228E-13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211.73952357671845</v>
      </c>
      <c r="AO107" s="62">
        <f t="shared" si="90"/>
        <v>238.591781509447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72.662997387028184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8.6287720329607409E-10</v>
      </c>
      <c r="AX107" s="23">
        <f t="shared" si="60"/>
        <v>72.662997387891068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-5.3205440053716299E-14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0</v>
      </c>
      <c r="BJ107" s="62">
        <f t="shared" si="92"/>
        <v>0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289.17328665601059</v>
      </c>
      <c r="BQ107" s="23">
        <f>EXP(-LN(2)/25)*BQ106+(1-EXP(-LN(2)/25))/(LN(2)/25)*Calculateur!BL107*Calculateur!BN107*VLOOKUP('Données projet'!$B$11,Paramètres!$A$1:$I$89,3,0)*0.475*44/12</f>
        <v>32.593081380550572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321.76636803656118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159.45415548295978</v>
      </c>
      <c r="T108" s="62">
        <f t="shared" si="88"/>
        <v>268.09398033989754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-3.694822225952521E-13</v>
      </c>
      <c r="AJ108" s="14">
        <f>AI108*VLOOKUP('Données projet'!$B$10,Paramètres!$A$1:$I$89,3,0)*VLOOKUP('Données projet'!$B$10,Paramètres!$A$1:$I$89,5,0)</f>
        <v>-3.2277966965921228E-13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211.73952357671845</v>
      </c>
      <c r="AO108" s="62">
        <f t="shared" si="90"/>
        <v>238.591781509447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71.238120328320733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6.1014632178193714E-10</v>
      </c>
      <c r="AX108" s="23">
        <f t="shared" si="60"/>
        <v>71.238120328930876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-5.3205440053716299E-14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0</v>
      </c>
      <c r="BJ108" s="62">
        <f t="shared" si="92"/>
        <v>0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283.50277488297519</v>
      </c>
      <c r="BQ108" s="23">
        <f>EXP(-LN(2)/25)*BQ107+(1-EXP(-LN(2)/25))/(LN(2)/25)*Calculateur!BL108*Calculateur!BN108*VLOOKUP('Données projet'!$B$11,Paramètres!$A$1:$I$89,3,0)*0.475*44/12</f>
        <v>31.701821856203761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315.20459673917895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159.45415548295978</v>
      </c>
      <c r="T109" s="62">
        <f t="shared" si="88"/>
        <v>268.09398033989754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-3.694822225952521E-13</v>
      </c>
      <c r="AJ109" s="14">
        <f>AI109*VLOOKUP('Données projet'!$B$10,Paramètres!$A$1:$I$89,3,0)*VLOOKUP('Données projet'!$B$10,Paramètres!$A$1:$I$89,5,0)</f>
        <v>-3.2277966965921228E-13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211.73952357671845</v>
      </c>
      <c r="AO109" s="62">
        <f t="shared" si="90"/>
        <v>238.591781509447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69.841184239645344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4.3143860164803705E-10</v>
      </c>
      <c r="AX109" s="23">
        <f t="shared" si="60"/>
        <v>69.841184240076785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-5.3205440053716299E-14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0</v>
      </c>
      <c r="BJ109" s="62">
        <f t="shared" si="92"/>
        <v>0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277.94345838713832</v>
      </c>
      <c r="BQ109" s="23">
        <f>EXP(-LN(2)/25)*BQ108+(1-EXP(-LN(2)/25))/(LN(2)/25)*Calculateur!BL109*Calculateur!BN109*VLOOKUP('Données projet'!$B$11,Paramètres!$A$1:$I$89,3,0)*0.475*44/12</f>
        <v>30.834933870419512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308.77839225755781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159.45415548295978</v>
      </c>
      <c r="T110" s="62">
        <f t="shared" si="88"/>
        <v>268.09398033989754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-3.694822225952521E-13</v>
      </c>
      <c r="AJ110" s="14">
        <f>AI110*VLOOKUP('Données projet'!$B$10,Paramètres!$A$1:$I$89,3,0)*VLOOKUP('Données projet'!$B$10,Paramètres!$A$1:$I$89,5,0)</f>
        <v>-3.2277966965921228E-13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211.73952357671845</v>
      </c>
      <c r="AO110" s="62">
        <f t="shared" si="90"/>
        <v>238.591781509447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68.471641215621986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3.0507316089096857E-10</v>
      </c>
      <c r="AX110" s="23">
        <f t="shared" si="60"/>
        <v>68.471641215927065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-5.3205440053716299E-14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0</v>
      </c>
      <c r="BJ110" s="62">
        <f t="shared" si="92"/>
        <v>0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272.49315669693658</v>
      </c>
      <c r="BQ110" s="23">
        <f>EXP(-LN(2)/25)*BQ109+(1-EXP(-LN(2)/25))/(LN(2)/25)*Calculateur!BL110*Calculateur!BN110*VLOOKUP('Données projet'!$B$11,Paramètres!$A$1:$I$89,3,0)*0.475*44/12</f>
        <v>29.991750982194194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302.4849076791308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159.45415548295978</v>
      </c>
      <c r="T111" s="62">
        <f t="shared" si="88"/>
        <v>268.09398033989754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-3.694822225952521E-13</v>
      </c>
      <c r="AJ111" s="14">
        <f>AI111*VLOOKUP('Données projet'!$B$10,Paramètres!$A$1:$I$89,3,0)*VLOOKUP('Données projet'!$B$10,Paramètres!$A$1:$I$89,5,0)</f>
        <v>-3.2277966965921228E-13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211.73952357671845</v>
      </c>
      <c r="AO111" s="62">
        <f t="shared" si="90"/>
        <v>238.591781509447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67.128954094960974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2.1571930082401852E-10</v>
      </c>
      <c r="AX111" s="23">
        <f t="shared" si="60"/>
        <v>67.128954095176695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-5.3205440053716299E-14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0</v>
      </c>
      <c r="BJ111" s="62">
        <f t="shared" si="92"/>
        <v>0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267.14973209852394</v>
      </c>
      <c r="BQ111" s="23">
        <f>EXP(-LN(2)/25)*BQ110+(1-EXP(-LN(2)/25))/(LN(2)/25)*Calculateur!BL111*Calculateur!BN111*VLOOKUP('Données projet'!$B$11,Paramètres!$A$1:$I$89,3,0)*0.475*44/12</f>
        <v>29.171624974388457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296.32135707291241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159.45415548295978</v>
      </c>
      <c r="T112" s="62">
        <f t="shared" si="88"/>
        <v>268.09398033989754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-3.694822225952521E-13</v>
      </c>
      <c r="AJ112" s="14">
        <f>AI112*VLOOKUP('Données projet'!$B$10,Paramètres!$A$1:$I$89,3,0)*VLOOKUP('Données projet'!$B$10,Paramètres!$A$1:$I$89,5,0)</f>
        <v>-3.2277966965921228E-13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211.73952357671845</v>
      </c>
      <c r="AO112" s="62">
        <f t="shared" si="90"/>
        <v>238.591781509447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65.81259624977784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1.5253658044548428E-10</v>
      </c>
      <c r="AX112" s="23">
        <f t="shared" si="60"/>
        <v>65.81259624993038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-5.3205440053716299E-14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0</v>
      </c>
      <c r="BJ112" s="62">
        <f t="shared" si="92"/>
        <v>0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261.91108879731894</v>
      </c>
      <c r="BQ112" s="23">
        <f>EXP(-LN(2)/25)*BQ111+(1-EXP(-LN(2)/25))/(LN(2)/25)*Calculateur!BL112*Calculateur!BN112*VLOOKUP('Données projet'!$B$11,Paramètres!$A$1:$I$89,3,0)*0.475*44/12</f>
        <v>28.373925355394721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290.28501415271364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159.45415548295978</v>
      </c>
      <c r="T113" s="62">
        <f t="shared" si="88"/>
        <v>268.09398033989754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-3.694822225952521E-13</v>
      </c>
      <c r="AJ113" s="14">
        <f>AI113*VLOOKUP('Données projet'!$B$10,Paramètres!$A$1:$I$89,3,0)*VLOOKUP('Données projet'!$B$10,Paramètres!$A$1:$I$89,5,0)</f>
        <v>-3.2277966965921228E-13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211.73952357671845</v>
      </c>
      <c r="AO113" s="62">
        <f t="shared" si="90"/>
        <v>238.591781509447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64.522051379039738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1.0785965041200926E-10</v>
      </c>
      <c r="AX113" s="23">
        <f t="shared" si="60"/>
        <v>64.522051379147598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-5.3205440053716299E-14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0</v>
      </c>
      <c r="BJ113" s="62">
        <f t="shared" si="92"/>
        <v>0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256.7751720959937</v>
      </c>
      <c r="BQ113" s="23">
        <f>EXP(-LN(2)/25)*BQ112+(1-EXP(-LN(2)/25))/(LN(2)/25)*Calculateur!BL113*Calculateur!BN113*VLOOKUP('Données projet'!$B$11,Paramètres!$A$1:$I$89,3,0)*0.475*44/12</f>
        <v>27.598038874431566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284.37321097042525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159.45415548295978</v>
      </c>
      <c r="T114" s="62">
        <f t="shared" si="88"/>
        <v>268.09398033989754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-3.694822225952521E-13</v>
      </c>
      <c r="AJ114" s="14">
        <f>AI114*VLOOKUP('Données projet'!$B$10,Paramètres!$A$1:$I$89,3,0)*VLOOKUP('Données projet'!$B$10,Paramètres!$A$1:$I$89,5,0)</f>
        <v>-3.2277966965921228E-13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211.73952357671845</v>
      </c>
      <c r="AO114" s="62">
        <f t="shared" si="90"/>
        <v>238.591781509447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63.25681330606217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7.6268290222742142E-11</v>
      </c>
      <c r="AX114" s="23">
        <f t="shared" si="60"/>
        <v>63.25681330613844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-5.3205440053716299E-14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0</v>
      </c>
      <c r="BJ114" s="62">
        <f t="shared" si="92"/>
        <v>0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251.73996758858155</v>
      </c>
      <c r="BQ114" s="23">
        <f>EXP(-LN(2)/25)*BQ113+(1-EXP(-LN(2)/25))/(LN(2)/25)*Calculateur!BL114*Calculateur!BN114*VLOOKUP('Données projet'!$B$11,Paramètres!$A$1:$I$89,3,0)*0.475*44/12</f>
        <v>26.843369050092448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278.58333663867398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159.45415548295978</v>
      </c>
      <c r="T115" s="62">
        <f t="shared" si="88"/>
        <v>268.09398033989754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-3.694822225952521E-13</v>
      </c>
      <c r="AJ115" s="14">
        <f>AI115*VLOOKUP('Données projet'!$B$10,Paramètres!$A$1:$I$89,3,0)*VLOOKUP('Données projet'!$B$10,Paramètres!$A$1:$I$89,5,0)</f>
        <v>-3.2277966965921228E-13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211.73952357671845</v>
      </c>
      <c r="AO115" s="62">
        <f t="shared" si="90"/>
        <v>238.591781509447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62.016385779976666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5.3929825206004631E-11</v>
      </c>
      <c r="AX115" s="23">
        <f t="shared" si="60"/>
        <v>62.016385780030596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-5.3205440053716299E-14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0</v>
      </c>
      <c r="BJ115" s="62">
        <f t="shared" si="92"/>
        <v>0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246.80350037038826</v>
      </c>
      <c r="BQ115" s="23">
        <f>EXP(-LN(2)/25)*BQ114+(1-EXP(-LN(2)/25))/(LN(2)/25)*Calculateur!BL115*Calculateur!BN115*VLOOKUP('Données projet'!$B$11,Paramètres!$A$1:$I$89,3,0)*0.475*44/12</f>
        <v>26.109335711786244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272.91283608217452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159.45415548295978</v>
      </c>
      <c r="T116" s="62">
        <f t="shared" si="88"/>
        <v>268.09398033989754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-3.694822225952521E-13</v>
      </c>
      <c r="AJ116" s="14">
        <f>AI116*VLOOKUP('Données projet'!$B$10,Paramètres!$A$1:$I$89,3,0)*VLOOKUP('Données projet'!$B$10,Paramètres!$A$1:$I$89,5,0)</f>
        <v>-3.2277966965921228E-13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211.73952357671845</v>
      </c>
      <c r="AO116" s="62">
        <f t="shared" si="90"/>
        <v>238.591781509447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60.800282281091619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3.8134145111371071E-11</v>
      </c>
      <c r="AX116" s="23">
        <f t="shared" si="60"/>
        <v>60.800282281129753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-5.3205440053716299E-14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0</v>
      </c>
      <c r="BJ116" s="62">
        <f t="shared" si="92"/>
        <v>0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241.96383426339605</v>
      </c>
      <c r="BQ116" s="23">
        <f>EXP(-LN(2)/25)*BQ115+(1-EXP(-LN(2)/25))/(LN(2)/25)*Calculateur!BL116*Calculateur!BN116*VLOOKUP('Données projet'!$B$11,Paramètres!$A$1:$I$89,3,0)*0.475*44/12</f>
        <v>25.395374553717158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267.3592088171132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159.45415548295978</v>
      </c>
      <c r="T117" s="62">
        <f t="shared" si="88"/>
        <v>268.09398033989754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-3.694822225952521E-13</v>
      </c>
      <c r="AJ117" s="14">
        <f>AI117*VLOOKUP('Données projet'!$B$10,Paramètres!$A$1:$I$89,3,0)*VLOOKUP('Données projet'!$B$10,Paramètres!$A$1:$I$89,5,0)</f>
        <v>-3.2277966965921228E-13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211.73952357671845</v>
      </c>
      <c r="AO117" s="62">
        <f t="shared" si="90"/>
        <v>238.591781509447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59.608025830069813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2.6964912603002315E-11</v>
      </c>
      <c r="AX117" s="23">
        <f t="shared" si="60"/>
        <v>59.608025830096778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-5.3205440053716299E-14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0</v>
      </c>
      <c r="BJ117" s="62">
        <f t="shared" si="92"/>
        <v>0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237.2190710568571</v>
      </c>
      <c r="BQ117" s="23">
        <f>EXP(-LN(2)/25)*BQ116+(1-EXP(-LN(2)/25))/(LN(2)/25)*Calculateur!BL117*Calculateur!BN117*VLOOKUP('Données projet'!$B$11,Paramètres!$A$1:$I$89,3,0)*0.475*44/12</f>
        <v>24.700936701061057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261.92000775791814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159.45415548295978</v>
      </c>
      <c r="T118" s="62">
        <f t="shared" si="88"/>
        <v>268.09398033989754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-3.694822225952521E-13</v>
      </c>
      <c r="AJ118" s="14">
        <f>AI118*VLOOKUP('Données projet'!$B$10,Paramètres!$A$1:$I$89,3,0)*VLOOKUP('Données projet'!$B$10,Paramètres!$A$1:$I$89,5,0)</f>
        <v>-3.2277966965921228E-13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211.73952357671845</v>
      </c>
      <c r="AO118" s="62">
        <f t="shared" si="90"/>
        <v>238.591781509447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58.439148800847917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1.9067072555685536E-11</v>
      </c>
      <c r="AX118" s="23">
        <f t="shared" si="60"/>
        <v>58.439148800866981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-5.3205440053716299E-14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0</v>
      </c>
      <c r="BJ118" s="62">
        <f t="shared" si="92"/>
        <v>0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232.5673497627786</v>
      </c>
      <c r="BQ118" s="23">
        <f>EXP(-LN(2)/25)*BQ117+(1-EXP(-LN(2)/25))/(LN(2)/25)*Calculateur!BL118*Calculateur!BN118*VLOOKUP('Données projet'!$B$11,Paramètres!$A$1:$I$89,3,0)*0.475*44/12</f>
        <v>24.025488288004738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256.59283805078337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159.45415548295978</v>
      </c>
      <c r="T119" s="62">
        <f t="shared" si="88"/>
        <v>268.09398033989754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-3.694822225952521E-13</v>
      </c>
      <c r="AJ119" s="14">
        <f>AI119*VLOOKUP('Données projet'!$B$10,Paramètres!$A$1:$I$89,3,0)*VLOOKUP('Données projet'!$B$10,Paramètres!$A$1:$I$89,5,0)</f>
        <v>-3.2277966965921228E-13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211.73952357671845</v>
      </c>
      <c r="AO119" s="62">
        <f t="shared" si="90"/>
        <v>238.591781509447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57.293192737224473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1.3482456301501158E-11</v>
      </c>
      <c r="AX119" s="23">
        <f t="shared" si="60"/>
        <v>57.293192737237952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-5.3205440053716299E-14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0</v>
      </c>
      <c r="BJ119" s="62">
        <f t="shared" si="92"/>
        <v>0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228.00684588600714</v>
      </c>
      <c r="BQ119" s="23">
        <f>EXP(-LN(2)/25)*BQ118+(1-EXP(-LN(2)/25))/(LN(2)/25)*Calculateur!BL119*Calculateur!BN119*VLOOKUP('Données projet'!$B$11,Paramètres!$A$1:$I$89,3,0)*0.475*44/12</f>
        <v>23.368510047323731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251.37535593333087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159.45415548295978</v>
      </c>
      <c r="T120" s="62">
        <f t="shared" si="88"/>
        <v>268.09398033989754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-3.694822225952521E-13</v>
      </c>
      <c r="AJ120" s="14">
        <f>AI120*VLOOKUP('Données projet'!$B$10,Paramètres!$A$1:$I$89,3,0)*VLOOKUP('Données projet'!$B$10,Paramètres!$A$1:$I$89,5,0)</f>
        <v>-3.2277966965921228E-13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211.73952357671845</v>
      </c>
      <c r="AO120" s="62">
        <f t="shared" si="90"/>
        <v>238.591781509447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56.169708173044498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9.5335362778427678E-12</v>
      </c>
      <c r="AX120" s="23">
        <f t="shared" si="60"/>
        <v>56.169708173054033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-5.3205440053716299E-14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0</v>
      </c>
      <c r="BJ120" s="62">
        <f t="shared" si="92"/>
        <v>0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223.53577070862647</v>
      </c>
      <c r="BQ120" s="23">
        <f>EXP(-LN(2)/25)*BQ119+(1-EXP(-LN(2)/25))/(LN(2)/25)*Calculateur!BL120*Calculateur!BN120*VLOOKUP('Données projet'!$B$11,Paramètres!$A$1:$I$89,3,0)*0.475*44/12</f>
        <v>22.72949691118313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246.26526761980961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159.45415548295978</v>
      </c>
      <c r="T121" s="62">
        <f t="shared" si="88"/>
        <v>268.09398033989754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-3.694822225952521E-13</v>
      </c>
      <c r="AJ121" s="14">
        <f>AI121*VLOOKUP('Données projet'!$B$10,Paramètres!$A$1:$I$89,3,0)*VLOOKUP('Données projet'!$B$10,Paramètres!$A$1:$I$89,5,0)</f>
        <v>-3.2277966965921228E-13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211.73952357671845</v>
      </c>
      <c r="AO121" s="62">
        <f t="shared" si="90"/>
        <v>238.591781509447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55.068254455910171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6.7412281507505788E-12</v>
      </c>
      <c r="AX121" s="23">
        <f t="shared" si="60"/>
        <v>55.068254455916914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-5.3205440053716299E-14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0</v>
      </c>
      <c r="BJ121" s="62">
        <f t="shared" si="92"/>
        <v>0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219.15237058838764</v>
      </c>
      <c r="BQ121" s="23">
        <f>EXP(-LN(2)/25)*BQ120+(1-EXP(-LN(2)/25))/(LN(2)/25)*Calculateur!BL121*Calculateur!BN121*VLOOKUP('Données projet'!$B$11,Paramètres!$A$1:$I$89,3,0)*0.475*44/12</f>
        <v>22.107957622854535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241.26032821124218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159.45415548295978</v>
      </c>
      <c r="T122" s="62">
        <f t="shared" si="88"/>
        <v>268.09398033989754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-3.694822225952521E-13</v>
      </c>
      <c r="AJ122" s="14">
        <f>AI122*VLOOKUP('Données projet'!$B$10,Paramètres!$A$1:$I$89,3,0)*VLOOKUP('Données projet'!$B$10,Paramètres!$A$1:$I$89,5,0)</f>
        <v>-3.2277966965921228E-13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211.73952357671845</v>
      </c>
      <c r="AO122" s="62">
        <f t="shared" si="90"/>
        <v>238.591781509447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53.988399574348421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4.7667681389213839E-12</v>
      </c>
      <c r="AX122" s="23">
        <f t="shared" si="60"/>
        <v>53.988399574353188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-5.3205440053716299E-14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0</v>
      </c>
      <c r="BJ122" s="62">
        <f t="shared" si="92"/>
        <v>0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214.85492627089661</v>
      </c>
      <c r="BQ122" s="23">
        <f>EXP(-LN(2)/25)*BQ121+(1-EXP(-LN(2)/25))/(LN(2)/25)*Calculateur!BL122*Calculateur!BN122*VLOOKUP('Données projet'!$B$11,Paramètres!$A$1:$I$89,3,0)*0.475*44/12</f>
        <v>21.503414359050616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236.35834062994724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159.45415548295978</v>
      </c>
      <c r="T123" s="62">
        <f t="shared" si="88"/>
        <v>268.09398033989754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-3.694822225952521E-13</v>
      </c>
      <c r="AJ123" s="14">
        <f>AI123*VLOOKUP('Données projet'!$B$10,Paramètres!$A$1:$I$89,3,0)*VLOOKUP('Données projet'!$B$10,Paramètres!$A$1:$I$89,5,0)</f>
        <v>-3.2277966965921228E-13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211.73952357671845</v>
      </c>
      <c r="AO123" s="62">
        <f t="shared" si="90"/>
        <v>238.591781509447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52.929719988367651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3.3706140753752894E-12</v>
      </c>
      <c r="AX123" s="23">
        <f t="shared" si="60"/>
        <v>52.929719988371019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-5.3205440053716299E-14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0</v>
      </c>
      <c r="BJ123" s="62">
        <f t="shared" si="92"/>
        <v>0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210.64175221528939</v>
      </c>
      <c r="BQ123" s="23">
        <f>EXP(-LN(2)/25)*BQ122+(1-EXP(-LN(2)/25))/(LN(2)/25)*Calculateur!BL123*Calculateur!BN123*VLOOKUP('Données projet'!$B$11,Paramètres!$A$1:$I$89,3,0)*0.475*44/12</f>
        <v>20.915402362586963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231.55715457787636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159.45415548295978</v>
      </c>
      <c r="T124" s="62">
        <f t="shared" si="88"/>
        <v>268.09398033989754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-3.694822225952521E-13</v>
      </c>
      <c r="AJ124" s="14">
        <f>AI124*VLOOKUP('Données projet'!$B$10,Paramètres!$A$1:$I$89,3,0)*VLOOKUP('Données projet'!$B$10,Paramètres!$A$1:$I$89,5,0)</f>
        <v>-3.2277966965921228E-13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211.73952357671845</v>
      </c>
      <c r="AO124" s="62">
        <f t="shared" si="90"/>
        <v>238.591781509447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51.891800463337177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2.3833840694606919E-12</v>
      </c>
      <c r="AX124" s="23">
        <f t="shared" si="60"/>
        <v>51.891800463339557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-5.3205440053716299E-14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0</v>
      </c>
      <c r="BJ124" s="62">
        <f t="shared" si="92"/>
        <v>0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206.51119593313018</v>
      </c>
      <c r="BQ124" s="23">
        <f>EXP(-LN(2)/25)*BQ123+(1-EXP(-LN(2)/25))/(LN(2)/25)*Calculateur!BL124*Calculateur!BN124*VLOOKUP('Données projet'!$B$11,Paramètres!$A$1:$I$89,3,0)*0.475*44/12</f>
        <v>20.343469585088815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226.85466551821901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159.45415548295978</v>
      </c>
      <c r="T125" s="62">
        <f t="shared" si="88"/>
        <v>268.09398033989754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-3.694822225952521E-13</v>
      </c>
      <c r="AJ125" s="14">
        <f>AI125*VLOOKUP('Données projet'!$B$10,Paramètres!$A$1:$I$89,3,0)*VLOOKUP('Données projet'!$B$10,Paramètres!$A$1:$I$89,5,0)</f>
        <v>-3.2277966965921228E-13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211.73952357671845</v>
      </c>
      <c r="AO125" s="62">
        <f t="shared" si="90"/>
        <v>238.591781509447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50.87423390712415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1.6853070376876447E-12</v>
      </c>
      <c r="AX125" s="23">
        <f t="shared" si="60"/>
        <v>50.874233907125834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-5.3205440053716299E-14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0</v>
      </c>
      <c r="BJ125" s="62">
        <f t="shared" si="92"/>
        <v>0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202.46163734027357</v>
      </c>
      <c r="BQ125" s="23">
        <f>EXP(-LN(2)/25)*BQ124+(1-EXP(-LN(2)/25))/(LN(2)/25)*Calculateur!BL125*Calculateur!BN125*VLOOKUP('Données projet'!$B$11,Paramètres!$A$1:$I$89,3,0)*0.475*44/12</f>
        <v>19.78717633946799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222.24881367974155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159.45415548295978</v>
      </c>
      <c r="T126" s="62">
        <f t="shared" si="88"/>
        <v>268.09398033989754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-3.694822225952521E-13</v>
      </c>
      <c r="AJ126" s="14">
        <f>AI126*VLOOKUP('Données projet'!$B$10,Paramètres!$A$1:$I$89,3,0)*VLOOKUP('Données projet'!$B$10,Paramètres!$A$1:$I$89,5,0)</f>
        <v>-3.2277966965921228E-13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211.73952357671845</v>
      </c>
      <c r="AO126" s="62">
        <f t="shared" si="90"/>
        <v>238.591781509447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49.876621210424148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1.191692034730346E-12</v>
      </c>
      <c r="AX126" s="23">
        <f t="shared" si="60"/>
        <v>49.876621210425341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-5.3205440053716299E-14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0</v>
      </c>
      <c r="BJ126" s="62">
        <f t="shared" si="92"/>
        <v>0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198.49148812143602</v>
      </c>
      <c r="BQ126" s="23">
        <f>EXP(-LN(2)/25)*BQ125+(1-EXP(-LN(2)/25))/(LN(2)/25)*Calculateur!BL126*Calculateur!BN126*VLOOKUP('Données projet'!$B$11,Paramètres!$A$1:$I$89,3,0)*0.475*44/12</f>
        <v>19.246094961902859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217.73758308333888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159.45415548295978</v>
      </c>
      <c r="T127" s="62">
        <f t="shared" si="88"/>
        <v>268.09398033989754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-3.694822225952521E-13</v>
      </c>
      <c r="AJ127" s="14">
        <f>AI127*VLOOKUP('Données projet'!$B$10,Paramètres!$A$1:$I$89,3,0)*VLOOKUP('Données projet'!$B$10,Paramètres!$A$1:$I$89,5,0)</f>
        <v>-3.2277966965921228E-13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211.73952357671845</v>
      </c>
      <c r="AO127" s="62">
        <f t="shared" si="90"/>
        <v>238.591781509447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48.898571090222774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8.4265351884382236E-13</v>
      </c>
      <c r="AX127" s="23">
        <f t="shared" si="60"/>
        <v>48.898571090223619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-5.3205440053716299E-14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0</v>
      </c>
      <c r="BJ127" s="62">
        <f t="shared" si="92"/>
        <v>0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194.59919110722797</v>
      </c>
      <c r="BQ127" s="23">
        <f>EXP(-LN(2)/25)*BQ126+(1-EXP(-LN(2)/25))/(LN(2)/25)*Calculateur!BL127*Calculateur!BN127*VLOOKUP('Données projet'!$B$11,Paramètres!$A$1:$I$89,3,0)*0.475*44/12</f>
        <v>18.719809483061479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213.31900059028945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159.45415548295978</v>
      </c>
      <c r="T128" s="62">
        <f t="shared" si="88"/>
        <v>268.09398033989754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-3.694822225952521E-13</v>
      </c>
      <c r="AJ128" s="14">
        <f>AI128*VLOOKUP('Données projet'!$B$10,Paramètres!$A$1:$I$89,3,0)*VLOOKUP('Données projet'!$B$10,Paramètres!$A$1:$I$89,5,0)</f>
        <v>-3.2277966965921228E-13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211.73952357671845</v>
      </c>
      <c r="AO128" s="62">
        <f t="shared" si="90"/>
        <v>238.591781509447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47.939699936326875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5.9584601736517299E-13</v>
      </c>
      <c r="AX128" s="23">
        <f t="shared" si="60"/>
        <v>47.939699936327472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-5.3205440053716299E-14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0</v>
      </c>
      <c r="BJ128" s="62">
        <f t="shared" si="92"/>
        <v>0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190.78321966340175</v>
      </c>
      <c r="BQ128" s="23">
        <f>EXP(-LN(2)/25)*BQ127+(1-EXP(-LN(2)/25))/(LN(2)/25)*Calculateur!BL128*Calculateur!BN128*VLOOKUP('Données projet'!$B$11,Paramètres!$A$1:$I$89,3,0)*0.475*44/12</f>
        <v>18.207915308315165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208.99113497171692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159.45415548295978</v>
      </c>
      <c r="T129" s="62">
        <f t="shared" si="88"/>
        <v>268.09398033989754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-3.694822225952521E-13</v>
      </c>
      <c r="AJ129" s="14">
        <f>AI129*VLOOKUP('Données projet'!$B$10,Paramètres!$A$1:$I$89,3,0)*VLOOKUP('Données projet'!$B$10,Paramètres!$A$1:$I$89,5,0)</f>
        <v>-3.2277966965921228E-13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211.73952357671845</v>
      </c>
      <c r="AO129" s="62">
        <f t="shared" si="90"/>
        <v>238.591781509447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46.999631660905223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4.2132675942191118E-13</v>
      </c>
      <c r="AX129" s="23">
        <f t="shared" si="60"/>
        <v>46.999631660905642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-5.3205440053716299E-14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0</v>
      </c>
      <c r="BJ129" s="62">
        <f t="shared" si="92"/>
        <v>0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187.04207709207623</v>
      </c>
      <c r="BQ129" s="23">
        <f>EXP(-LN(2)/25)*BQ128+(1-EXP(-LN(2)/25))/(LN(2)/25)*Calculateur!BL129*Calculateur!BN129*VLOOKUP('Données projet'!$B$11,Paramètres!$A$1:$I$89,3,0)*0.475*44/12</f>
        <v>17.710018906696636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204.75209599877286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159.45415548295978</v>
      </c>
      <c r="T130" s="62">
        <f t="shared" si="88"/>
        <v>268.09398033989754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-3.694822225952521E-13</v>
      </c>
      <c r="AJ130" s="14">
        <f>AI130*VLOOKUP('Données projet'!$B$10,Paramètres!$A$1:$I$89,3,0)*VLOOKUP('Données projet'!$B$10,Paramètres!$A$1:$I$89,5,0)</f>
        <v>-3.2277966965921228E-13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211.73952357671845</v>
      </c>
      <c r="AO130" s="62">
        <f t="shared" si="90"/>
        <v>238.591781509447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46.077997550979561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2.9792300868258649E-13</v>
      </c>
      <c r="AX130" s="23">
        <f t="shared" si="60"/>
        <v>46.077997550979859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-5.3205440053716299E-14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0</v>
      </c>
      <c r="BJ130" s="62">
        <f t="shared" si="92"/>
        <v>0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183.37429604470273</v>
      </c>
      <c r="BQ130" s="23">
        <f>EXP(-LN(2)/25)*BQ129+(1-EXP(-LN(2)/25))/(LN(2)/25)*Calculateur!BL130*Calculateur!BN130*VLOOKUP('Données projet'!$B$11,Paramètres!$A$1:$I$89,3,0)*0.475*44/12</f>
        <v>17.225737508363597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200.60003355306634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159.45415548295978</v>
      </c>
      <c r="T131" s="62">
        <f t="shared" si="88"/>
        <v>268.09398033989754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-3.694822225952521E-13</v>
      </c>
      <c r="AJ131" s="14">
        <f>AI131*VLOOKUP('Données projet'!$B$10,Paramètres!$A$1:$I$89,3,0)*VLOOKUP('Données projet'!$B$10,Paramètres!$A$1:$I$89,5,0)</f>
        <v>-3.2277966965921228E-13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211.73952357671845</v>
      </c>
      <c r="AO131" s="62">
        <f t="shared" si="90"/>
        <v>238.591781509447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45.174436123808242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2.1066337971095559E-13</v>
      </c>
      <c r="AX131" s="23">
        <f t="shared" si="60"/>
        <v>45.174436123808455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-5.3205440053716299E-14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0</v>
      </c>
      <c r="BJ131" s="62">
        <f t="shared" si="92"/>
        <v>0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179.77843794654271</v>
      </c>
      <c r="BQ131" s="23">
        <f>EXP(-LN(2)/25)*BQ130+(1-EXP(-LN(2)/25))/(LN(2)/25)*Calculateur!BL131*Calculateur!BN131*VLOOKUP('Données projet'!$B$11,Paramètres!$A$1:$I$89,3,0)*0.475*44/12</f>
        <v>16.754698810335228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196.53313675687792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159.45415548295978</v>
      </c>
      <c r="T132" s="62">
        <f t="shared" si="88"/>
        <v>268.09398033989754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-3.694822225952521E-13</v>
      </c>
      <c r="AJ132" s="14">
        <f>AI132*VLOOKUP('Données projet'!$B$10,Paramètres!$A$1:$I$89,3,0)*VLOOKUP('Données projet'!$B$10,Paramètres!$A$1:$I$89,5,0)</f>
        <v>-3.2277966965921228E-13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211.73952357671845</v>
      </c>
      <c r="AO132" s="62">
        <f t="shared" si="90"/>
        <v>238.591781509447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44.288592985105694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1.4896150434129325E-13</v>
      </c>
      <c r="AX132" s="23">
        <f t="shared" ref="AX132:AX153" si="114">SUM(AU132:AW132)</f>
        <v>44.288592985105844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-5.3205440053716299E-14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0</v>
      </c>
      <c r="BJ132" s="62">
        <f t="shared" si="92"/>
        <v>0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176.25309243243072</v>
      </c>
      <c r="BQ132" s="23">
        <f>EXP(-LN(2)/25)*BQ131+(1-EXP(-LN(2)/25))/(LN(2)/25)*Calculateur!BL132*Calculateur!BN132*VLOOKUP('Données projet'!$B$11,Paramètres!$A$1:$I$89,3,0)*0.475*44/12</f>
        <v>16.296540690275293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192.54963312270601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159.45415548295978</v>
      </c>
      <c r="T133" s="62">
        <f t="shared" ref="T133:T196" si="142">$T$3</f>
        <v>268.09398033989754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-3.694822225952521E-13</v>
      </c>
      <c r="AJ133" s="14">
        <f>AI133*VLOOKUP('Données projet'!$B$10,Paramètres!$A$1:$I$89,3,0)*VLOOKUP('Données projet'!$B$10,Paramètres!$A$1:$I$89,5,0)</f>
        <v>-3.2277966965921228E-13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211.73952357671845</v>
      </c>
      <c r="AO133" s="62">
        <f t="shared" ref="AO133:AO196" si="144">$AO$3</f>
        <v>238.591781509447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43.420120690042147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1.0533168985547779E-13</v>
      </c>
      <c r="AX133" s="23">
        <f t="shared" si="114"/>
        <v>43.420120690042253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-5.3205440053716299E-14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0</v>
      </c>
      <c r="BJ133" s="62">
        <f t="shared" ref="BJ133:BJ196" si="146">$BJ$3</f>
        <v>0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172.79687679360202</v>
      </c>
      <c r="BQ133" s="23">
        <f>EXP(-LN(2)/25)*BQ132+(1-EXP(-LN(2)/25))/(LN(2)/25)*Calculateur!BL133*Calculateur!BN133*VLOOKUP('Données projet'!$B$11,Paramètres!$A$1:$I$89,3,0)*0.475*44/12</f>
        <v>15.850910928101886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188.64778772170391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159.45415548295978</v>
      </c>
      <c r="T134" s="62">
        <f t="shared" si="142"/>
        <v>268.09398033989754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-3.694822225952521E-13</v>
      </c>
      <c r="AJ134" s="14">
        <f>AI134*VLOOKUP('Données projet'!$B$10,Paramètres!$A$1:$I$89,3,0)*VLOOKUP('Données projet'!$B$10,Paramètres!$A$1:$I$89,5,0)</f>
        <v>-3.2277966965921228E-13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211.73952357671845</v>
      </c>
      <c r="AO134" s="62">
        <f t="shared" si="144"/>
        <v>238.591781509447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42.568678606968994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7.4480752170646623E-14</v>
      </c>
      <c r="AX134" s="23">
        <f t="shared" si="114"/>
        <v>42.568678606969065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-5.3205440053716299E-14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0</v>
      </c>
      <c r="BJ134" s="62">
        <f t="shared" si="146"/>
        <v>0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169.40843543536738</v>
      </c>
      <c r="BQ134" s="23">
        <f>EXP(-LN(2)/25)*BQ133+(1-EXP(-LN(2)/25))/(LN(2)/25)*Calculateur!BL134*Calculateur!BN134*VLOOKUP('Données projet'!$B$11,Paramètres!$A$1:$I$89,3,0)*0.475*44/12</f>
        <v>15.417466935209761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184.82590237057715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159.45415548295978</v>
      </c>
      <c r="T135" s="62">
        <f t="shared" si="142"/>
        <v>268.09398033989754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-3.694822225952521E-13</v>
      </c>
      <c r="AJ135" s="14">
        <f>AI135*VLOOKUP('Données projet'!$B$10,Paramètres!$A$1:$I$89,3,0)*VLOOKUP('Données projet'!$B$10,Paramètres!$A$1:$I$89,5,0)</f>
        <v>-3.2277966965921228E-13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211.73952357671845</v>
      </c>
      <c r="AO135" s="62">
        <f t="shared" si="144"/>
        <v>238.591781509447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41.73393278381652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5.2665844927738897E-14</v>
      </c>
      <c r="AX135" s="23">
        <f t="shared" si="114"/>
        <v>41.73393278381657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-5.3205440053716299E-14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0</v>
      </c>
      <c r="BJ135" s="62">
        <f t="shared" si="146"/>
        <v>0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166.08643934542255</v>
      </c>
      <c r="BQ135" s="23">
        <f>EXP(-LN(2)/25)*BQ134+(1-EXP(-LN(2)/25))/(LN(2)/25)*Calculateur!BL135*Calculateur!BN135*VLOOKUP('Données projet'!$B$11,Paramètres!$A$1:$I$89,3,0)*0.475*44/12</f>
        <v>14.995875491097101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181.08231483651966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159.45415548295978</v>
      </c>
      <c r="T136" s="62">
        <f t="shared" si="142"/>
        <v>268.09398033989754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-3.694822225952521E-13</v>
      </c>
      <c r="AJ136" s="14">
        <f>AI136*VLOOKUP('Données projet'!$B$10,Paramètres!$A$1:$I$89,3,0)*VLOOKUP('Données projet'!$B$10,Paramètres!$A$1:$I$89,5,0)</f>
        <v>-3.2277966965921228E-13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211.73952357671845</v>
      </c>
      <c r="AO136" s="62">
        <f t="shared" si="144"/>
        <v>238.591781509447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40.915555817111382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3.7240376085323312E-14</v>
      </c>
      <c r="AX136" s="23">
        <f t="shared" si="114"/>
        <v>40.915555817111418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-5.3205440053716299E-14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0</v>
      </c>
      <c r="BJ136" s="62">
        <f t="shared" si="146"/>
        <v>0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162.82958557258399</v>
      </c>
      <c r="BQ136" s="23">
        <f>EXP(-LN(2)/25)*BQ135+(1-EXP(-LN(2)/25))/(LN(2)/25)*Calculateur!BL136*Calculateur!BN136*VLOOKUP('Données projet'!$B$11,Paramètres!$A$1:$I$89,3,0)*0.475*44/12</f>
        <v>14.585812487194232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177.41539805977823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159.45415548295978</v>
      </c>
      <c r="T137" s="62">
        <f t="shared" si="142"/>
        <v>268.09398033989754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-3.694822225952521E-13</v>
      </c>
      <c r="AJ137" s="14">
        <f>AI137*VLOOKUP('Données projet'!$B$10,Paramètres!$A$1:$I$89,3,0)*VLOOKUP('Données projet'!$B$10,Paramètres!$A$1:$I$89,5,0)</f>
        <v>-3.2277966965921228E-13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211.73952357671845</v>
      </c>
      <c r="AO137" s="62">
        <f t="shared" si="144"/>
        <v>238.591781509447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40.113226723562676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2.6332922463869449E-14</v>
      </c>
      <c r="AX137" s="23">
        <f t="shared" si="114"/>
        <v>40.113226723562704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-5.3205440053716299E-14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0</v>
      </c>
      <c r="BJ137" s="62">
        <f t="shared" si="146"/>
        <v>0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159.63659671574615</v>
      </c>
      <c r="BQ137" s="23">
        <f>EXP(-LN(2)/25)*BQ136+(1-EXP(-LN(2)/25))/(LN(2)/25)*Calculateur!BL137*Calculateur!BN137*VLOOKUP('Données projet'!$B$11,Paramètres!$A$1:$I$89,3,0)*0.475*44/12</f>
        <v>14.186962677697364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173.8235593934435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159.45415548295978</v>
      </c>
      <c r="T138" s="62">
        <f t="shared" si="142"/>
        <v>268.09398033989754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-3.694822225952521E-13</v>
      </c>
      <c r="AJ138" s="14">
        <f>AI138*VLOOKUP('Données projet'!$B$10,Paramètres!$A$1:$I$89,3,0)*VLOOKUP('Données projet'!$B$10,Paramètres!$A$1:$I$89,5,0)</f>
        <v>-3.2277966965921228E-13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211.73952357671845</v>
      </c>
      <c r="AO138" s="62">
        <f t="shared" si="144"/>
        <v>238.591781509447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39.32663081416603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1.8620188042661656E-14</v>
      </c>
      <c r="AX138" s="23">
        <f t="shared" si="114"/>
        <v>39.326630814166052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-5.3205440053716299E-14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0</v>
      </c>
      <c r="BJ138" s="62">
        <f t="shared" si="146"/>
        <v>0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156.50622042286</v>
      </c>
      <c r="BQ138" s="23">
        <f>EXP(-LN(2)/25)*BQ137+(1-EXP(-LN(2)/25))/(LN(2)/25)*Calculateur!BL138*Calculateur!BN138*VLOOKUP('Données projet'!$B$11,Paramètres!$A$1:$I$89,3,0)*0.475*44/12</f>
        <v>13.799019437215787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170.30523986007577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159.45415548295978</v>
      </c>
      <c r="T139" s="62">
        <f t="shared" si="142"/>
        <v>268.09398033989754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-3.694822225952521E-13</v>
      </c>
      <c r="AJ139" s="14">
        <f>AI139*VLOOKUP('Données projet'!$B$10,Paramètres!$A$1:$I$89,3,0)*VLOOKUP('Données projet'!$B$10,Paramètres!$A$1:$I$89,5,0)</f>
        <v>-3.2277966965921228E-13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211.73952357671845</v>
      </c>
      <c r="AO139" s="62">
        <f t="shared" si="144"/>
        <v>238.591781509447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38.555459570776527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1.3166461231934724E-14</v>
      </c>
      <c r="AX139" s="23">
        <f t="shared" si="114"/>
        <v>38.555459570776542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-5.3205440053716299E-14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0</v>
      </c>
      <c r="BJ139" s="62">
        <f t="shared" si="146"/>
        <v>0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153.43722889973634</v>
      </c>
      <c r="BQ139" s="23">
        <f>EXP(-LN(2)/25)*BQ138+(1-EXP(-LN(2)/25))/(LN(2)/25)*Calculateur!BL139*Calculateur!BN139*VLOOKUP('Données projet'!$B$11,Paramètres!$A$1:$I$89,3,0)*0.475*44/12</f>
        <v>13.421684525046226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166.85891342478257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159.45415548295978</v>
      </c>
      <c r="T140" s="62">
        <f t="shared" si="142"/>
        <v>268.09398033989754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-3.694822225952521E-13</v>
      </c>
      <c r="AJ140" s="14">
        <f>AI140*VLOOKUP('Données projet'!$B$10,Paramètres!$A$1:$I$89,3,0)*VLOOKUP('Données projet'!$B$10,Paramètres!$A$1:$I$89,5,0)</f>
        <v>-3.2277966965921228E-13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211.73952357671845</v>
      </c>
      <c r="AO140" s="62">
        <f t="shared" si="144"/>
        <v>238.591781509447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37.799410525101877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9.3100940213308279E-15</v>
      </c>
      <c r="AX140" s="23">
        <f t="shared" si="114"/>
        <v>37.799410525101884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-5.3205440053716299E-14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0</v>
      </c>
      <c r="BJ140" s="62">
        <f t="shared" si="146"/>
        <v>0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150.42841842848114</v>
      </c>
      <c r="BQ140" s="23">
        <f>EXP(-LN(2)/25)*BQ139+(1-EXP(-LN(2)/25))/(LN(2)/25)*Calculateur!BL140*Calculateur!BN140*VLOOKUP('Données projet'!$B$11,Paramètres!$A$1:$I$89,3,0)*0.475*44/12</f>
        <v>13.054667855893124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163.48308628437425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159.45415548295978</v>
      </c>
      <c r="T141" s="62">
        <f t="shared" si="142"/>
        <v>268.09398033989754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-3.694822225952521E-13</v>
      </c>
      <c r="AJ141" s="14">
        <f>AI141*VLOOKUP('Données projet'!$B$10,Paramètres!$A$1:$I$89,3,0)*VLOOKUP('Données projet'!$B$10,Paramètres!$A$1:$I$89,5,0)</f>
        <v>-3.2277966965921228E-13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211.73952357671845</v>
      </c>
      <c r="AO141" s="62">
        <f t="shared" si="144"/>
        <v>238.591781509447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37.058187140068519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6.5832306159673622E-15</v>
      </c>
      <c r="AX141" s="23">
        <f t="shared" si="114"/>
        <v>37.058187140068526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-5.3205440053716299E-14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0</v>
      </c>
      <c r="BJ141" s="62">
        <f t="shared" si="146"/>
        <v>0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147.47860889537407</v>
      </c>
      <c r="BQ141" s="23">
        <f>EXP(-LN(2)/25)*BQ140+(1-EXP(-LN(2)/25))/(LN(2)/25)*Calculateur!BL141*Calculateur!BN141*VLOOKUP('Données projet'!$B$11,Paramètres!$A$1:$I$89,3,0)*0.475*44/12</f>
        <v>12.697687276858581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160.17629617223264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159.45415548295978</v>
      </c>
      <c r="T142" s="62">
        <f t="shared" si="142"/>
        <v>268.09398033989754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-3.694822225952521E-13</v>
      </c>
      <c r="AJ142" s="14">
        <f>AI142*VLOOKUP('Données projet'!$B$10,Paramètres!$A$1:$I$89,3,0)*VLOOKUP('Données projet'!$B$10,Paramètres!$A$1:$I$89,5,0)</f>
        <v>-3.2277966965921228E-13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211.73952357671845</v>
      </c>
      <c r="AO142" s="62">
        <f t="shared" si="144"/>
        <v>238.591781509447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36.331498693514042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4.655047010665414E-15</v>
      </c>
      <c r="AX142" s="23">
        <f t="shared" si="114"/>
        <v>36.33149869351405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-5.3205440053716299E-14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0</v>
      </c>
      <c r="BJ142" s="62">
        <f t="shared" si="146"/>
        <v>0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144.58664332800507</v>
      </c>
      <c r="BQ142" s="23">
        <f>EXP(-LN(2)/25)*BQ141+(1-EXP(-LN(2)/25))/(LN(2)/25)*Calculateur!BL142*Calculateur!BN142*VLOOKUP('Données projet'!$B$11,Paramètres!$A$1:$I$89,3,0)*0.475*44/12</f>
        <v>12.35046835053053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156.93711167853559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159.45415548295978</v>
      </c>
      <c r="T143" s="62">
        <f t="shared" si="142"/>
        <v>268.09398033989754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-3.694822225952521E-13</v>
      </c>
      <c r="AJ143" s="14">
        <f>AI143*VLOOKUP('Données projet'!$B$10,Paramètres!$A$1:$I$89,3,0)*VLOOKUP('Données projet'!$B$10,Paramètres!$A$1:$I$89,5,0)</f>
        <v>-3.2277966965921228E-13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211.73952357671845</v>
      </c>
      <c r="AO143" s="62">
        <f t="shared" si="144"/>
        <v>238.591781509447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35.619060164160317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3.2916153079836811E-15</v>
      </c>
      <c r="AX143" s="23">
        <f t="shared" si="114"/>
        <v>35.619060164160317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-5.3205440053716299E-14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0</v>
      </c>
      <c r="BJ143" s="62">
        <f t="shared" si="146"/>
        <v>0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141.75138744148737</v>
      </c>
      <c r="BQ143" s="23">
        <f>EXP(-LN(2)/25)*BQ142+(1-EXP(-LN(2)/25))/(LN(2)/25)*Calculateur!BL143*Calculateur!BN143*VLOOKUP('Données projet'!$B$11,Paramètres!$A$1:$I$89,3,0)*0.475*44/12</f>
        <v>12.012744144002369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153.76413158548974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159.45415548295978</v>
      </c>
      <c r="T144" s="62">
        <f t="shared" si="142"/>
        <v>268.09398033989754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-3.694822225952521E-13</v>
      </c>
      <c r="AJ144" s="14">
        <f>AI144*VLOOKUP('Données projet'!$B$10,Paramètres!$A$1:$I$89,3,0)*VLOOKUP('Données projet'!$B$10,Paramètres!$A$1:$I$89,5,0)</f>
        <v>-3.2277966965921228E-13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211.73952357671845</v>
      </c>
      <c r="AO144" s="62">
        <f t="shared" si="144"/>
        <v>238.591781509447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34.920592119822622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2.327523505332707E-15</v>
      </c>
      <c r="AX144" s="23">
        <f t="shared" si="114"/>
        <v>34.920592119822622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-5.3205440053716299E-14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0</v>
      </c>
      <c r="BJ144" s="62">
        <f t="shared" si="146"/>
        <v>0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138.97172919356893</v>
      </c>
      <c r="BQ144" s="23">
        <f>EXP(-LN(2)/25)*BQ143+(1-EXP(-LN(2)/25))/(LN(2)/25)*Calculateur!BL144*Calculateur!BN144*VLOOKUP('Données projet'!$B$11,Paramètres!$A$1:$I$89,3,0)*0.475*44/12</f>
        <v>11.684255023661866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150.65598421723081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159.45415548295978</v>
      </c>
      <c r="T145" s="62">
        <f t="shared" si="142"/>
        <v>268.09398033989754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-3.694822225952521E-13</v>
      </c>
      <c r="AJ145" s="14">
        <f>AI145*VLOOKUP('Données projet'!$B$10,Paramètres!$A$1:$I$89,3,0)*VLOOKUP('Données projet'!$B$10,Paramètres!$A$1:$I$89,5,0)</f>
        <v>-3.2277966965921228E-13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211.73952357671845</v>
      </c>
      <c r="AO145" s="62">
        <f t="shared" si="144"/>
        <v>238.591781509447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34.235820607810943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1.6458076539918405E-15</v>
      </c>
      <c r="AX145" s="23">
        <f t="shared" si="114"/>
        <v>34.235820607810943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-5.3205440053716299E-14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0</v>
      </c>
      <c r="BJ145" s="62">
        <f t="shared" si="146"/>
        <v>0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136.24657834846806</v>
      </c>
      <c r="BQ145" s="23">
        <f>EXP(-LN(2)/25)*BQ144+(1-EXP(-LN(2)/25))/(LN(2)/25)*Calculateur!BL145*Calculateur!BN145*VLOOKUP('Données projet'!$B$11,Paramètres!$A$1:$I$89,3,0)*0.475*44/12</f>
        <v>11.364748455591565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147.61132680405962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159.45415548295978</v>
      </c>
      <c r="T146" s="62">
        <f t="shared" si="142"/>
        <v>268.09398033989754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-3.694822225952521E-13</v>
      </c>
      <c r="AJ146" s="14">
        <f>AI146*VLOOKUP('Données projet'!$B$10,Paramètres!$A$1:$I$89,3,0)*VLOOKUP('Données projet'!$B$10,Paramètres!$A$1:$I$89,5,0)</f>
        <v>-3.2277966965921228E-13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211.73952357671845</v>
      </c>
      <c r="AO146" s="62">
        <f t="shared" si="144"/>
        <v>238.591781509447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33.564477047480437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1.1637617526663535E-15</v>
      </c>
      <c r="AX146" s="23">
        <f t="shared" si="114"/>
        <v>33.564477047480437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-5.3205440053716299E-14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0</v>
      </c>
      <c r="BJ146" s="62">
        <f t="shared" si="146"/>
        <v>0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133.57486604926174</v>
      </c>
      <c r="BQ146" s="23">
        <f>EXP(-LN(2)/25)*BQ145+(1-EXP(-LN(2)/25))/(LN(2)/25)*Calculateur!BL146*Calculateur!BN146*VLOOKUP('Données projet'!$B$11,Paramètres!$A$1:$I$89,3,0)*0.475*44/12</f>
        <v>11.053978811427267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144.62884486068901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159.45415548295978</v>
      </c>
      <c r="T147" s="62">
        <f t="shared" si="142"/>
        <v>268.09398033989754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-3.694822225952521E-13</v>
      </c>
      <c r="AJ147" s="14">
        <f>AI147*VLOOKUP('Données projet'!$B$10,Paramètres!$A$1:$I$89,3,0)*VLOOKUP('Données projet'!$B$10,Paramètres!$A$1:$I$89,5,0)</f>
        <v>-3.2277966965921228E-13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211.73952357671845</v>
      </c>
      <c r="AO147" s="62">
        <f t="shared" si="144"/>
        <v>238.591781509447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32.90629812488887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8.2290382699592027E-16</v>
      </c>
      <c r="AX147" s="23">
        <f t="shared" si="114"/>
        <v>32.90629812488887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-5.3205440053716299E-14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0</v>
      </c>
      <c r="BJ147" s="62">
        <f t="shared" si="146"/>
        <v>0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130.95554439865927</v>
      </c>
      <c r="BQ147" s="23">
        <f>EXP(-LN(2)/25)*BQ146+(1-EXP(-LN(2)/25))/(LN(2)/25)*Calculateur!BL147*Calculateur!BN147*VLOOKUP('Données projet'!$B$11,Paramètres!$A$1:$I$89,3,0)*0.475*44/12</f>
        <v>10.751707179525308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141.70725157818458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159.45415548295978</v>
      </c>
      <c r="T148" s="62">
        <f t="shared" si="142"/>
        <v>268.09398033989754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-3.694822225952521E-13</v>
      </c>
      <c r="AJ148" s="14">
        <f>AI148*VLOOKUP('Données projet'!$B$10,Paramètres!$A$1:$I$89,3,0)*VLOOKUP('Données projet'!$B$10,Paramètres!$A$1:$I$89,5,0)</f>
        <v>-3.2277966965921228E-13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211.73952357671845</v>
      </c>
      <c r="AO148" s="62">
        <f t="shared" si="144"/>
        <v>238.591781509447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32.261025689519826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5.8188087633317675E-16</v>
      </c>
      <c r="AX148" s="23">
        <f t="shared" si="114"/>
        <v>32.261025689519826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-5.3205440053716299E-14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0</v>
      </c>
      <c r="BJ148" s="62">
        <f t="shared" si="146"/>
        <v>0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128.38758604799665</v>
      </c>
      <c r="BQ148" s="23">
        <f>EXP(-LN(2)/25)*BQ147+(1-EXP(-LN(2)/25))/(LN(2)/25)*Calculateur!BL148*Calculateur!BN148*VLOOKUP('Données projet'!$B$11,Paramètres!$A$1:$I$89,3,0)*0.475*44/12</f>
        <v>10.457701181293482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138.84528722929014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159.45415548295978</v>
      </c>
      <c r="T149" s="62">
        <f t="shared" si="142"/>
        <v>268.09398033989754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-3.694822225952521E-13</v>
      </c>
      <c r="AJ149" s="14">
        <f>AI149*VLOOKUP('Données projet'!$B$10,Paramètres!$A$1:$I$89,3,0)*VLOOKUP('Données projet'!$B$10,Paramètres!$A$1:$I$89,5,0)</f>
        <v>-3.2277966965921228E-13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211.73952357671845</v>
      </c>
      <c r="AO149" s="62">
        <f t="shared" si="144"/>
        <v>238.591781509447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31.628406653031043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4.1145191349796013E-16</v>
      </c>
      <c r="AX149" s="23">
        <f t="shared" si="114"/>
        <v>31.628406653031043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-5.3205440053716299E-14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0</v>
      </c>
      <c r="BJ149" s="62">
        <f t="shared" si="146"/>
        <v>0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125.86998379429058</v>
      </c>
      <c r="BQ149" s="23">
        <f>EXP(-LN(2)/25)*BQ148+(1-EXP(-LN(2)/25))/(LN(2)/25)*Calculateur!BL149*Calculateur!BN149*VLOOKUP('Données projet'!$B$11,Paramètres!$A$1:$I$89,3,0)*0.475*44/12</f>
        <v>10.171734792544408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136.04171858683497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159.45415548295978</v>
      </c>
      <c r="T150" s="62">
        <f t="shared" si="142"/>
        <v>268.09398033989754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-3.694822225952521E-13</v>
      </c>
      <c r="AJ150" s="14">
        <f>AI150*VLOOKUP('Données projet'!$B$10,Paramètres!$A$1:$I$89,3,0)*VLOOKUP('Données projet'!$B$10,Paramètres!$A$1:$I$89,5,0)</f>
        <v>-3.2277966965921228E-13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211.73952357671845</v>
      </c>
      <c r="AO150" s="62">
        <f t="shared" si="144"/>
        <v>238.591781509447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31.008192889988294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2.9094043816658837E-16</v>
      </c>
      <c r="AX150" s="23">
        <f t="shared" si="114"/>
        <v>31.008192889988294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-5.3205440053716299E-14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0</v>
      </c>
      <c r="BJ150" s="62">
        <f t="shared" si="146"/>
        <v>0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123.40175018519393</v>
      </c>
      <c r="BQ150" s="23">
        <f>EXP(-LN(2)/25)*BQ149+(1-EXP(-LN(2)/25))/(LN(2)/25)*Calculateur!BL150*Calculateur!BN150*VLOOKUP('Données projet'!$B$11,Paramètres!$A$1:$I$89,3,0)*0.475*44/12</f>
        <v>9.8935881697339951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133.29533835492794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159.45415548295978</v>
      </c>
      <c r="T151" s="62">
        <f t="shared" si="142"/>
        <v>268.09398033989754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-3.694822225952521E-13</v>
      </c>
      <c r="AJ151" s="14">
        <f>AI151*VLOOKUP('Données projet'!$B$10,Paramètres!$A$1:$I$89,3,0)*VLOOKUP('Données projet'!$B$10,Paramètres!$A$1:$I$89,5,0)</f>
        <v>-3.2277966965921228E-13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211.73952357671845</v>
      </c>
      <c r="AO151" s="62">
        <f t="shared" si="144"/>
        <v>238.591781509447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30.40014114054577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2.0572595674898007E-16</v>
      </c>
      <c r="AX151" s="23">
        <f t="shared" si="114"/>
        <v>30.40014114054577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-5.3205440053716299E-14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0</v>
      </c>
      <c r="BJ151" s="62">
        <f t="shared" si="146"/>
        <v>0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120.98191713169783</v>
      </c>
      <c r="BQ151" s="23">
        <f>EXP(-LN(2)/25)*BQ150+(1-EXP(-LN(2)/25))/(LN(2)/25)*Calculateur!BL151*Calculateur!BN151*VLOOKUP('Données projet'!$B$11,Paramètres!$A$1:$I$89,3,0)*0.475*44/12</f>
        <v>9.6230474809514295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130.60496461264927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159.45415548295978</v>
      </c>
      <c r="T152" s="62">
        <f t="shared" si="142"/>
        <v>268.09398033989754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-3.694822225952521E-13</v>
      </c>
      <c r="AJ152" s="14">
        <f>AI152*VLOOKUP('Données projet'!$B$10,Paramètres!$A$1:$I$89,3,0)*VLOOKUP('Données projet'!$B$10,Paramètres!$A$1:$I$89,5,0)</f>
        <v>-3.2277966965921228E-13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211.73952357671845</v>
      </c>
      <c r="AO152" s="62">
        <f t="shared" si="144"/>
        <v>238.591781509447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29.804012915034868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1.4547021908329419E-16</v>
      </c>
      <c r="AX152" s="23">
        <f t="shared" si="114"/>
        <v>29.804012915034868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-5.3205440053716299E-14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0</v>
      </c>
      <c r="BJ152" s="62">
        <f t="shared" si="146"/>
        <v>0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118.60953552842835</v>
      </c>
      <c r="BQ152" s="23">
        <f>EXP(-LN(2)/25)*BQ151+(1-EXP(-LN(2)/25))/(LN(2)/25)*Calculateur!BL152*Calculateur!BN152*VLOOKUP('Données projet'!$B$11,Paramètres!$A$1:$I$89,3,0)*0.475*44/12</f>
        <v>9.3599047415307393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127.96944026995909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159.45415548295978</v>
      </c>
      <c r="T153" s="62">
        <f t="shared" si="142"/>
        <v>268.09398033989754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-3.694822225952521E-13</v>
      </c>
      <c r="AJ153" s="14">
        <f>AI153*VLOOKUP('Données projet'!$B$10,Paramètres!$A$1:$I$89,3,0)*VLOOKUP('Données projet'!$B$10,Paramètres!$A$1:$I$89,5,0)</f>
        <v>-3.2277966965921228E-13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211.73952357671845</v>
      </c>
      <c r="AO153" s="62">
        <f t="shared" si="144"/>
        <v>238.591781509447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29.21957440042392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1.0286297837449003E-16</v>
      </c>
      <c r="AX153" s="23">
        <f t="shared" si="114"/>
        <v>29.21957440042392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-5.3205440053716299E-14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0</v>
      </c>
      <c r="BJ153" s="62">
        <f t="shared" si="146"/>
        <v>0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116.2836748813891</v>
      </c>
      <c r="BQ153" s="23">
        <f>EXP(-LN(2)/25)*BQ152+(1-EXP(-LN(2)/25))/(LN(2)/25)*Calculateur!BL153*Calculateur!BN153*VLOOKUP('Données projet'!$B$11,Paramètres!$A$1:$I$89,3,0)*0.475*44/12</f>
        <v>9.1039576541575826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125.38763253554669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159.45415548295978</v>
      </c>
      <c r="T154" s="62">
        <f t="shared" si="142"/>
        <v>268.09398033989754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-3.694822225952521E-13</v>
      </c>
      <c r="AJ154" s="14">
        <f>AI154*VLOOKUP('Données projet'!$B$10,Paramètres!$A$1:$I$89,3,0)*VLOOKUP('Données projet'!$B$10,Paramètres!$A$1:$I$89,5,0)</f>
        <v>-3.2277966965921228E-13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211.73952357671845</v>
      </c>
      <c r="AO154" s="62">
        <f t="shared" si="144"/>
        <v>238.591781509447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28.646596368612197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7.2735109541647093E-17</v>
      </c>
      <c r="AX154" s="23">
        <f t="shared" ref="AX154:AX203" si="166">SUM(AU154:AW154)</f>
        <v>28.646596368612197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-5.3205440053716299E-14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0</v>
      </c>
      <c r="BJ154" s="62">
        <f t="shared" si="146"/>
        <v>0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114.00342294300337</v>
      </c>
      <c r="BQ154" s="23">
        <f>EXP(-LN(2)/25)*BQ153+(1-EXP(-LN(2)/25))/(LN(2)/25)*Calculateur!BL154*Calculateur!BN154*VLOOKUP('Données projet'!$B$11,Paramètres!$A$1:$I$89,3,0)*0.475*44/12</f>
        <v>8.8550094533483179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122.85843239635169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159.45415548295978</v>
      </c>
      <c r="T155" s="62">
        <f t="shared" si="142"/>
        <v>268.09398033989754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-3.694822225952521E-13</v>
      </c>
      <c r="AJ155" s="14">
        <f>AI155*VLOOKUP('Données projet'!$B$10,Paramètres!$A$1:$I$89,3,0)*VLOOKUP('Données projet'!$B$10,Paramètres!$A$1:$I$89,5,0)</f>
        <v>-3.2277966965921228E-13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211.73952357671845</v>
      </c>
      <c r="AO155" s="62">
        <f t="shared" si="144"/>
        <v>238.591781509447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28.08485408652221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5.1431489187245017E-17</v>
      </c>
      <c r="AX155" s="23">
        <f t="shared" si="166"/>
        <v>28.08485408652221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-5.3205440053716299E-14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0</v>
      </c>
      <c r="BJ155" s="62">
        <f t="shared" si="146"/>
        <v>0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111.76788535431304</v>
      </c>
      <c r="BQ155" s="23">
        <f>EXP(-LN(2)/25)*BQ154+(1-EXP(-LN(2)/25))/(LN(2)/25)*Calculateur!BL155*Calculateur!BN155*VLOOKUP('Données projet'!$B$11,Paramètres!$A$1:$I$89,3,0)*0.475*44/12</f>
        <v>8.6128687541817985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120.38075410849484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159.45415548295978</v>
      </c>
      <c r="T156" s="62">
        <f t="shared" si="142"/>
        <v>268.09398033989754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-3.694822225952521E-13</v>
      </c>
      <c r="AJ156" s="14">
        <f>AI156*VLOOKUP('Données projet'!$B$10,Paramètres!$A$1:$I$89,3,0)*VLOOKUP('Données projet'!$B$10,Paramètres!$A$1:$I$89,5,0)</f>
        <v>-3.2277966965921228E-13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211.73952357671845</v>
      </c>
      <c r="AO156" s="62">
        <f t="shared" si="144"/>
        <v>238.591781509447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27.534127227955047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3.6367554770823547E-17</v>
      </c>
      <c r="AX156" s="23">
        <f t="shared" si="166"/>
        <v>27.534127227955047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-5.3205440053716299E-14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0</v>
      </c>
      <c r="BJ156" s="62">
        <f t="shared" si="146"/>
        <v>0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109.57618529419364</v>
      </c>
      <c r="BQ156" s="23">
        <f>EXP(-LN(2)/25)*BQ155+(1-EXP(-LN(2)/25))/(LN(2)/25)*Calculateur!BL156*Calculateur!BN156*VLOOKUP('Données projet'!$B$11,Paramètres!$A$1:$I$89,3,0)*0.475*44/12</f>
        <v>8.3773494051676138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117.95353469936126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159.45415548295978</v>
      </c>
      <c r="T157" s="62">
        <f t="shared" si="142"/>
        <v>268.09398033989754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-3.694822225952521E-13</v>
      </c>
      <c r="AJ157" s="14">
        <f>AI157*VLOOKUP('Données projet'!$B$10,Paramètres!$A$1:$I$89,3,0)*VLOOKUP('Données projet'!$B$10,Paramètres!$A$1:$I$89,5,0)</f>
        <v>-3.2277966965921228E-13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211.73952357671845</v>
      </c>
      <c r="AO157" s="62">
        <f t="shared" si="144"/>
        <v>238.591781509447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26.994199787174171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2.5715744593622508E-17</v>
      </c>
      <c r="AX157" s="23">
        <f t="shared" si="166"/>
        <v>26.994199787174171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-5.3205440053716299E-14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0</v>
      </c>
      <c r="BJ157" s="62">
        <f t="shared" si="146"/>
        <v>0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107.42746313544814</v>
      </c>
      <c r="BQ157" s="23">
        <f>EXP(-LN(2)/25)*BQ156+(1-EXP(-LN(2)/25))/(LN(2)/25)*Calculateur!BL157*Calculateur!BN157*VLOOKUP('Données projet'!$B$11,Paramètres!$A$1:$I$89,3,0)*0.475*44/12</f>
        <v>8.1482703451376466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115.57573348058578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159.45415548295978</v>
      </c>
      <c r="T158" s="62">
        <f t="shared" si="142"/>
        <v>268.09398033989754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-3.694822225952521E-13</v>
      </c>
      <c r="AJ158" s="14">
        <f>AI158*VLOOKUP('Données projet'!$B$10,Paramètres!$A$1:$I$89,3,0)*VLOOKUP('Données projet'!$B$10,Paramètres!$A$1:$I$89,5,0)</f>
        <v>-3.2277966965921228E-13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211.73952357671845</v>
      </c>
      <c r="AO158" s="62">
        <f t="shared" si="144"/>
        <v>238.591781509447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26.46485999418379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1.8183777385411773E-17</v>
      </c>
      <c r="AX158" s="23">
        <f t="shared" si="166"/>
        <v>26.46485999418379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-5.3205440053716299E-14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0</v>
      </c>
      <c r="BJ158" s="62">
        <f t="shared" si="146"/>
        <v>0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105.32087610764452</v>
      </c>
      <c r="BQ158" s="23">
        <f>EXP(-LN(2)/25)*BQ157+(1-EXP(-LN(2)/25))/(LN(2)/25)*Calculateur!BL158*Calculateur!BN158*VLOOKUP('Données projet'!$B$11,Paramètres!$A$1:$I$89,3,0)*0.475*44/12</f>
        <v>7.9254554640509429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113.24633157169546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159.45415548295978</v>
      </c>
      <c r="T159" s="62">
        <f t="shared" si="142"/>
        <v>268.09398033989754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-3.694822225952521E-13</v>
      </c>
      <c r="AJ159" s="14">
        <f>AI159*VLOOKUP('Données projet'!$B$10,Paramètres!$A$1:$I$89,3,0)*VLOOKUP('Données projet'!$B$10,Paramètres!$A$1:$I$89,5,0)</f>
        <v>-3.2277966965921228E-13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211.73952357671845</v>
      </c>
      <c r="AO159" s="62">
        <f t="shared" si="144"/>
        <v>238.591781509447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25.945900231668556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1.2857872296811254E-17</v>
      </c>
      <c r="AX159" s="23">
        <f t="shared" si="166"/>
        <v>25.945900231668556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-5.3205440053716299E-14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0</v>
      </c>
      <c r="BJ159" s="62">
        <f t="shared" si="146"/>
        <v>0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103.25559796656492</v>
      </c>
      <c r="BQ159" s="23">
        <f>EXP(-LN(2)/25)*BQ158+(1-EXP(-LN(2)/25))/(LN(2)/25)*Calculateur!BL159*Calculateur!BN159*VLOOKUP('Données projet'!$B$11,Paramètres!$A$1:$I$89,3,0)*0.475*44/12</f>
        <v>7.7087334676048807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110.96433143416981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159.45415548295978</v>
      </c>
      <c r="T160" s="62">
        <f t="shared" si="142"/>
        <v>268.09398033989754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-3.694822225952521E-13</v>
      </c>
      <c r="AJ160" s="14">
        <f>AI160*VLOOKUP('Données projet'!$B$10,Paramètres!$A$1:$I$89,3,0)*VLOOKUP('Données projet'!$B$10,Paramètres!$A$1:$I$89,5,0)</f>
        <v>-3.2277966965921228E-13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211.73952357671845</v>
      </c>
      <c r="AO160" s="62">
        <f t="shared" si="144"/>
        <v>238.591781509447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25.437116953562047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9.0918886927058866E-18</v>
      </c>
      <c r="AX160" s="23">
        <f t="shared" si="166"/>
        <v>25.437116953562047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-5.3205440053716299E-14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0</v>
      </c>
      <c r="BJ160" s="62">
        <f t="shared" si="146"/>
        <v>0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101.23081867013661</v>
      </c>
      <c r="BQ160" s="23">
        <f>EXP(-LN(2)/25)*BQ159+(1-EXP(-LN(2)/25))/(LN(2)/25)*Calculateur!BL160*Calculateur!BN160*VLOOKUP('Données projet'!$B$11,Paramètres!$A$1:$I$89,3,0)*0.475*44/12</f>
        <v>7.4979377455485503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108.72875641568517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159.45415548295978</v>
      </c>
      <c r="T161" s="62">
        <f t="shared" si="142"/>
        <v>268.09398033989754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-3.694822225952521E-13</v>
      </c>
      <c r="AJ161" s="14">
        <f>AI161*VLOOKUP('Données projet'!$B$10,Paramètres!$A$1:$I$89,3,0)*VLOOKUP('Données projet'!$B$10,Paramètres!$A$1:$I$89,5,0)</f>
        <v>-3.2277966965921228E-13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211.73952357671845</v>
      </c>
      <c r="AO161" s="62">
        <f t="shared" si="144"/>
        <v>238.591781509447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24.938310605212045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6.4289361484056271E-18</v>
      </c>
      <c r="AX161" s="23">
        <f t="shared" si="166"/>
        <v>24.938310605212045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-5.3205440053716299E-14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0</v>
      </c>
      <c r="BJ161" s="62">
        <f t="shared" si="146"/>
        <v>0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99.24574406071784</v>
      </c>
      <c r="BQ161" s="23">
        <f>EXP(-LN(2)/25)*BQ160+(1-EXP(-LN(2)/25))/(LN(2)/25)*Calculateur!BL161*Calculateur!BN161*VLOOKUP('Données projet'!$B$11,Paramètres!$A$1:$I$89,3,0)*0.475*44/12</f>
        <v>7.2929062435971161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106.53865030431496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159.45415548295978</v>
      </c>
      <c r="T162" s="62">
        <f t="shared" si="142"/>
        <v>268.09398033989754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-3.694822225952521E-13</v>
      </c>
      <c r="AJ162" s="14">
        <f>AI162*VLOOKUP('Données projet'!$B$10,Paramètres!$A$1:$I$89,3,0)*VLOOKUP('Données projet'!$B$10,Paramètres!$A$1:$I$89,5,0)</f>
        <v>-3.2277966965921228E-13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211.73952357671845</v>
      </c>
      <c r="AO162" s="62">
        <f t="shared" si="144"/>
        <v>238.591781509447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24.449285545111358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4.5459443463529433E-18</v>
      </c>
      <c r="AX162" s="23">
        <f t="shared" si="166"/>
        <v>24.449285545111358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-5.3205440053716299E-14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0</v>
      </c>
      <c r="BJ162" s="62">
        <f t="shared" si="146"/>
        <v>0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97.299595553613813</v>
      </c>
      <c r="BQ162" s="23">
        <f>EXP(-LN(2)/25)*BQ161+(1-EXP(-LN(2)/25))/(LN(2)/25)*Calculateur!BL162*Calculateur!BN162*VLOOKUP('Données projet'!$B$11,Paramètres!$A$1:$I$89,3,0)*0.475*44/12</f>
        <v>7.0934813388486821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104.39307689246249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159.45415548295978</v>
      </c>
      <c r="T163" s="62">
        <f t="shared" si="142"/>
        <v>268.09398033989754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-3.694822225952521E-13</v>
      </c>
      <c r="AJ163" s="14">
        <f>AI163*VLOOKUP('Données projet'!$B$10,Paramètres!$A$1:$I$89,3,0)*VLOOKUP('Données projet'!$B$10,Paramètres!$A$1:$I$89,5,0)</f>
        <v>-3.2277966965921228E-13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211.73952357671845</v>
      </c>
      <c r="AO163" s="62">
        <f t="shared" si="144"/>
        <v>238.591781509447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23.969849968163413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3.2144680742028136E-18</v>
      </c>
      <c r="AX163" s="23">
        <f t="shared" si="166"/>
        <v>23.969849968163413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-5.3205440053716299E-14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0</v>
      </c>
      <c r="BJ163" s="62">
        <f t="shared" si="146"/>
        <v>0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95.39160983170072</v>
      </c>
      <c r="BQ163" s="23">
        <f>EXP(-LN(2)/25)*BQ162+(1-EXP(-LN(2)/25))/(LN(2)/25)*Calculateur!BL163*Calculateur!BN163*VLOOKUP('Données projet'!$B$11,Paramètres!$A$1:$I$89,3,0)*0.475*44/12</f>
        <v>6.8995097186078933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102.29111955030861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159.45415548295978</v>
      </c>
      <c r="T164" s="62">
        <f t="shared" si="142"/>
        <v>268.09398033989754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-3.694822225952521E-13</v>
      </c>
      <c r="AJ164" s="14">
        <f>AI164*VLOOKUP('Données projet'!$B$10,Paramètres!$A$1:$I$89,3,0)*VLOOKUP('Données projet'!$B$10,Paramètres!$A$1:$I$89,5,0)</f>
        <v>-3.2277966965921228E-13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211.73952357671845</v>
      </c>
      <c r="AO164" s="62">
        <f t="shared" si="144"/>
        <v>238.591781509447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23.499815830452587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2.2729721731764717E-18</v>
      </c>
      <c r="AX164" s="23">
        <f t="shared" si="166"/>
        <v>23.499815830452587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-5.3205440053716299E-14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0</v>
      </c>
      <c r="BJ164" s="62">
        <f t="shared" si="146"/>
        <v>0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93.521038546037957</v>
      </c>
      <c r="BQ164" s="23">
        <f>EXP(-LN(2)/25)*BQ163+(1-EXP(-LN(2)/25))/(LN(2)/25)*Calculateur!BL164*Calculateur!BN164*VLOOKUP('Données projet'!$B$11,Paramètres!$A$1:$I$89,3,0)*0.475*44/12</f>
        <v>6.710842262523113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100.23188080856107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159.45415548295978</v>
      </c>
      <c r="T165" s="62">
        <f t="shared" si="142"/>
        <v>268.09398033989754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-3.694822225952521E-13</v>
      </c>
      <c r="AJ165" s="14">
        <f>AI165*VLOOKUP('Données projet'!$B$10,Paramètres!$A$1:$I$89,3,0)*VLOOKUP('Données projet'!$B$10,Paramètres!$A$1:$I$89,5,0)</f>
        <v>-3.2277966965921228E-13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211.73952357671845</v>
      </c>
      <c r="AO165" s="62">
        <f t="shared" si="144"/>
        <v>238.591781509447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23.038998775489755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1.6072340371014068E-18</v>
      </c>
      <c r="AX165" s="23">
        <f t="shared" si="166"/>
        <v>23.038998775489755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-5.3205440053716299E-14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0</v>
      </c>
      <c r="BJ165" s="62">
        <f t="shared" si="146"/>
        <v>0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91.687148022351209</v>
      </c>
      <c r="BQ165" s="23">
        <f>EXP(-LN(2)/25)*BQ164+(1-EXP(-LN(2)/25))/(LN(2)/25)*Calculateur!BL165*Calculateur!BN165*VLOOKUP('Données projet'!$B$11,Paramètres!$A$1:$I$89,3,0)*0.475*44/12</f>
        <v>6.5273339279465619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98.214481950297767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159.45415548295978</v>
      </c>
      <c r="T166" s="62">
        <f t="shared" si="142"/>
        <v>268.09398033989754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-3.694822225952521E-13</v>
      </c>
      <c r="AJ166" s="14">
        <f>AI166*VLOOKUP('Données projet'!$B$10,Paramètres!$A$1:$I$89,3,0)*VLOOKUP('Données projet'!$B$10,Paramètres!$A$1:$I$89,5,0)</f>
        <v>-3.2277966965921228E-13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211.73952357671845</v>
      </c>
      <c r="AO166" s="62">
        <f t="shared" si="144"/>
        <v>238.591781509447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22.587218061904096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1.1364860865882358E-18</v>
      </c>
      <c r="AX166" s="23">
        <f t="shared" si="166"/>
        <v>22.587218061904096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-5.3205440053716299E-14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0</v>
      </c>
      <c r="BJ166" s="62">
        <f t="shared" si="146"/>
        <v>0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89.889218973271198</v>
      </c>
      <c r="BQ166" s="23">
        <f>EXP(-LN(2)/25)*BQ165+(1-EXP(-LN(2)/25))/(LN(2)/25)*Calculateur!BL166*Calculateur!BN166*VLOOKUP('Données projet'!$B$11,Paramètres!$A$1:$I$89,3,0)*0.475*44/12</f>
        <v>6.3488436384292903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96.238062611700485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159.45415548295978</v>
      </c>
      <c r="T167" s="62">
        <f t="shared" si="142"/>
        <v>268.09398033989754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-3.694822225952521E-13</v>
      </c>
      <c r="AJ167" s="14">
        <f>AI167*VLOOKUP('Données projet'!$B$10,Paramètres!$A$1:$I$89,3,0)*VLOOKUP('Données projet'!$B$10,Paramètres!$A$1:$I$89,5,0)</f>
        <v>-3.2277966965921228E-13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211.73952357671845</v>
      </c>
      <c r="AO167" s="62">
        <f t="shared" si="144"/>
        <v>238.591781509447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22.144296492552826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8.0361701855070339E-19</v>
      </c>
      <c r="AX167" s="23">
        <f t="shared" si="166"/>
        <v>22.144296492552826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-5.3205440053716299E-14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0</v>
      </c>
      <c r="BJ167" s="62">
        <f t="shared" si="146"/>
        <v>0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88.126546216215203</v>
      </c>
      <c r="BQ167" s="23">
        <f>EXP(-LN(2)/25)*BQ166+(1-EXP(-LN(2)/25))/(LN(2)/25)*Calculateur!BL167*Calculateur!BN167*VLOOKUP('Données projet'!$B$11,Paramètres!$A$1:$I$89,3,0)*0.475*44/12</f>
        <v>6.1752341752652651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94.301780391480463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159.45415548295978</v>
      </c>
      <c r="T168" s="62">
        <f t="shared" si="142"/>
        <v>268.09398033989754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-3.694822225952521E-13</v>
      </c>
      <c r="AJ168" s="14">
        <f>AI168*VLOOKUP('Données projet'!$B$10,Paramètres!$A$1:$I$89,3,0)*VLOOKUP('Données projet'!$B$10,Paramètres!$A$1:$I$89,5,0)</f>
        <v>-3.2277966965921228E-13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211.73952357671845</v>
      </c>
      <c r="AO168" s="62">
        <f t="shared" si="144"/>
        <v>238.591781509447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21.710060345021052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5.6824304329411792E-19</v>
      </c>
      <c r="AX168" s="23">
        <f t="shared" si="166"/>
        <v>21.710060345021052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-5.3205440053716299E-14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0</v>
      </c>
      <c r="BJ168" s="62">
        <f t="shared" si="146"/>
        <v>0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86.398438396800856</v>
      </c>
      <c r="BQ168" s="23">
        <f>EXP(-LN(2)/25)*BQ167+(1-EXP(-LN(2)/25))/(LN(2)/25)*Calculateur!BL168*Calculateur!BN168*VLOOKUP('Données projet'!$B$11,Paramètres!$A$1:$I$89,3,0)*0.475*44/12</f>
        <v>6.0063720720011844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92.40481046880204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159.45415548295978</v>
      </c>
      <c r="T169" s="62">
        <f t="shared" si="142"/>
        <v>268.09398033989754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-3.694822225952521E-13</v>
      </c>
      <c r="AJ169" s="14">
        <f>AI169*VLOOKUP('Données projet'!$B$10,Paramètres!$A$1:$I$89,3,0)*VLOOKUP('Données projet'!$B$10,Paramètres!$A$1:$I$89,5,0)</f>
        <v>-3.2277966965921228E-13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211.73952357671845</v>
      </c>
      <c r="AO169" s="62">
        <f t="shared" si="144"/>
        <v>238.591781509447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21.284339303484479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4.0180850927535169E-19</v>
      </c>
      <c r="AX169" s="23">
        <f t="shared" si="166"/>
        <v>21.284339303484479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-5.3205440053716299E-14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0</v>
      </c>
      <c r="BJ169" s="62">
        <f t="shared" si="146"/>
        <v>0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84.704217717683534</v>
      </c>
      <c r="BQ169" s="23">
        <f>EXP(-LN(2)/25)*BQ168+(1-EXP(-LN(2)/25))/(LN(2)/25)*Calculateur!BL169*Calculateur!BN169*VLOOKUP('Données projet'!$B$11,Paramètres!$A$1:$I$89,3,0)*0.475*44/12</f>
        <v>5.8421275118309328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90.546345229514472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159.45415548295978</v>
      </c>
      <c r="T170" s="62">
        <f t="shared" si="142"/>
        <v>268.09398033989754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-3.694822225952521E-13</v>
      </c>
      <c r="AJ170" s="14">
        <f>AI170*VLOOKUP('Données projet'!$B$10,Paramètres!$A$1:$I$89,3,0)*VLOOKUP('Données projet'!$B$10,Paramètres!$A$1:$I$89,5,0)</f>
        <v>-3.2277966965921228E-13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211.73952357671845</v>
      </c>
      <c r="AO170" s="62">
        <f t="shared" si="144"/>
        <v>238.591781509447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20.866966391908242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2.8412152164705896E-19</v>
      </c>
      <c r="AX170" s="23">
        <f t="shared" si="166"/>
        <v>20.866966391908242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-5.3205440053716299E-14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0</v>
      </c>
      <c r="BJ170" s="62">
        <f t="shared" si="146"/>
        <v>0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83.043219672711118</v>
      </c>
      <c r="BQ170" s="23">
        <f>EXP(-LN(2)/25)*BQ169+(1-EXP(-LN(2)/25))/(LN(2)/25)*Calculateur!BL170*Calculateur!BN170*VLOOKUP('Données projet'!$B$11,Paramètres!$A$1:$I$89,3,0)*0.475*44/12</f>
        <v>5.6823742277957825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88.725593900506894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159.45415548295978</v>
      </c>
      <c r="T171" s="62">
        <f t="shared" si="142"/>
        <v>268.09398033989754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-3.694822225952521E-13</v>
      </c>
      <c r="AJ171" s="14">
        <f>AI171*VLOOKUP('Données projet'!$B$10,Paramètres!$A$1:$I$89,3,0)*VLOOKUP('Données projet'!$B$10,Paramètres!$A$1:$I$89,5,0)</f>
        <v>-3.2277966965921228E-13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211.73952357671845</v>
      </c>
      <c r="AO171" s="62">
        <f t="shared" si="144"/>
        <v>238.591781509447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20.457777908555677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2.0090425463767585E-19</v>
      </c>
      <c r="AX171" s="23">
        <f t="shared" si="166"/>
        <v>20.457777908555677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-5.3205440053716299E-14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0</v>
      </c>
      <c r="BJ171" s="62">
        <f t="shared" si="146"/>
        <v>0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81.414792786291841</v>
      </c>
      <c r="BQ171" s="23">
        <f>EXP(-LN(2)/25)*BQ170+(1-EXP(-LN(2)/25))/(LN(2)/25)*Calculateur!BL171*Calculateur!BN171*VLOOKUP('Données projet'!$B$11,Paramètres!$A$1:$I$89,3,0)*0.475*44/12</f>
        <v>5.5269894057136337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86.941782192005476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159.45415548295978</v>
      </c>
      <c r="T172" s="62">
        <f t="shared" si="142"/>
        <v>268.09398033989754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-3.694822225952521E-13</v>
      </c>
      <c r="AJ172" s="14">
        <f>AI172*VLOOKUP('Données projet'!$B$10,Paramètres!$A$1:$I$89,3,0)*VLOOKUP('Données projet'!$B$10,Paramètres!$A$1:$I$89,5,0)</f>
        <v>-3.2277966965921228E-13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211.73952357671845</v>
      </c>
      <c r="AO172" s="62">
        <f t="shared" si="144"/>
        <v>238.591781509447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20.056613361781324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1.4206076082352948E-19</v>
      </c>
      <c r="AX172" s="23">
        <f t="shared" si="166"/>
        <v>20.056613361781324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-5.3205440053716299E-14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0</v>
      </c>
      <c r="BJ172" s="62">
        <f t="shared" si="146"/>
        <v>0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79.818298357872919</v>
      </c>
      <c r="BQ172" s="23">
        <f>EXP(-LN(2)/25)*BQ171+(1-EXP(-LN(2)/25))/(LN(2)/25)*Calculateur!BL172*Calculateur!BN172*VLOOKUP('Données projet'!$B$11,Paramètres!$A$1:$I$89,3,0)*0.475*44/12</f>
        <v>5.375853589762654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85.194151947635575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159.45415548295978</v>
      </c>
      <c r="T173" s="62">
        <f t="shared" si="142"/>
        <v>268.09398033989754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-3.694822225952521E-13</v>
      </c>
      <c r="AJ173" s="14">
        <f>AI173*VLOOKUP('Données projet'!$B$10,Paramètres!$A$1:$I$89,3,0)*VLOOKUP('Données projet'!$B$10,Paramètres!$A$1:$I$89,5,0)</f>
        <v>-3.2277966965921228E-13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211.73952357671845</v>
      </c>
      <c r="AO173" s="62">
        <f t="shared" si="144"/>
        <v>238.591781509447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19.663315407083001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1.0045212731883792E-19</v>
      </c>
      <c r="AX173" s="23">
        <f t="shared" si="166"/>
        <v>19.663315407083001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-5.3205440053716299E-14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0</v>
      </c>
      <c r="BJ173" s="62">
        <f t="shared" si="146"/>
        <v>0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78.253110211429842</v>
      </c>
      <c r="BQ173" s="23">
        <f>EXP(-LN(2)/25)*BQ172+(1-EXP(-LN(2)/25))/(LN(2)/25)*Calculateur!BL173*Calculateur!BN173*VLOOKUP('Données projet'!$B$11,Paramètres!$A$1:$I$89,3,0)*0.475*44/12</f>
        <v>5.2288505906467408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83.481960802076586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159.45415548295978</v>
      </c>
      <c r="T174" s="62">
        <f t="shared" si="142"/>
        <v>268.09398033989754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-3.694822225952521E-13</v>
      </c>
      <c r="AJ174" s="14">
        <f>AI174*VLOOKUP('Données projet'!$B$10,Paramètres!$A$1:$I$89,3,0)*VLOOKUP('Données projet'!$B$10,Paramètres!$A$1:$I$89,5,0)</f>
        <v>-3.2277966965921228E-13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211.73952357671845</v>
      </c>
      <c r="AO174" s="62">
        <f t="shared" si="144"/>
        <v>238.591781509447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19.277729785388249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7.1030380411764739E-20</v>
      </c>
      <c r="AX174" s="23">
        <f t="shared" si="166"/>
        <v>19.277729785388249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-5.3205440053716299E-14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0</v>
      </c>
      <c r="BJ174" s="62">
        <f t="shared" si="146"/>
        <v>0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76.718614449868014</v>
      </c>
      <c r="BQ174" s="23">
        <f>EXP(-LN(2)/25)*BQ173+(1-EXP(-LN(2)/25))/(LN(2)/25)*Calculateur!BL174*Calculateur!BN174*VLOOKUP('Données projet'!$B$11,Paramètres!$A$1:$I$89,3,0)*0.475*44/12</f>
        <v>5.0858673962722039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81.80448184614022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159.45415548295978</v>
      </c>
      <c r="T175" s="62">
        <f t="shared" si="142"/>
        <v>268.09398033989754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-3.694822225952521E-13</v>
      </c>
      <c r="AJ175" s="14">
        <f>AI175*VLOOKUP('Données projet'!$B$10,Paramètres!$A$1:$I$89,3,0)*VLOOKUP('Données projet'!$B$10,Paramètres!$A$1:$I$89,5,0)</f>
        <v>-3.2277966965921228E-13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211.73952357671845</v>
      </c>
      <c r="AO175" s="62">
        <f t="shared" si="144"/>
        <v>238.591781509447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18.899705262550924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5.0226063659418962E-20</v>
      </c>
      <c r="AX175" s="23">
        <f t="shared" si="166"/>
        <v>18.899705262550924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-5.3205440053716299E-14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0</v>
      </c>
      <c r="BJ175" s="62">
        <f t="shared" si="146"/>
        <v>0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75.214209214240412</v>
      </c>
      <c r="BQ175" s="23">
        <f>EXP(-LN(2)/25)*BQ174+(1-EXP(-LN(2)/25))/(LN(2)/25)*Calculateur!BL175*Calculateur!BN175*VLOOKUP('Données projet'!$B$11,Paramètres!$A$1:$I$89,3,0)*0.475*44/12</f>
        <v>4.9467940848669976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80.161003299107406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159.45415548295978</v>
      </c>
      <c r="T176" s="62">
        <f t="shared" si="142"/>
        <v>268.09398033989754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-3.694822225952521E-13</v>
      </c>
      <c r="AJ176" s="14">
        <f>AI176*VLOOKUP('Données projet'!$B$10,Paramètres!$A$1:$I$89,3,0)*VLOOKUP('Données projet'!$B$10,Paramètres!$A$1:$I$89,5,0)</f>
        <v>-3.2277966965921228E-13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211.73952357671845</v>
      </c>
      <c r="AO176" s="62">
        <f t="shared" si="144"/>
        <v>238.591781509447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18.529093570034245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3.551519020588237E-20</v>
      </c>
      <c r="AX176" s="23">
        <f t="shared" si="166"/>
        <v>18.529093570034245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-5.3205440053716299E-14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0</v>
      </c>
      <c r="BJ176" s="62">
        <f t="shared" si="146"/>
        <v>0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73.739304447686891</v>
      </c>
      <c r="BQ176" s="23">
        <f>EXP(-LN(2)/25)*BQ175+(1-EXP(-LN(2)/25))/(LN(2)/25)*Calculateur!BL176*Calculateur!BN176*VLOOKUP('Données projet'!$B$11,Paramètres!$A$1:$I$89,3,0)*0.475*44/12</f>
        <v>4.8115237404757147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78.550828188162612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159.45415548295978</v>
      </c>
      <c r="T177" s="62">
        <f t="shared" si="142"/>
        <v>268.09398033989754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-3.694822225952521E-13</v>
      </c>
      <c r="AJ177" s="14">
        <f>AI177*VLOOKUP('Données projet'!$B$10,Paramètres!$A$1:$I$89,3,0)*VLOOKUP('Données projet'!$B$10,Paramètres!$A$1:$I$89,5,0)</f>
        <v>-3.2277966965921228E-13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211.73952357671845</v>
      </c>
      <c r="AO177" s="62">
        <f t="shared" si="144"/>
        <v>238.591781509447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18.165749346757007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2.5113031829709481E-20</v>
      </c>
      <c r="AX177" s="23">
        <f t="shared" si="166"/>
        <v>18.165749346757007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-5.3205440053716299E-14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0</v>
      </c>
      <c r="BJ177" s="62">
        <f t="shared" si="146"/>
        <v>0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72.293321664002406</v>
      </c>
      <c r="BQ177" s="23">
        <f>EXP(-LN(2)/25)*BQ176+(1-EXP(-LN(2)/25))/(LN(2)/25)*Calculateur!BL177*Calculateur!BN177*VLOOKUP('Données projet'!$B$11,Paramètres!$A$1:$I$89,3,0)*0.475*44/12</f>
        <v>4.6799523707653696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76.973274034767769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159.45415548295978</v>
      </c>
      <c r="T178" s="62">
        <f t="shared" si="142"/>
        <v>268.09398033989754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-3.694822225952521E-13</v>
      </c>
      <c r="AJ178" s="14">
        <f>AI178*VLOOKUP('Données projet'!$B$10,Paramètres!$A$1:$I$89,3,0)*VLOOKUP('Données projet'!$B$10,Paramètres!$A$1:$I$89,5,0)</f>
        <v>-3.2277966965921228E-13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211.73952357671845</v>
      </c>
      <c r="AO178" s="62">
        <f t="shared" si="144"/>
        <v>238.591781509447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17.809530082080144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1.7757595102941185E-20</v>
      </c>
      <c r="AX178" s="23">
        <f t="shared" si="166"/>
        <v>17.809530082080144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-5.3205440053716299E-14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0</v>
      </c>
      <c r="BJ178" s="62">
        <f t="shared" si="146"/>
        <v>0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70.875693720743556</v>
      </c>
      <c r="BQ178" s="23">
        <f>EXP(-LN(2)/25)*BQ177+(1-EXP(-LN(2)/25))/(LN(2)/25)*Calculateur!BL178*Calculateur!BN178*VLOOKUP('Données projet'!$B$11,Paramètres!$A$1:$I$89,3,0)*0.475*44/12</f>
        <v>4.5519788270787913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75.42767254782234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159.45415548295978</v>
      </c>
      <c r="T179" s="62">
        <f t="shared" si="142"/>
        <v>268.09398033989754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-3.694822225952521E-13</v>
      </c>
      <c r="AJ179" s="14">
        <f>AI179*VLOOKUP('Données projet'!$B$10,Paramètres!$A$1:$I$89,3,0)*VLOOKUP('Données projet'!$B$10,Paramètres!$A$1:$I$89,5,0)</f>
        <v>-3.2277966965921228E-13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211.73952357671845</v>
      </c>
      <c r="AO179" s="62">
        <f t="shared" si="144"/>
        <v>238.591781509447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17.460296059911297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1.255651591485474E-20</v>
      </c>
      <c r="AX179" s="23">
        <f t="shared" si="166"/>
        <v>17.460296059911297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-5.3205440053716299E-14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0</v>
      </c>
      <c r="BJ179" s="62">
        <f t="shared" si="146"/>
        <v>0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69.485864596784339</v>
      </c>
      <c r="BQ179" s="23">
        <f>EXP(-LN(2)/25)*BQ178+(1-EXP(-LN(2)/25))/(LN(2)/25)*Calculateur!BL179*Calculateur!BN179*VLOOKUP('Données projet'!$B$11,Paramètres!$A$1:$I$89,3,0)*0.475*44/12</f>
        <v>4.427504726674159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73.913369323458497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159.45415548295978</v>
      </c>
      <c r="T180" s="62">
        <f t="shared" si="142"/>
        <v>268.09398033989754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-3.694822225952521E-13</v>
      </c>
      <c r="AJ180" s="14">
        <f>AI180*VLOOKUP('Données projet'!$B$10,Paramètres!$A$1:$I$89,3,0)*VLOOKUP('Données projet'!$B$10,Paramètres!$A$1:$I$89,5,0)</f>
        <v>-3.2277966965921228E-13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211.73952357671845</v>
      </c>
      <c r="AO180" s="62">
        <f t="shared" si="144"/>
        <v>238.591781509447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17.117910303905461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8.8787975514705924E-21</v>
      </c>
      <c r="AX180" s="23">
        <f t="shared" si="166"/>
        <v>17.117910303905461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-5.3205440053716299E-14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0</v>
      </c>
      <c r="BJ180" s="62">
        <f t="shared" si="146"/>
        <v>0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68.123289174233904</v>
      </c>
      <c r="BQ180" s="23">
        <f>EXP(-LN(2)/25)*BQ179+(1-EXP(-LN(2)/25))/(LN(2)/25)*Calculateur!BL180*Calculateur!BN180*VLOOKUP('Données projet'!$B$11,Paramètres!$A$1:$I$89,3,0)*0.475*44/12</f>
        <v>4.3064343770908993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72.429723551324798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159.45415548295978</v>
      </c>
      <c r="T181" s="62">
        <f t="shared" si="142"/>
        <v>268.09398033989754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-3.694822225952521E-13</v>
      </c>
      <c r="AJ181" s="14">
        <f>AI181*VLOOKUP('Données projet'!$B$10,Paramètres!$A$1:$I$89,3,0)*VLOOKUP('Données projet'!$B$10,Paramètres!$A$1:$I$89,5,0)</f>
        <v>-3.2277966965921228E-13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211.73952357671845</v>
      </c>
      <c r="AO181" s="62">
        <f t="shared" si="144"/>
        <v>238.591781509447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16.782238523740208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6.2782579574273702E-21</v>
      </c>
      <c r="AX181" s="23">
        <f t="shared" si="166"/>
        <v>16.782238523740208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-5.3205440053716299E-14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0</v>
      </c>
      <c r="BJ181" s="62">
        <f t="shared" si="146"/>
        <v>0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66.787433024630744</v>
      </c>
      <c r="BQ181" s="23">
        <f>EXP(-LN(2)/25)*BQ180+(1-EXP(-LN(2)/25))/(LN(2)/25)*Calculateur!BL181*Calculateur!BN181*VLOOKUP('Données projet'!$B$11,Paramètres!$A$1:$I$89,3,0)*0.475*44/12</f>
        <v>4.1886747025838069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70.976107727214554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159.45415548295978</v>
      </c>
      <c r="T182" s="62">
        <f t="shared" si="142"/>
        <v>268.09398033989754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-3.694822225952521E-13</v>
      </c>
      <c r="AJ182" s="14">
        <f>AI182*VLOOKUP('Données projet'!$B$10,Paramètres!$A$1:$I$89,3,0)*VLOOKUP('Données projet'!$B$10,Paramètres!$A$1:$I$89,5,0)</f>
        <v>-3.2277966965921228E-13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211.73952357671845</v>
      </c>
      <c r="AO182" s="62">
        <f t="shared" si="144"/>
        <v>238.591781509447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16.453149062444425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4.4393987757352962E-21</v>
      </c>
      <c r="AX182" s="23">
        <f t="shared" si="166"/>
        <v>16.453149062444425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-5.3205440053716299E-14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0</v>
      </c>
      <c r="BJ182" s="62">
        <f t="shared" si="146"/>
        <v>0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65.477772199329507</v>
      </c>
      <c r="BQ182" s="23">
        <f>EXP(-LN(2)/25)*BQ181+(1-EXP(-LN(2)/25))/(LN(2)/25)*Calculateur!BL182*Calculateur!BN182*VLOOKUP('Données projet'!$B$11,Paramètres!$A$1:$I$89,3,0)*0.475*44/12</f>
        <v>4.0741351725688233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69.551907371898324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159.45415548295978</v>
      </c>
      <c r="T183" s="62">
        <f t="shared" si="142"/>
        <v>268.09398033989754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-3.694822225952521E-13</v>
      </c>
      <c r="AJ183" s="14">
        <f>AI183*VLOOKUP('Données projet'!$B$10,Paramètres!$A$1:$I$89,3,0)*VLOOKUP('Données projet'!$B$10,Paramètres!$A$1:$I$89,5,0)</f>
        <v>-3.2277966965921228E-13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211.73952357671845</v>
      </c>
      <c r="AO183" s="62">
        <f t="shared" si="144"/>
        <v>238.591781509447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16.130512844759902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3.1391289787136851E-21</v>
      </c>
      <c r="AX183" s="23">
        <f t="shared" si="166"/>
        <v>16.130512844759902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-5.3205440053716299E-14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0</v>
      </c>
      <c r="BJ183" s="62">
        <f t="shared" si="146"/>
        <v>0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64.193793023998197</v>
      </c>
      <c r="BQ183" s="23">
        <f>EXP(-LN(2)/25)*BQ182+(1-EXP(-LN(2)/25))/(LN(2)/25)*Calculateur!BL183*Calculateur!BN183*VLOOKUP('Données projet'!$B$11,Paramètres!$A$1:$I$89,3,0)*0.475*44/12</f>
        <v>3.9627277320254715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68.156520756023667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159.45415548295978</v>
      </c>
      <c r="T184" s="62">
        <f t="shared" si="142"/>
        <v>268.09398033989754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-3.694822225952521E-13</v>
      </c>
      <c r="AJ184" s="14">
        <f>AI184*VLOOKUP('Données projet'!$B$10,Paramètres!$A$1:$I$89,3,0)*VLOOKUP('Données projet'!$B$10,Paramètres!$A$1:$I$89,5,0)</f>
        <v>-3.2277966965921228E-13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211.73952357671845</v>
      </c>
      <c r="AO184" s="62">
        <f t="shared" si="144"/>
        <v>238.591781509447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15.814203326515511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2.2196993878676481E-21</v>
      </c>
      <c r="AX184" s="23">
        <f t="shared" si="166"/>
        <v>15.814203326515511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-5.3205440053716299E-14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0</v>
      </c>
      <c r="BJ184" s="62">
        <f t="shared" si="146"/>
        <v>0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62.934991897145167</v>
      </c>
      <c r="BQ184" s="23">
        <f>EXP(-LN(2)/25)*BQ183+(1-EXP(-LN(2)/25))/(LN(2)/25)*Calculateur!BL184*Calculateur!BN184*VLOOKUP('Données projet'!$B$11,Paramètres!$A$1:$I$89,3,0)*0.475*44/12</f>
        <v>3.8543667338024403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66.789358630947604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159.45415548295978</v>
      </c>
      <c r="T185" s="62">
        <f t="shared" si="142"/>
        <v>268.09398033989754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-3.694822225952521E-13</v>
      </c>
      <c r="AJ185" s="14">
        <f>AI185*VLOOKUP('Données projet'!$B$10,Paramètres!$A$1:$I$89,3,0)*VLOOKUP('Données projet'!$B$10,Paramètres!$A$1:$I$89,5,0)</f>
        <v>-3.2277966965921228E-13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211.73952357671845</v>
      </c>
      <c r="AO185" s="62">
        <f t="shared" si="144"/>
        <v>238.591781509447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15.504096444994136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1.5695644893568426E-21</v>
      </c>
      <c r="AX185" s="23">
        <f t="shared" si="166"/>
        <v>15.504096444994136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-5.3205440053716299E-14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0</v>
      </c>
      <c r="BJ185" s="62">
        <f t="shared" si="146"/>
        <v>0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61.700875092596853</v>
      </c>
      <c r="BQ185" s="23">
        <f>EXP(-LN(2)/25)*BQ184+(1-EXP(-LN(2)/25))/(LN(2)/25)*Calculateur!BL185*Calculateur!BN185*VLOOKUP('Données projet'!$B$11,Paramètres!$A$1:$I$89,3,0)*0.475*44/12</f>
        <v>3.7489688727742752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65.44984396537113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159.45415548295978</v>
      </c>
      <c r="T186" s="62">
        <f t="shared" si="142"/>
        <v>268.09398033989754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-3.694822225952521E-13</v>
      </c>
      <c r="AJ186" s="14">
        <f>AI186*VLOOKUP('Données projet'!$B$10,Paramètres!$A$1:$I$89,3,0)*VLOOKUP('Données projet'!$B$10,Paramètres!$A$1:$I$89,5,0)</f>
        <v>-3.2277966965921228E-13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211.73952357671845</v>
      </c>
      <c r="AO186" s="62">
        <f t="shared" si="144"/>
        <v>238.591781509447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15.200070570272874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1.1098496939338241E-21</v>
      </c>
      <c r="AX186" s="23">
        <f t="shared" si="166"/>
        <v>15.200070570272874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-5.3205440053716299E-14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0</v>
      </c>
      <c r="BJ186" s="62">
        <f t="shared" si="146"/>
        <v>0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60.490958565848807</v>
      </c>
      <c r="BQ186" s="23">
        <f>EXP(-LN(2)/25)*BQ185+(1-EXP(-LN(2)/25))/(LN(2)/25)*Calculateur!BL186*Calculateur!BN186*VLOOKUP('Données projet'!$B$11,Paramètres!$A$1:$I$89,3,0)*0.475*44/12</f>
        <v>3.6464531217985581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64.137411687647358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159.45415548295978</v>
      </c>
      <c r="T187" s="62">
        <f t="shared" si="142"/>
        <v>268.09398033989754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-3.694822225952521E-13</v>
      </c>
      <c r="AJ187" s="14">
        <f>AI187*VLOOKUP('Données projet'!$B$10,Paramètres!$A$1:$I$89,3,0)*VLOOKUP('Données projet'!$B$10,Paramètres!$A$1:$I$89,5,0)</f>
        <v>-3.2277966965921228E-13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211.73952357671845</v>
      </c>
      <c r="AO187" s="62">
        <f t="shared" si="144"/>
        <v>238.591781509447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14.902006457517423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7.8478224467842128E-22</v>
      </c>
      <c r="AX187" s="23">
        <f t="shared" si="166"/>
        <v>14.902006457517423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-5.3205440053716299E-14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0</v>
      </c>
      <c r="BJ187" s="62">
        <f t="shared" si="146"/>
        <v>0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59.304767764214077</v>
      </c>
      <c r="BQ187" s="23">
        <f>EXP(-LN(2)/25)*BQ186+(1-EXP(-LN(2)/25))/(LN(2)/25)*Calculateur!BL187*Calculateur!BN187*VLOOKUP('Données projet'!$B$11,Paramètres!$A$1:$I$89,3,0)*0.475*44/12</f>
        <v>3.5467406694243411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62.851508433638415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159.45415548295978</v>
      </c>
      <c r="T188" s="62">
        <f t="shared" si="142"/>
        <v>268.09398033989754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-3.694822225952521E-13</v>
      </c>
      <c r="AJ188" s="14">
        <f>AI188*VLOOKUP('Données projet'!$B$10,Paramètres!$A$1:$I$89,3,0)*VLOOKUP('Données projet'!$B$10,Paramètres!$A$1:$I$89,5,0)</f>
        <v>-3.2277966965921228E-13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211.73952357671845</v>
      </c>
      <c r="AO188" s="62">
        <f t="shared" si="144"/>
        <v>238.591781509447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14.609787200211949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5.5492484696691203E-22</v>
      </c>
      <c r="AX188" s="23">
        <f t="shared" si="166"/>
        <v>14.609787200211949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-5.3205440053716299E-14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0</v>
      </c>
      <c r="BJ188" s="62">
        <f t="shared" si="146"/>
        <v>0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58.141837440694452</v>
      </c>
      <c r="BQ188" s="23">
        <f>EXP(-LN(2)/25)*BQ187+(1-EXP(-LN(2)/25))/(LN(2)/25)*Calculateur!BL188*Calculateur!BN188*VLOOKUP('Données projet'!$B$11,Paramètres!$A$1:$I$89,3,0)*0.475*44/12</f>
        <v>3.4497548593039467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61.591592299998396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159.45415548295978</v>
      </c>
      <c r="T189" s="62">
        <f t="shared" si="142"/>
        <v>268.09398033989754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-3.694822225952521E-13</v>
      </c>
      <c r="AJ189" s="14">
        <f>AI189*VLOOKUP('Données projet'!$B$10,Paramètres!$A$1:$I$89,3,0)*VLOOKUP('Données projet'!$B$10,Paramètres!$A$1:$I$89,5,0)</f>
        <v>-3.2277966965921228E-13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211.73952357671845</v>
      </c>
      <c r="AO189" s="62">
        <f t="shared" si="144"/>
        <v>238.591781509447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14.323298184306088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3.9239112233921064E-22</v>
      </c>
      <c r="AX189" s="23">
        <f t="shared" si="166"/>
        <v>14.323298184306088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-5.3205440053716299E-14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0</v>
      </c>
      <c r="BJ189" s="62">
        <f t="shared" si="146"/>
        <v>0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57.001711471501594</v>
      </c>
      <c r="BQ189" s="23">
        <f>EXP(-LN(2)/25)*BQ188+(1-EXP(-LN(2)/25))/(LN(2)/25)*Calculateur!BL189*Calculateur!BN189*VLOOKUP('Données projet'!$B$11,Paramètres!$A$1:$I$89,3,0)*0.475*44/12</f>
        <v>3.3554211312615565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60.357132602763151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159.45415548295978</v>
      </c>
      <c r="T190" s="62">
        <f t="shared" si="142"/>
        <v>268.09398033989754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-3.694822225952521E-13</v>
      </c>
      <c r="AJ190" s="14">
        <f>AI190*VLOOKUP('Données projet'!$B$10,Paramètres!$A$1:$I$89,3,0)*VLOOKUP('Données projet'!$B$10,Paramètres!$A$1:$I$89,5,0)</f>
        <v>-3.2277966965921228E-13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211.73952357671845</v>
      </c>
      <c r="AO190" s="62">
        <f t="shared" si="144"/>
        <v>238.591781509447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14.042427043261096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2.7746242348345601E-22</v>
      </c>
      <c r="AX190" s="23">
        <f t="shared" si="166"/>
        <v>14.042427043261096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-5.3205440053716299E-14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0</v>
      </c>
      <c r="BJ190" s="62">
        <f t="shared" si="146"/>
        <v>0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55.883942677156426</v>
      </c>
      <c r="BQ190" s="23">
        <f>EXP(-LN(2)/25)*BQ189+(1-EXP(-LN(2)/25))/(LN(2)/25)*Calculateur!BL190*Calculateur!BN190*VLOOKUP('Données projet'!$B$11,Paramètres!$A$1:$I$89,3,0)*0.475*44/12</f>
        <v>3.2636669639732809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59.147609641129705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159.45415548295978</v>
      </c>
      <c r="T191" s="62">
        <f t="shared" si="142"/>
        <v>268.09398033989754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-3.694822225952521E-13</v>
      </c>
      <c r="AJ191" s="14">
        <f>AI191*VLOOKUP('Données projet'!$B$10,Paramètres!$A$1:$I$89,3,0)*VLOOKUP('Données projet'!$B$10,Paramètres!$A$1:$I$89,5,0)</f>
        <v>-3.2277966965921228E-13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211.73952357671845</v>
      </c>
      <c r="AO191" s="62">
        <f t="shared" si="144"/>
        <v>238.591781509447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13.767063613977516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1.9619556116960532E-22</v>
      </c>
      <c r="AX191" s="23">
        <f t="shared" si="166"/>
        <v>13.767063613977516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-5.3205440053716299E-14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0</v>
      </c>
      <c r="BJ191" s="62">
        <f t="shared" si="146"/>
        <v>0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54.788092647096725</v>
      </c>
      <c r="BQ191" s="23">
        <f>EXP(-LN(2)/25)*BQ190+(1-EXP(-LN(2)/25))/(LN(2)/25)*Calculateur!BL191*Calculateur!BN191*VLOOKUP('Données projet'!$B$11,Paramètres!$A$1:$I$89,3,0)*0.475*44/12</f>
        <v>3.1744218192146452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57.962514466311369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159.45415548295978</v>
      </c>
      <c r="T192" s="62">
        <f t="shared" si="142"/>
        <v>268.09398033989754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-3.694822225952521E-13</v>
      </c>
      <c r="AJ192" s="14">
        <f>AI192*VLOOKUP('Données projet'!$B$10,Paramètres!$A$1:$I$89,3,0)*VLOOKUP('Données projet'!$B$10,Paramètres!$A$1:$I$89,5,0)</f>
        <v>-3.2277966965921228E-13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211.73952357671845</v>
      </c>
      <c r="AO192" s="62">
        <f t="shared" si="144"/>
        <v>238.591781509447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13.497099893587079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1.3873121174172801E-22</v>
      </c>
      <c r="AX192" s="23">
        <f t="shared" si="166"/>
        <v>13.497099893587079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-5.3205440053716299E-14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0</v>
      </c>
      <c r="BJ192" s="62">
        <f t="shared" si="146"/>
        <v>0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53.713731567723976</v>
      </c>
      <c r="BQ192" s="23">
        <f>EXP(-LN(2)/25)*BQ191+(1-EXP(-LN(2)/25))/(LN(2)/25)*Calculateur!BL192*Calculateur!BN192*VLOOKUP('Données projet'!$B$11,Paramètres!$A$1:$I$89,3,0)*0.475*44/12</f>
        <v>3.0876170876326325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56.801348655356605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159.45415548295978</v>
      </c>
      <c r="T193" s="62">
        <f t="shared" si="142"/>
        <v>268.09398033989754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-3.694822225952521E-13</v>
      </c>
      <c r="AJ193" s="14">
        <f>AI193*VLOOKUP('Données projet'!$B$10,Paramètres!$A$1:$I$89,3,0)*VLOOKUP('Données projet'!$B$10,Paramètres!$A$1:$I$89,5,0)</f>
        <v>-3.2277966965921228E-13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211.73952357671845</v>
      </c>
      <c r="AO193" s="62">
        <f t="shared" si="144"/>
        <v>238.591781509447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13.232429997091888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9.809778058480266E-23</v>
      </c>
      <c r="AX193" s="23">
        <f t="shared" si="166"/>
        <v>13.232429997091888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-5.3205440053716299E-14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0</v>
      </c>
      <c r="BJ193" s="62">
        <f t="shared" si="146"/>
        <v>0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52.660438053822169</v>
      </c>
      <c r="BQ193" s="23">
        <f>EXP(-LN(2)/25)*BQ192+(1-EXP(-LN(2)/25))/(LN(2)/25)*Calculateur!BL193*Calculateur!BN193*VLOOKUP('Données projet'!$B$11,Paramètres!$A$1:$I$89,3,0)*0.475*44/12</f>
        <v>3.0031860360005922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55.663624089822761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159.45415548295978</v>
      </c>
      <c r="T194" s="62">
        <f t="shared" si="142"/>
        <v>268.09398033989754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-3.694822225952521E-13</v>
      </c>
      <c r="AJ194" s="14">
        <f>AI194*VLOOKUP('Données projet'!$B$10,Paramètres!$A$1:$I$89,3,0)*VLOOKUP('Données projet'!$B$10,Paramètres!$A$1:$I$89,5,0)</f>
        <v>-3.2277966965921228E-13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211.73952357671845</v>
      </c>
      <c r="AO194" s="62">
        <f t="shared" si="144"/>
        <v>238.591781509447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12.972950115834271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6.9365605870864003E-23</v>
      </c>
      <c r="AX194" s="23">
        <f t="shared" si="166"/>
        <v>12.972950115834271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-5.3205440053716299E-14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0</v>
      </c>
      <c r="BJ194" s="62">
        <f t="shared" si="146"/>
        <v>0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51.627798983282375</v>
      </c>
      <c r="BQ194" s="23">
        <f>EXP(-LN(2)/25)*BQ193+(1-EXP(-LN(2)/25))/(LN(2)/25)*Calculateur!BL194*Calculateur!BN194*VLOOKUP('Données projet'!$B$11,Paramètres!$A$1:$I$89,3,0)*0.475*44/12</f>
        <v>2.9210637559154664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54.548862739197844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159.45415548295978</v>
      </c>
      <c r="T195" s="62">
        <f t="shared" si="142"/>
        <v>268.09398033989754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-3.694822225952521E-13</v>
      </c>
      <c r="AJ195" s="14">
        <f>AI195*VLOOKUP('Données projet'!$B$10,Paramètres!$A$1:$I$89,3,0)*VLOOKUP('Données projet'!$B$10,Paramètres!$A$1:$I$89,5,0)</f>
        <v>-3.2277966965921228E-13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211.73952357671845</v>
      </c>
      <c r="AO195" s="62">
        <f t="shared" si="144"/>
        <v>238.591781509447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12.718558476781016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4.904889029240133E-23</v>
      </c>
      <c r="AX195" s="23">
        <f t="shared" si="166"/>
        <v>12.718558476781016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-5.3205440053716299E-14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0</v>
      </c>
      <c r="BJ195" s="62">
        <f t="shared" si="146"/>
        <v>0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50.615409335068222</v>
      </c>
      <c r="BQ195" s="23">
        <f>EXP(-LN(2)/25)*BQ194+(1-EXP(-LN(2)/25))/(LN(2)/25)*Calculateur!BL195*Calculateur!BN195*VLOOKUP('Données projet'!$B$11,Paramètres!$A$1:$I$89,3,0)*0.475*44/12</f>
        <v>2.8411871138978912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53.45659644896611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159.45415548295978</v>
      </c>
      <c r="T196" s="62">
        <f t="shared" si="142"/>
        <v>268.09398033989754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-3.694822225952521E-13</v>
      </c>
      <c r="AJ196" s="14">
        <f>AI196*VLOOKUP('Données projet'!$B$10,Paramètres!$A$1:$I$89,3,0)*VLOOKUP('Données projet'!$B$10,Paramètres!$A$1:$I$89,5,0)</f>
        <v>-3.2277966965921228E-13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211.73952357671845</v>
      </c>
      <c r="AO196" s="62">
        <f t="shared" si="144"/>
        <v>238.591781509447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12.469155302606017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3.4682802935432002E-23</v>
      </c>
      <c r="AX196" s="23">
        <f t="shared" si="166"/>
        <v>12.469155302606017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-5.3205440053716299E-14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0</v>
      </c>
      <c r="BJ196" s="62">
        <f t="shared" si="146"/>
        <v>0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49.622872030358835</v>
      </c>
      <c r="BQ196" s="23">
        <f>EXP(-LN(2)/25)*BQ195+(1-EXP(-LN(2)/25))/(LN(2)/25)*Calculateur!BL196*Calculateur!BN196*VLOOKUP('Données projet'!$B$11,Paramètres!$A$1:$I$89,3,0)*0.475*44/12</f>
        <v>2.7634947028568169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52.386366733215652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159.45415548295978</v>
      </c>
      <c r="T197" s="62">
        <f t="shared" ref="T197:T203" si="204">$T$3</f>
        <v>268.09398033989754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-3.694822225952521E-13</v>
      </c>
      <c r="AJ197" s="14">
        <f>AI197*VLOOKUP('Données projet'!$B$10,Paramètres!$A$1:$I$89,3,0)*VLOOKUP('Données projet'!$B$10,Paramètres!$A$1:$I$89,5,0)</f>
        <v>-3.2277966965921228E-13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211.73952357671845</v>
      </c>
      <c r="AO197" s="62">
        <f t="shared" ref="AO197:AO203" si="205">$AO$3</f>
        <v>238.591781509447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12.224642772555674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2.4524445146200665E-23</v>
      </c>
      <c r="AX197" s="23">
        <f t="shared" si="166"/>
        <v>12.224642772555674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-5.3205440053716299E-14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0</v>
      </c>
      <c r="BJ197" s="62">
        <f t="shared" ref="BJ197:BJ203" si="206">$BJ$3</f>
        <v>0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48.649797776806821</v>
      </c>
      <c r="BQ197" s="23">
        <f>EXP(-LN(2)/25)*BQ196+(1-EXP(-LN(2)/25))/(LN(2)/25)*Calculateur!BL197*Calculateur!BN197*VLOOKUP('Données projet'!$B$11,Paramètres!$A$1:$I$89,3,0)*0.475*44/12</f>
        <v>2.687926794881327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51.337724571688149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159.45415548295978</v>
      </c>
      <c r="T198" s="62">
        <f t="shared" si="204"/>
        <v>268.09398033989754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-3.694822225952521E-13</v>
      </c>
      <c r="AJ198" s="14">
        <f>AI198*VLOOKUP('Données projet'!$B$10,Paramètres!$A$1:$I$89,3,0)*VLOOKUP('Données projet'!$B$10,Paramètres!$A$1:$I$89,5,0)</f>
        <v>-3.2277966965921228E-13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211.73952357671845</v>
      </c>
      <c r="AO198" s="62">
        <f t="shared" si="205"/>
        <v>238.591781509447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11.984924984081701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1.7341401467716001E-23</v>
      </c>
      <c r="AX198" s="23">
        <f t="shared" si="166"/>
        <v>11.984924984081701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-5.3205440053716299E-14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0</v>
      </c>
      <c r="BJ198" s="62">
        <f t="shared" si="206"/>
        <v>0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47.695804915850275</v>
      </c>
      <c r="BQ198" s="23">
        <f>EXP(-LN(2)/25)*BQ197+(1-EXP(-LN(2)/25))/(LN(2)/25)*Calculateur!BL198*Calculateur!BN198*VLOOKUP('Données projet'!$B$11,Paramètres!$A$1:$I$89,3,0)*0.475*44/12</f>
        <v>2.6144252953233704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50.310230211173646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159.45415548295978</v>
      </c>
      <c r="T199" s="62">
        <f t="shared" si="204"/>
        <v>268.09398033989754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-3.694822225952521E-13</v>
      </c>
      <c r="AJ199" s="14">
        <f>AI199*VLOOKUP('Données projet'!$B$10,Paramètres!$A$1:$I$89,3,0)*VLOOKUP('Données projet'!$B$10,Paramètres!$A$1:$I$89,5,0)</f>
        <v>-3.2277966965921228E-13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211.73952357671845</v>
      </c>
      <c r="AO199" s="62">
        <f t="shared" si="205"/>
        <v>238.591781509447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11.749907915226288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1.2262222573100332E-23</v>
      </c>
      <c r="AX199" s="23">
        <f t="shared" si="166"/>
        <v>11.749907915226288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-5.3205440053716299E-14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0</v>
      </c>
      <c r="BJ199" s="62">
        <f t="shared" si="206"/>
        <v>0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46.760519273018893</v>
      </c>
      <c r="BQ199" s="23">
        <f>EXP(-LN(2)/25)*BQ198+(1-EXP(-LN(2)/25))/(LN(2)/25)*Calculateur!BL199*Calculateur!BN199*VLOOKUP('Données projet'!$B$11,Paramètres!$A$1:$I$89,3,0)*0.475*44/12</f>
        <v>2.5429336981361019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49.303452971154996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159.45415548295978</v>
      </c>
      <c r="T200" s="62">
        <f t="shared" si="204"/>
        <v>268.09398033989754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-3.694822225952521E-13</v>
      </c>
      <c r="AJ200" s="14">
        <f>AI200*VLOOKUP('Données projet'!$B$10,Paramètres!$A$1:$I$89,3,0)*VLOOKUP('Données projet'!$B$10,Paramètres!$A$1:$I$89,5,0)</f>
        <v>-3.2277966965921228E-13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211.73952357671845</v>
      </c>
      <c r="AO200" s="62">
        <f t="shared" si="205"/>
        <v>238.591781509447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11.519499387744872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8.6707007338580004E-24</v>
      </c>
      <c r="AX200" s="23">
        <f t="shared" si="166"/>
        <v>11.519499387744872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-5.3205440053716299E-14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0</v>
      </c>
      <c r="BJ200" s="62">
        <f t="shared" si="206"/>
        <v>0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45.843574011175527</v>
      </c>
      <c r="BQ200" s="23">
        <f>EXP(-LN(2)/25)*BQ199+(1-EXP(-LN(2)/25))/(LN(2)/25)*Calculateur!BL200*Calculateur!BN200*VLOOKUP('Données projet'!$B$11,Paramètres!$A$1:$I$89,3,0)*0.475*44/12</f>
        <v>2.4733970424334988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48.316971053609024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159.45415548295978</v>
      </c>
      <c r="T201" s="62">
        <f t="shared" si="204"/>
        <v>268.09398033989754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-3.694822225952521E-13</v>
      </c>
      <c r="AJ201" s="14">
        <f>AI201*VLOOKUP('Données projet'!$B$10,Paramètres!$A$1:$I$89,3,0)*VLOOKUP('Données projet'!$B$10,Paramètres!$A$1:$I$89,5,0)</f>
        <v>-3.2277966965921228E-13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211.73952357671845</v>
      </c>
      <c r="AO201" s="62">
        <f t="shared" si="205"/>
        <v>238.591781509447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11.293609030952043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6.1311112865501662E-24</v>
      </c>
      <c r="AX201" s="23">
        <f t="shared" si="166"/>
        <v>11.293609030952043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-5.3205440053716299E-14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0</v>
      </c>
      <c r="BJ201" s="62">
        <f t="shared" si="206"/>
        <v>0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44.944609486635521</v>
      </c>
      <c r="BQ201" s="23">
        <f>EXP(-LN(2)/25)*BQ200+(1-EXP(-LN(2)/25))/(LN(2)/25)*Calculateur!BL201*Calculateur!BN201*VLOOKUP('Données projet'!$B$11,Paramètres!$A$1:$I$89,3,0)*0.475*44/12</f>
        <v>2.4057618702378574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47.350371356873382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159.45415548295978</v>
      </c>
      <c r="T202" s="62">
        <f t="shared" si="204"/>
        <v>268.09398033989754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-3.694822225952521E-13</v>
      </c>
      <c r="AJ202" s="14">
        <f>AI202*VLOOKUP('Données projet'!$B$10,Paramètres!$A$1:$I$89,3,0)*VLOOKUP('Données projet'!$B$10,Paramètres!$A$1:$I$89,5,0)</f>
        <v>-3.2277966965921228E-13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211.73952357671845</v>
      </c>
      <c r="AO202" s="62">
        <f t="shared" si="205"/>
        <v>238.591781509447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11.072148246276408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4.3353503669290002E-24</v>
      </c>
      <c r="AX202" s="23">
        <f t="shared" si="166"/>
        <v>11.072148246276408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-5.3205440053716299E-14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0</v>
      </c>
      <c r="BJ202" s="62">
        <f t="shared" si="206"/>
        <v>0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44.063273108107524</v>
      </c>
      <c r="BQ202" s="23">
        <f>EXP(-LN(2)/25)*BQ201+(1-EXP(-LN(2)/25))/(LN(2)/25)*Calculateur!BL202*Calculateur!BN202*VLOOKUP('Données projet'!$B$11,Paramètres!$A$1:$I$89,3,0)*0.475*44/12</f>
        <v>2.3399761853826848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46.403249293490205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159.45415548295978</v>
      </c>
      <c r="T203" s="62">
        <f t="shared" si="204"/>
        <v>268.09398033989754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-3.694822225952521E-13</v>
      </c>
      <c r="AJ203" s="14">
        <f>AI203*VLOOKUP('Données projet'!$B$10,Paramètres!$A$1:$I$89,3,0)*VLOOKUP('Données projet'!$B$10,Paramètres!$A$1:$I$89,5,0)</f>
        <v>-3.2277966965921228E-13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211.73952357671845</v>
      </c>
      <c r="AO203" s="62">
        <f t="shared" si="205"/>
        <v>238.591781509447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10.855030172510521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3.0655556432750831E-24</v>
      </c>
      <c r="AX203" s="23">
        <f t="shared" si="166"/>
        <v>10.855030172510521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-5.3205440053716299E-14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0</v>
      </c>
      <c r="BJ203" s="62">
        <f t="shared" si="206"/>
        <v>0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43.19921919840035</v>
      </c>
      <c r="BQ203" s="23">
        <f>EXP(-LN(2)/25)*BQ202+(1-EXP(-LN(2)/25))/(LN(2)/25)*Calculateur!BL203*Calculateur!BN203*VLOOKUP('Données projet'!$B$11,Paramètres!$A$1:$I$89,3,0)*0.475*44/12</f>
        <v>2.2759894135393957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45.475208611939749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1.2613966317002558</v>
      </c>
      <c r="BA205" s="88">
        <f>EXP(LN('Données projet'!B88)/'Données projet'!A88)</f>
        <v>1.2880503926580862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A2" sqref="A2:L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2.5739999999999998</v>
      </c>
      <c r="C6" s="156">
        <f ca="1">IF(OR('Données projet'!B9="",'Données projet'!C9="",'Données projet'!C9=0%),0,Calculateur!S3)</f>
        <v>159.45415548295978</v>
      </c>
      <c r="D6" s="156">
        <f>IF(OR('Données projet'!B9="",'Données projet'!C9="",'Données projet'!C9=0%),0,Calculateur!T3)</f>
        <v>268.09398033989754</v>
      </c>
      <c r="E6" s="156">
        <f ca="1">MIN(C6,D6)</f>
        <v>159.45415548295978</v>
      </c>
      <c r="F6" s="156">
        <f ca="1">E6*B6</f>
        <v>410.43499621313845</v>
      </c>
      <c r="G6" s="156">
        <f ca="1">F6*(100%-'Données projet'!$C$24)*(100%-'Données projet'!$C$25)*(100%-'Données projet'!$C$26)*(100%-'Données projet'!$C$27)</f>
        <v>350.92192176223335</v>
      </c>
      <c r="H6" s="157">
        <f>IF(OR('Données projet'!B9="",'Données projet'!C9="",'Données projet'!C9=0%),0,AVERAGE(Calculateur!$AC$3:$AC$33)*B6)</f>
        <v>21.07346586696114</v>
      </c>
      <c r="I6" s="158">
        <f>H6*(100%-'Données projet'!$C$24)*(100%-'Données projet'!$C$25)*(100%-'Données projet'!$C$26)*(100%-'Données projet'!$C$27)</f>
        <v>18.017813316251775</v>
      </c>
      <c r="J6" s="159">
        <f>IF(OR('Données projet'!B9="",'Données projet'!C9="",'Données projet'!C9=0%),0,SUM(Calculateur!$V$3:$V$33)*VLOOKUP('Données projet'!$B$9,Paramètres!$A$1:$I$89,9,0)*B6)</f>
        <v>165.53394</v>
      </c>
      <c r="K6" s="160">
        <f>J6*(100%-'Données projet'!$C$24)*(100%-'Données projet'!$C$25)*(100%-'Données projet'!$C$26)*(100%-'Données projet'!$C$27)</f>
        <v>141.53151869999999</v>
      </c>
      <c r="L6" s="161">
        <f ca="1">G6+I6+K6</f>
        <v>510.47125377848511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1.131</v>
      </c>
      <c r="C7" s="156">
        <f ca="1">IF(OR('Données projet'!B10="",'Données projet'!C10="",'Données projet'!C10=0%),0,Calculateur!AN3)</f>
        <v>211.73952357671845</v>
      </c>
      <c r="D7" s="156">
        <f>IF(OR('Données projet'!B10="",'Données projet'!C10="",'Données projet'!C10=0%),0,Calculateur!AO3)</f>
        <v>238.591781509447</v>
      </c>
      <c r="E7" s="156">
        <f t="shared" ref="E7:E15" ca="1" si="0">MIN(C7,D7)</f>
        <v>211.73952357671845</v>
      </c>
      <c r="F7" s="156">
        <f t="shared" ref="F7:F15" ca="1" si="1">E7*B7</f>
        <v>239.47740116526856</v>
      </c>
      <c r="G7" s="156">
        <f ca="1">F7*(100%-'Données projet'!$C$24)*(100%-'Données projet'!$C$25)*(100%-'Données projet'!$C$26)*(100%-'Données projet'!$C$27)</f>
        <v>204.7531779963046</v>
      </c>
      <c r="H7" s="164">
        <f>IF(OR('Données projet'!B10="",'Données projet'!C10="",'Données projet'!C10=0%),0,AVERAGE(Calculateur!$AX$3:$AX$33)*B7)</f>
        <v>5.6285876097940672</v>
      </c>
      <c r="I7" s="158">
        <f>H7*(100%-'Données projet'!$C$24)*(100%-'Données projet'!$C$25)*(100%-'Données projet'!$C$26)*(100%-'Données projet'!$C$27)</f>
        <v>4.8124424063739273</v>
      </c>
      <c r="J7" s="159">
        <f>IF(OR('Données projet'!B10="",'Données projet'!C10="",'Données projet'!C10=0%),0,SUM(Calculateur!$AQ$3:$AQ$33)*VLOOKUP('Données projet'!$B$10,Paramètres!$A$1:$I$89,9,0)*B7)</f>
        <v>26.578500000000002</v>
      </c>
      <c r="K7" s="160">
        <f>J7*(100%-'Données projet'!$C$24)*(100%-'Données projet'!$C$25)*(100%-'Données projet'!$C$26)*(100%-'Données projet'!$C$27)</f>
        <v>22.724617500000001</v>
      </c>
      <c r="L7" s="161">
        <f t="shared" ref="L7:L15" ca="1" si="2">G7+I7+K7</f>
        <v>232.29023790267851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Cèdre de l'Atlas</v>
      </c>
      <c r="B8" s="163">
        <f>'Données projet'!D11</f>
        <v>0.19500000000000001</v>
      </c>
      <c r="C8" s="156">
        <f ca="1"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ca="1" si="0"/>
        <v>0</v>
      </c>
      <c r="F8" s="156">
        <f t="shared" ca="1" si="1"/>
        <v>0</v>
      </c>
      <c r="G8" s="156">
        <f ca="1"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649.91239737840704</v>
      </c>
      <c r="G16" s="175">
        <f t="shared" ca="1" si="3"/>
        <v>555.67509975853795</v>
      </c>
      <c r="H16" s="176">
        <f t="shared" si="3"/>
        <v>26.702053476755207</v>
      </c>
      <c r="I16" s="176">
        <f t="shared" si="3"/>
        <v>22.830255722625701</v>
      </c>
      <c r="J16" s="177">
        <f t="shared" si="3"/>
        <v>192.11243999999999</v>
      </c>
      <c r="K16" s="177">
        <f t="shared" si="3"/>
        <v>164.25613619999999</v>
      </c>
      <c r="L16" s="178">
        <f t="shared" ca="1" si="3"/>
        <v>742.76149168116365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0" zoomScale="80" zoomScaleNormal="80" workbookViewId="0">
      <selection activeCell="N17" sqref="N1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4" width="12" style="1" bestFit="1" customWidth="1"/>
    <col min="15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2501.2263712578037</v>
      </c>
      <c r="U10" s="190">
        <f>'Données projet'!D9</f>
        <v>2.5739999999999998</v>
      </c>
      <c r="V10" s="189">
        <f>U10*T10</f>
        <v>6438.1566796175866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1094.9933708729754</v>
      </c>
      <c r="U11" s="190">
        <f>'Données projet'!D10</f>
        <v>1.131</v>
      </c>
      <c r="V11" s="189">
        <f t="shared" ref="V11" si="0">U11*T11</f>
        <v>1238.4375024573353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0.19500000000000001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30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299.99999999999994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3535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10</v>
      </c>
      <c r="D23" s="194">
        <f>B23*C23</f>
        <v>150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-5516.2287844322555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13</v>
      </c>
      <c r="D24" s="194">
        <f t="shared" ref="D24:D42" si="2">B24*C24</f>
        <v>520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312.39001814319346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16</v>
      </c>
      <c r="D25" s="194">
        <f t="shared" si="2"/>
        <v>864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-5828.6188025754491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>
        <v>30</v>
      </c>
      <c r="D26" s="194">
        <f t="shared" si="2"/>
        <v>10140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32</v>
      </c>
      <c r="C54" s="204">
        <v>9</v>
      </c>
      <c r="D54" s="191">
        <f>B54*C54</f>
        <v>288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31</v>
      </c>
      <c r="C55" s="204">
        <v>10</v>
      </c>
      <c r="D55" s="191">
        <f t="shared" ref="D55:D73" si="4">B55*C55</f>
        <v>310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31</v>
      </c>
      <c r="C56" s="204">
        <v>11</v>
      </c>
      <c r="D56" s="191">
        <f t="shared" si="4"/>
        <v>341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30</v>
      </c>
      <c r="C57" s="204">
        <v>20</v>
      </c>
      <c r="D57" s="191">
        <f t="shared" si="4"/>
        <v>600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22</v>
      </c>
      <c r="D58" s="191">
        <f t="shared" si="4"/>
        <v>616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26</v>
      </c>
      <c r="C59" s="204">
        <v>25</v>
      </c>
      <c r="D59" s="191">
        <f t="shared" si="4"/>
        <v>650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24</v>
      </c>
      <c r="C60" s="204">
        <v>27</v>
      </c>
      <c r="D60" s="191">
        <f t="shared" si="4"/>
        <v>648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21</v>
      </c>
      <c r="C61" s="204">
        <v>40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19</v>
      </c>
      <c r="C62" s="204">
        <v>45</v>
      </c>
      <c r="D62" s="191">
        <f t="shared" si="4"/>
        <v>855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17</v>
      </c>
      <c r="C63" s="204">
        <v>45</v>
      </c>
      <c r="D63" s="191">
        <f t="shared" si="4"/>
        <v>765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15</v>
      </c>
      <c r="C64" s="204">
        <v>45</v>
      </c>
      <c r="D64" s="191">
        <f t="shared" si="4"/>
        <v>675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13</v>
      </c>
      <c r="C65" s="204">
        <v>50</v>
      </c>
      <c r="D65" s="191">
        <f t="shared" si="4"/>
        <v>650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11</v>
      </c>
      <c r="C66" s="204">
        <v>50</v>
      </c>
      <c r="D66" s="191">
        <f t="shared" si="4"/>
        <v>550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10</v>
      </c>
      <c r="C67" s="204">
        <v>55</v>
      </c>
      <c r="D67" s="191">
        <f t="shared" si="4"/>
        <v>550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215</v>
      </c>
      <c r="C68" s="204">
        <v>55</v>
      </c>
      <c r="D68" s="191">
        <f t="shared" si="4"/>
        <v>11825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88</v>
      </c>
      <c r="C87" s="204">
        <v>0</v>
      </c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0</v>
      </c>
      <c r="C88" s="204">
        <v>0</v>
      </c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102</v>
      </c>
      <c r="C89" s="204">
        <v>0</v>
      </c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113</v>
      </c>
      <c r="C90" s="204">
        <v>0</v>
      </c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124</v>
      </c>
      <c r="C91" s="204">
        <v>0</v>
      </c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135</v>
      </c>
      <c r="C92" s="204">
        <v>0</v>
      </c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723</v>
      </c>
      <c r="C93" s="204">
        <v>0</v>
      </c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2023-06-02T13:57:30Z</dcterms:modified>
</cp:coreProperties>
</file>